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00" yWindow="408" windowWidth="15456" windowHeight="7200" activeTab="0"/>
  </bookViews>
  <sheets>
    <sheet name="Sheet1" sheetId="1" r:id="rId1"/>
    <sheet name="Sheet2" sheetId="2" r:id="rId2"/>
  </sheets>
  <externalReferences>
    <externalReference r:id="rId5"/>
    <externalReference r:id="rId6"/>
    <externalReference r:id="rId7"/>
    <externalReference r:id="rId8"/>
    <externalReference r:id="rId9"/>
  </externalReferences>
  <definedNames>
    <definedName name="_xlnm.Print_Titles" localSheetId="0">'Sheet1'!$1:$1</definedName>
  </definedNames>
  <calcPr fullCalcOnLoad="1"/>
</workbook>
</file>

<file path=xl/sharedStrings.xml><?xml version="1.0" encoding="utf-8"?>
<sst xmlns="http://schemas.openxmlformats.org/spreadsheetml/2006/main" count="80" uniqueCount="62">
  <si>
    <t>REVENUES</t>
  </si>
  <si>
    <t>Special apportionment(s) for expanded grade</t>
  </si>
  <si>
    <t>Period ending</t>
  </si>
  <si>
    <t>TOTAL</t>
  </si>
  <si>
    <t>Other State revenues</t>
  </si>
  <si>
    <t>Other local revenues</t>
  </si>
  <si>
    <t>Federal revenues</t>
  </si>
  <si>
    <t>TOTAL REVENUES</t>
  </si>
  <si>
    <t>In-lieu property tax receipts</t>
  </si>
  <si>
    <t>Status</t>
  </si>
  <si>
    <t>Actual</t>
  </si>
  <si>
    <t>Projected</t>
  </si>
  <si>
    <t>EXPENDITURES</t>
  </si>
  <si>
    <t>Certificates salaries</t>
  </si>
  <si>
    <t>Classified salaries</t>
  </si>
  <si>
    <t>Employee benefits</t>
  </si>
  <si>
    <t>Books and supplies</t>
  </si>
  <si>
    <t>Services/other operating expenditures</t>
  </si>
  <si>
    <t>Capital outlay</t>
  </si>
  <si>
    <t>Direct support/indirect costs</t>
  </si>
  <si>
    <t>TOTAL EXPENDITURES</t>
  </si>
  <si>
    <t>Beginning cash balance</t>
  </si>
  <si>
    <t>Ending cash balance</t>
  </si>
  <si>
    <t>Monthly 2009-10 Cash Flow</t>
  </si>
  <si>
    <t>Total in-lieu property tax receipts</t>
  </si>
  <si>
    <t>Total categorical block grant</t>
  </si>
  <si>
    <t>Charter School Working Capital Program - Sample Cash Flow</t>
  </si>
  <si>
    <t>Extraordinary revenues (fundraising, etc.)</t>
  </si>
  <si>
    <t>Other debt service</t>
  </si>
  <si>
    <t>State revolving fund loan(s)</t>
  </si>
  <si>
    <t>2009-10 Principal Apportionment Monthly Payment Schedule</t>
  </si>
  <si>
    <t>Month</t>
  </si>
  <si>
    <t>July</t>
  </si>
  <si>
    <t>August</t>
  </si>
  <si>
    <t>September</t>
  </si>
  <si>
    <t>October</t>
  </si>
  <si>
    <t>November</t>
  </si>
  <si>
    <t>December</t>
  </si>
  <si>
    <t>January</t>
  </si>
  <si>
    <t>February</t>
  </si>
  <si>
    <t>March</t>
  </si>
  <si>
    <t>April</t>
  </si>
  <si>
    <t>May</t>
  </si>
  <si>
    <t>June</t>
  </si>
  <si>
    <t>Subsequent Year</t>
  </si>
  <si>
    <t>SBX4-16 Monthly Payment Schedule</t>
  </si>
  <si>
    <t>Monthly Payment Schedule with Deferrals</t>
  </si>
  <si>
    <t>Monthly % Shortfall/ Excess</t>
  </si>
  <si>
    <t>Cumulative % Shortfall/ Excess</t>
  </si>
  <si>
    <t>General purpose entitlement</t>
  </si>
  <si>
    <t>Categorical block grant (including impact aid)</t>
  </si>
  <si>
    <t>Less: deferred amounts</t>
  </si>
  <si>
    <t>Plus: amounts deferred from prior period</t>
  </si>
  <si>
    <t>Plus: special apportionment(s) for expanded grade</t>
  </si>
  <si>
    <t>Total general purpose entitlement</t>
  </si>
  <si>
    <t>Total principal apportionment</t>
  </si>
  <si>
    <t>Other state aid included in principal apportionment</t>
  </si>
  <si>
    <t>LEA: Animo Watts Charter High School</t>
  </si>
  <si>
    <t xml:space="preserve">Fiscal YTD </t>
  </si>
  <si>
    <t>7/1/09 - 12/31/09</t>
  </si>
  <si>
    <t>Attachment 16</t>
  </si>
  <si>
    <t>Page 1 of 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</si>
</sst>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mmm\-yy;@"/>
    <numFmt numFmtId="166" formatCode="#,##0.00000000"/>
    <numFmt numFmtId="167" formatCode="_(* #,##0.00000000_);_(* \(#,##0.00000000\);_(* &quot;-&quot;??_);_(@_)"/>
    <numFmt numFmtId="168" formatCode="_(* #,##0.00000000_);_(* \(#,##0.00000000\);_(* &quot;-&quot;????????_);_(@_)"/>
  </numFmts>
  <fonts count="27">
    <font>
      <sz val="10"/>
      <name val="Arial"/>
      <family val="0"/>
    </font>
    <font>
      <sz val="11"/>
      <color indexed="8"/>
      <name val="Calibri"/>
      <family val="2"/>
    </font>
    <font>
      <sz val="10"/>
      <name val="Tahoma"/>
      <family val="2"/>
    </font>
    <font>
      <sz val="8"/>
      <name val="Arial"/>
      <family val="2"/>
    </font>
    <font>
      <b/>
      <sz val="10"/>
      <name val="Tahoma"/>
      <family val="2"/>
    </font>
    <font>
      <sz val="14"/>
      <name val="Arial"/>
      <family val="2"/>
    </font>
    <font>
      <sz val="14"/>
      <name val="Tahoma"/>
      <family val="2"/>
    </font>
    <font>
      <sz val="10"/>
      <color indexed="30"/>
      <name val="Tahoma"/>
      <family val="2"/>
    </font>
    <font>
      <u val="single"/>
      <sz val="10"/>
      <name val="Tahoma"/>
      <family val="2"/>
    </font>
    <font>
      <sz val="14"/>
      <color indexed="6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medium"/>
      <bottom/>
    </border>
    <border>
      <left style="thin"/>
      <right/>
      <top/>
      <bottom/>
    </border>
    <border>
      <left style="thin"/>
      <right/>
      <top/>
      <bottom style="thin"/>
    </border>
    <border>
      <left/>
      <right/>
      <top/>
      <bottom style="medium"/>
    </border>
    <border>
      <left/>
      <right/>
      <top/>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43">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horizontal="left" indent="1"/>
    </xf>
    <xf numFmtId="0" fontId="4" fillId="0" borderId="0" xfId="0" applyFont="1" applyAlignment="1">
      <alignment/>
    </xf>
    <xf numFmtId="3" fontId="2" fillId="0" borderId="0" xfId="0" applyNumberFormat="1" applyFont="1" applyAlignment="1">
      <alignment horizontal="right"/>
    </xf>
    <xf numFmtId="165" fontId="2" fillId="0" borderId="0" xfId="0" applyNumberFormat="1" applyFont="1" applyAlignment="1">
      <alignment horizontal="right"/>
    </xf>
    <xf numFmtId="3" fontId="4" fillId="0" borderId="0" xfId="0" applyNumberFormat="1" applyFont="1" applyAlignment="1">
      <alignment horizontal="right"/>
    </xf>
    <xf numFmtId="3" fontId="4" fillId="0" borderId="10" xfId="0" applyNumberFormat="1" applyFont="1" applyBorder="1" applyAlignment="1">
      <alignment horizontal="right"/>
    </xf>
    <xf numFmtId="0" fontId="2" fillId="0" borderId="11" xfId="0" applyFont="1" applyBorder="1" applyAlignment="1">
      <alignment/>
    </xf>
    <xf numFmtId="0" fontId="2" fillId="0" borderId="12" xfId="0" applyFont="1" applyBorder="1" applyAlignment="1">
      <alignment/>
    </xf>
    <xf numFmtId="0" fontId="4" fillId="0" borderId="10" xfId="0" applyFont="1" applyBorder="1" applyAlignment="1">
      <alignment/>
    </xf>
    <xf numFmtId="0" fontId="2" fillId="0" borderId="0" xfId="0" applyFont="1" applyBorder="1" applyAlignment="1">
      <alignment horizontal="right"/>
    </xf>
    <xf numFmtId="0" fontId="4" fillId="0" borderId="13" xfId="0" applyFont="1" applyBorder="1" applyAlignment="1">
      <alignment/>
    </xf>
    <xf numFmtId="0" fontId="4" fillId="0" borderId="13" xfId="0" applyFont="1" applyBorder="1" applyAlignment="1">
      <alignment horizontal="right"/>
    </xf>
    <xf numFmtId="0" fontId="2" fillId="0" borderId="14" xfId="0" applyFont="1" applyBorder="1" applyAlignment="1">
      <alignment horizontal="right"/>
    </xf>
    <xf numFmtId="0" fontId="4" fillId="0" borderId="0" xfId="0" applyFont="1" applyAlignment="1">
      <alignment horizontal="left"/>
    </xf>
    <xf numFmtId="3" fontId="5" fillId="0" borderId="0" xfId="0" applyNumberFormat="1" applyFont="1" applyAlignment="1">
      <alignment/>
    </xf>
    <xf numFmtId="0" fontId="6" fillId="0" borderId="0" xfId="0" applyFont="1" applyAlignment="1">
      <alignment horizontal="right"/>
    </xf>
    <xf numFmtId="0" fontId="6" fillId="0" borderId="0" xfId="0" applyFont="1" applyAlignment="1">
      <alignment/>
    </xf>
    <xf numFmtId="3" fontId="7" fillId="0" borderId="0" xfId="0" applyNumberFormat="1" applyFont="1" applyAlignment="1">
      <alignment horizontal="right"/>
    </xf>
    <xf numFmtId="0" fontId="2" fillId="0" borderId="15" xfId="0" applyFont="1" applyBorder="1" applyAlignment="1">
      <alignment horizontal="centerContinuous"/>
    </xf>
    <xf numFmtId="0" fontId="2" fillId="0" borderId="16" xfId="0" applyFont="1" applyBorder="1" applyAlignment="1">
      <alignment horizontal="centerContinuous"/>
    </xf>
    <xf numFmtId="0" fontId="2" fillId="0" borderId="17" xfId="0" applyFont="1" applyBorder="1" applyAlignment="1">
      <alignment horizontal="centerContinuous"/>
    </xf>
    <xf numFmtId="0" fontId="2" fillId="0" borderId="18" xfId="0" applyFont="1" applyBorder="1" applyAlignment="1">
      <alignment horizontal="right"/>
    </xf>
    <xf numFmtId="164" fontId="2" fillId="0" borderId="0" xfId="57" applyNumberFormat="1" applyFont="1" applyBorder="1" applyAlignment="1">
      <alignment horizontal="center"/>
    </xf>
    <xf numFmtId="164" fontId="2" fillId="0" borderId="18" xfId="57" applyNumberFormat="1" applyFont="1" applyBorder="1" applyAlignment="1">
      <alignment horizontal="center"/>
    </xf>
    <xf numFmtId="0" fontId="2" fillId="0" borderId="19" xfId="0" applyFont="1" applyBorder="1" applyAlignment="1">
      <alignment horizontal="right"/>
    </xf>
    <xf numFmtId="0" fontId="2" fillId="0" borderId="12" xfId="0" applyFont="1" applyBorder="1" applyAlignment="1">
      <alignment wrapText="1"/>
    </xf>
    <xf numFmtId="164" fontId="2" fillId="0" borderId="14" xfId="0" applyNumberFormat="1" applyFont="1" applyBorder="1" applyAlignment="1">
      <alignment horizontal="center" wrapText="1"/>
    </xf>
    <xf numFmtId="164" fontId="2" fillId="0" borderId="19" xfId="0" applyNumberFormat="1" applyFont="1" applyBorder="1" applyAlignment="1">
      <alignment horizontal="center" wrapText="1"/>
    </xf>
    <xf numFmtId="0" fontId="8" fillId="0" borderId="11" xfId="0" applyFont="1" applyBorder="1" applyAlignment="1">
      <alignment/>
    </xf>
    <xf numFmtId="0" fontId="2" fillId="0" borderId="0" xfId="0" applyFont="1" applyAlignment="1">
      <alignment horizontal="left"/>
    </xf>
    <xf numFmtId="3" fontId="9" fillId="0" borderId="0" xfId="0" applyNumberFormat="1" applyFont="1" applyAlignment="1">
      <alignment/>
    </xf>
    <xf numFmtId="3" fontId="2" fillId="0" borderId="0" xfId="0" applyNumberFormat="1" applyFont="1" applyAlignment="1">
      <alignment/>
    </xf>
    <xf numFmtId="3" fontId="2" fillId="0" borderId="0" xfId="0" applyNumberFormat="1" applyFont="1" applyAlignment="1">
      <alignment horizontal="right"/>
    </xf>
    <xf numFmtId="3" fontId="8" fillId="0" borderId="0" xfId="0" applyNumberFormat="1" applyFont="1" applyAlignment="1">
      <alignment horizontal="right"/>
    </xf>
    <xf numFmtId="0" fontId="8" fillId="0" borderId="0" xfId="0" applyFont="1" applyAlignment="1">
      <alignment horizontal="left"/>
    </xf>
    <xf numFmtId="3" fontId="8" fillId="0" borderId="0" xfId="0" applyNumberFormat="1" applyFont="1" applyAlignment="1">
      <alignment horizontal="right"/>
    </xf>
    <xf numFmtId="0" fontId="8" fillId="0" borderId="0" xfId="0" applyFont="1" applyAlignment="1">
      <alignment/>
    </xf>
    <xf numFmtId="165" fontId="2" fillId="0" borderId="0" xfId="0" applyNumberFormat="1" applyFont="1" applyAlignment="1">
      <alignment horizontal="right"/>
    </xf>
    <xf numFmtId="3" fontId="2" fillId="0" borderId="0" xfId="0" applyNumberFormat="1" applyFont="1" applyFill="1" applyAlignment="1">
      <alignment horizontal="right"/>
    </xf>
    <xf numFmtId="0" fontId="26" fillId="0" borderId="0" xfId="0" applyFont="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q\Users\Finance\Finance-GD\audit%2009-10\pasummary2009p1-gd%20onl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q\Users\Finance\Finance-GD\audit%2009-10\payschedlea0910p1-gd%20onl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9-10%20cash%20deferral%20expenses%20v%2003-31-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9-10%20cash%20deferral%20fundraising%20v%2003-31-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09-10%20cash%20deferral%20ar%20receipts%20v%2003-3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summary2009p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9-10 P-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20,#"/>
      <sheetName val="#,030,#"/>
      <sheetName val="#,040,#"/>
      <sheetName val="#,050,#"/>
      <sheetName val="#,060,#"/>
      <sheetName val="#,070,#"/>
      <sheetName val="#,080,#"/>
      <sheetName val="#,090,#"/>
      <sheetName val="#,100,#"/>
      <sheetName val="#,110,#"/>
      <sheetName val="#,120,#"/>
      <sheetName val="#,130,#"/>
      <sheetName val="#,140,#"/>
      <sheetName val="#,150,#"/>
      <sheetName val="#,160,#"/>
      <sheetName val="locke"/>
      <sheetName val="ac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20,#"/>
      <sheetName val="#,030,#"/>
      <sheetName val="#,040,#"/>
      <sheetName val="#,050,#"/>
      <sheetName val="#,060,#"/>
      <sheetName val="#,070,#"/>
      <sheetName val="#,080,#"/>
      <sheetName val="#,090,#"/>
      <sheetName val="#,100,#"/>
      <sheetName val="#,110,#"/>
      <sheetName val="#,120,#"/>
      <sheetName val="#,130,#"/>
      <sheetName val="#,140,#"/>
      <sheetName val="#,150,#"/>
      <sheetName val="#,160,#"/>
      <sheetName val="locke"/>
      <sheetName val="ac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lptls1.RP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Z50"/>
  <sheetViews>
    <sheetView tabSelected="1" zoomScalePageLayoutView="0" workbookViewId="0" topLeftCell="J15">
      <selection activeCell="N44" sqref="N44"/>
    </sheetView>
  </sheetViews>
  <sheetFormatPr defaultColWidth="9.140625" defaultRowHeight="12.75" outlineLevelRow="1" outlineLevelCol="1"/>
  <cols>
    <col min="1" max="1" width="0.85546875" style="1" customWidth="1"/>
    <col min="2" max="2" width="45.7109375" style="1" customWidth="1"/>
    <col min="3" max="3" width="15.8515625" style="1" bestFit="1" customWidth="1"/>
    <col min="4" max="4" width="12.7109375" style="1" hidden="1" customWidth="1" outlineLevel="1"/>
    <col min="5" max="9" width="10.7109375" style="2" hidden="1" customWidth="1" outlineLevel="1"/>
    <col min="10" max="10" width="10.7109375" style="2" customWidth="1" collapsed="1"/>
    <col min="11" max="17" width="10.7109375" style="2" customWidth="1"/>
    <col min="18" max="18" width="11.421875" style="2" bestFit="1" customWidth="1"/>
    <col min="19" max="19" width="14.28125" style="2" bestFit="1" customWidth="1"/>
    <col min="20" max="20" width="0.85546875" style="1" customWidth="1"/>
    <col min="21" max="16384" width="9.140625" style="1" customWidth="1"/>
  </cols>
  <sheetData>
    <row r="1" spans="2:19" s="19" customFormat="1" ht="17.25">
      <c r="B1" s="17" t="s">
        <v>26</v>
      </c>
      <c r="C1" s="17"/>
      <c r="D1" s="17"/>
      <c r="E1" s="18"/>
      <c r="F1" s="18"/>
      <c r="G1" s="18"/>
      <c r="H1" s="18"/>
      <c r="I1" s="18"/>
      <c r="J1" s="18"/>
      <c r="K1" s="18"/>
      <c r="L1" s="18"/>
      <c r="M1" s="18"/>
      <c r="N1" s="18"/>
      <c r="O1" s="18"/>
      <c r="P1" s="18"/>
      <c r="Q1" s="18"/>
      <c r="R1" s="18"/>
      <c r="S1" s="18"/>
    </row>
    <row r="2" spans="2:19" s="19" customFormat="1" ht="17.25">
      <c r="B2" s="33" t="s">
        <v>57</v>
      </c>
      <c r="C2" s="33"/>
      <c r="D2" s="33"/>
      <c r="E2" s="18"/>
      <c r="F2" s="18"/>
      <c r="G2" s="18"/>
      <c r="H2" s="18"/>
      <c r="I2" s="18"/>
      <c r="J2" s="18"/>
      <c r="K2" s="18"/>
      <c r="L2" s="18"/>
      <c r="M2" s="18"/>
      <c r="N2" s="18"/>
      <c r="O2" s="18"/>
      <c r="P2" s="18"/>
      <c r="Q2" s="18"/>
      <c r="R2" s="18"/>
      <c r="S2" s="18"/>
    </row>
    <row r="4" spans="2:19" ht="13.5" thickBot="1">
      <c r="B4" s="13" t="s">
        <v>23</v>
      </c>
      <c r="C4" s="13"/>
      <c r="D4" s="13"/>
      <c r="E4" s="14"/>
      <c r="F4" s="14"/>
      <c r="G4" s="14"/>
      <c r="H4" s="14"/>
      <c r="I4" s="14"/>
      <c r="J4" s="14"/>
      <c r="K4" s="14"/>
      <c r="L4" s="14"/>
      <c r="M4" s="14"/>
      <c r="N4" s="14"/>
      <c r="O4" s="14"/>
      <c r="P4" s="14"/>
      <c r="Q4" s="14"/>
      <c r="R4" s="14"/>
      <c r="S4" s="14"/>
    </row>
    <row r="5" spans="2:19" ht="12.75">
      <c r="B5" s="1" t="s">
        <v>2</v>
      </c>
      <c r="C5" s="1" t="s">
        <v>58</v>
      </c>
      <c r="D5" s="6">
        <v>40025</v>
      </c>
      <c r="E5" s="6">
        <v>40056</v>
      </c>
      <c r="F5" s="6">
        <v>40086</v>
      </c>
      <c r="G5" s="6">
        <v>40117</v>
      </c>
      <c r="H5" s="6">
        <v>40147</v>
      </c>
      <c r="I5" s="6">
        <v>40178</v>
      </c>
      <c r="J5" s="6">
        <v>40209</v>
      </c>
      <c r="K5" s="6">
        <v>40237</v>
      </c>
      <c r="L5" s="6">
        <v>40268</v>
      </c>
      <c r="M5" s="6">
        <v>40298</v>
      </c>
      <c r="N5" s="6">
        <v>40329</v>
      </c>
      <c r="O5" s="6">
        <v>40359</v>
      </c>
      <c r="P5" s="6">
        <v>40390</v>
      </c>
      <c r="Q5" s="6">
        <v>40421</v>
      </c>
      <c r="R5" s="6">
        <v>40451</v>
      </c>
      <c r="S5" s="2" t="s">
        <v>3</v>
      </c>
    </row>
    <row r="6" spans="2:18" ht="12.75">
      <c r="B6" s="1" t="s">
        <v>9</v>
      </c>
      <c r="C6" s="1" t="s">
        <v>59</v>
      </c>
      <c r="D6" s="40" t="s">
        <v>10</v>
      </c>
      <c r="E6" s="40" t="s">
        <v>10</v>
      </c>
      <c r="F6" s="40" t="s">
        <v>10</v>
      </c>
      <c r="G6" s="40" t="s">
        <v>10</v>
      </c>
      <c r="H6" s="40" t="s">
        <v>10</v>
      </c>
      <c r="I6" s="40" t="s">
        <v>10</v>
      </c>
      <c r="J6" s="40" t="s">
        <v>10</v>
      </c>
      <c r="K6" s="40" t="s">
        <v>10</v>
      </c>
      <c r="L6" s="40" t="s">
        <v>10</v>
      </c>
      <c r="M6" s="40" t="s">
        <v>11</v>
      </c>
      <c r="N6" s="40" t="s">
        <v>11</v>
      </c>
      <c r="O6" s="40" t="s">
        <v>11</v>
      </c>
      <c r="P6" s="40" t="s">
        <v>11</v>
      </c>
      <c r="Q6" s="40" t="s">
        <v>11</v>
      </c>
      <c r="R6" s="40" t="s">
        <v>11</v>
      </c>
    </row>
    <row r="7" ht="4.5" customHeight="1">
      <c r="E7" s="40"/>
    </row>
    <row r="8" spans="2:18" ht="12.75">
      <c r="B8" s="1" t="s">
        <v>21</v>
      </c>
      <c r="C8" s="34">
        <f>D8</f>
        <v>25250</v>
      </c>
      <c r="D8" s="35">
        <v>25250</v>
      </c>
      <c r="E8" s="5">
        <f>D44</f>
        <v>160866.1962</v>
      </c>
      <c r="F8" s="5">
        <f>E44</f>
        <v>85978.34528315379</v>
      </c>
      <c r="G8" s="5">
        <f aca="true" t="shared" si="0" ref="G8:R8">F44</f>
        <v>5725.580200000026</v>
      </c>
      <c r="H8" s="5">
        <f t="shared" si="0"/>
        <v>85387.24180000002</v>
      </c>
      <c r="I8" s="5">
        <f t="shared" si="0"/>
        <v>612546.6334000002</v>
      </c>
      <c r="J8" s="5">
        <f t="shared" si="0"/>
        <v>22225.115000000107</v>
      </c>
      <c r="K8" s="5">
        <f t="shared" si="0"/>
        <v>18960.046600000147</v>
      </c>
      <c r="L8" s="5">
        <f t="shared" si="0"/>
        <v>455822.17083333345</v>
      </c>
      <c r="M8" s="5">
        <f t="shared" si="0"/>
        <v>183888.4176022702</v>
      </c>
      <c r="N8" s="5">
        <f t="shared" si="0"/>
        <v>81941.31946893688</v>
      </c>
      <c r="O8" s="5">
        <f t="shared" si="0"/>
        <v>-34305.68641798175</v>
      </c>
      <c r="P8" s="5">
        <f t="shared" si="0"/>
        <v>-338456.2637817603</v>
      </c>
      <c r="Q8" s="5">
        <f t="shared" si="0"/>
        <v>-604916.1890837604</v>
      </c>
      <c r="R8" s="5">
        <f t="shared" si="0"/>
        <v>-465740.4279945281</v>
      </c>
    </row>
    <row r="9" ht="4.5" customHeight="1"/>
    <row r="10" spans="2:15" ht="12.75">
      <c r="B10" s="1" t="s">
        <v>0</v>
      </c>
      <c r="K10" s="5"/>
      <c r="L10" s="5"/>
      <c r="M10" s="5"/>
      <c r="N10" s="5"/>
      <c r="O10" s="5"/>
    </row>
    <row r="11" spans="2:19" ht="12.75" hidden="1" outlineLevel="1">
      <c r="B11" s="3" t="s">
        <v>49</v>
      </c>
      <c r="C11" s="20">
        <f>SUM(D11:I11)</f>
        <v>447815.06999999995</v>
      </c>
      <c r="D11" s="35">
        <v>0</v>
      </c>
      <c r="E11" s="35">
        <v>82979.28</v>
      </c>
      <c r="F11" s="35">
        <v>38051.82</v>
      </c>
      <c r="G11" s="35">
        <v>108927.99</v>
      </c>
      <c r="H11" s="35">
        <v>108927.99</v>
      </c>
      <c r="I11" s="35">
        <v>108927.99</v>
      </c>
      <c r="J11" s="35">
        <v>108927.99</v>
      </c>
      <c r="K11" s="35">
        <v>108927.99</v>
      </c>
      <c r="L11" s="35">
        <v>133852.99</v>
      </c>
      <c r="M11" s="35">
        <v>133852.99</v>
      </c>
      <c r="N11" s="35">
        <v>133852.99</v>
      </c>
      <c r="O11" s="35">
        <v>133852.99</v>
      </c>
      <c r="P11" s="35">
        <v>133852.99</v>
      </c>
      <c r="Q11" s="35">
        <v>83467.9</v>
      </c>
      <c r="R11" s="35">
        <v>83467.9</v>
      </c>
      <c r="S11" s="5">
        <f>SUM(D11:R11)</f>
        <v>1501871.7999999998</v>
      </c>
    </row>
    <row r="12" spans="2:26" ht="12.75" hidden="1" outlineLevel="1">
      <c r="B12" s="3" t="s">
        <v>51</v>
      </c>
      <c r="C12" s="20">
        <f aca="true" t="shared" si="1" ref="C12:C42">SUM(D12:I12)</f>
        <v>-49454.671807475286</v>
      </c>
      <c r="D12" s="35">
        <v>0</v>
      </c>
      <c r="E12" s="35">
        <v>-49454.671807475286</v>
      </c>
      <c r="F12" s="35">
        <v>0</v>
      </c>
      <c r="G12" s="35">
        <v>0</v>
      </c>
      <c r="H12" s="35">
        <v>0</v>
      </c>
      <c r="I12" s="35">
        <v>0</v>
      </c>
      <c r="J12" s="35">
        <v>0</v>
      </c>
      <c r="K12" s="35">
        <v>0</v>
      </c>
      <c r="L12" s="35">
        <v>-131693.8650955634</v>
      </c>
      <c r="M12" s="35">
        <v>0</v>
      </c>
      <c r="N12" s="35">
        <v>-44684.45226315375</v>
      </c>
      <c r="O12" s="35">
        <v>-65846.93383946306</v>
      </c>
      <c r="P12" s="35">
        <v>-133852.99</v>
      </c>
      <c r="Q12" s="41"/>
      <c r="R12" s="41"/>
      <c r="S12" s="5">
        <f>SUM(D12:R12)</f>
        <v>-425532.9130056555</v>
      </c>
      <c r="V12" s="34"/>
      <c r="W12" s="34"/>
      <c r="X12" s="34"/>
      <c r="Y12" s="34"/>
      <c r="Z12" s="34"/>
    </row>
    <row r="13" spans="2:26" ht="12.75" hidden="1" outlineLevel="1">
      <c r="B13" s="3" t="s">
        <v>52</v>
      </c>
      <c r="C13" s="20">
        <f t="shared" si="1"/>
        <v>196358.5718074753</v>
      </c>
      <c r="D13" s="35">
        <v>146903.9</v>
      </c>
      <c r="E13" s="35">
        <v>0</v>
      </c>
      <c r="F13" s="35">
        <f>-E12</f>
        <v>49454.671807475286</v>
      </c>
      <c r="G13" s="35">
        <v>0</v>
      </c>
      <c r="H13" s="35">
        <v>0</v>
      </c>
      <c r="I13" s="35">
        <v>0</v>
      </c>
      <c r="J13" s="35">
        <v>0</v>
      </c>
      <c r="K13" s="35">
        <v>0</v>
      </c>
      <c r="L13" s="35">
        <v>0</v>
      </c>
      <c r="M13" s="35">
        <v>0</v>
      </c>
      <c r="N13" s="35">
        <v>0</v>
      </c>
      <c r="O13" s="35">
        <v>0</v>
      </c>
      <c r="P13" s="35">
        <v>0</v>
      </c>
      <c r="Q13" s="35">
        <f>+(-SUM(L12:P12)*0.7)</f>
        <v>263254.76883872616</v>
      </c>
      <c r="R13" s="35">
        <f>+(-SUM(L12:P12)*0.3)</f>
        <v>112823.47235945407</v>
      </c>
      <c r="S13" s="5">
        <f>SUM(D13:R13)</f>
        <v>572436.8130056555</v>
      </c>
      <c r="V13" s="34"/>
      <c r="W13" s="34"/>
      <c r="X13" s="34"/>
      <c r="Y13" s="34"/>
      <c r="Z13" s="34"/>
    </row>
    <row r="14" spans="2:26" ht="12.75" hidden="1" outlineLevel="1">
      <c r="B14" s="3" t="s">
        <v>53</v>
      </c>
      <c r="C14" s="20">
        <f t="shared" si="1"/>
        <v>334422</v>
      </c>
      <c r="D14" s="35">
        <v>0</v>
      </c>
      <c r="E14" s="35">
        <v>0</v>
      </c>
      <c r="F14" s="35">
        <v>0</v>
      </c>
      <c r="G14" s="35">
        <v>202224</v>
      </c>
      <c r="H14" s="35">
        <v>0</v>
      </c>
      <c r="I14" s="35">
        <v>132198</v>
      </c>
      <c r="J14" s="35">
        <v>0</v>
      </c>
      <c r="K14" s="35">
        <v>0</v>
      </c>
      <c r="L14" s="35">
        <v>0</v>
      </c>
      <c r="M14" s="35">
        <v>0</v>
      </c>
      <c r="N14" s="35">
        <v>0</v>
      </c>
      <c r="O14" s="35">
        <v>0</v>
      </c>
      <c r="P14" s="35">
        <v>0</v>
      </c>
      <c r="Q14" s="35">
        <v>0</v>
      </c>
      <c r="R14" s="35">
        <v>0</v>
      </c>
      <c r="S14" s="5">
        <f>SUM(D14:R14)</f>
        <v>334422</v>
      </c>
      <c r="U14" s="34"/>
      <c r="V14" s="34"/>
      <c r="W14" s="34"/>
      <c r="X14" s="34"/>
      <c r="Y14" s="34"/>
      <c r="Z14" s="34"/>
    </row>
    <row r="15" spans="2:19" ht="12.75" collapsed="1">
      <c r="B15" s="32" t="s">
        <v>54</v>
      </c>
      <c r="C15" s="5">
        <f t="shared" si="1"/>
        <v>929140.97</v>
      </c>
      <c r="D15" s="5">
        <f>SUM(D11:D14)</f>
        <v>146903.9</v>
      </c>
      <c r="E15" s="5">
        <f>SUM(E11:E14)</f>
        <v>33524.60819252471</v>
      </c>
      <c r="F15" s="5">
        <f aca="true" t="shared" si="2" ref="F15:S15">SUM(F11:F14)</f>
        <v>87506.4918074753</v>
      </c>
      <c r="G15" s="5">
        <f t="shared" si="2"/>
        <v>311151.99</v>
      </c>
      <c r="H15" s="5">
        <f t="shared" si="2"/>
        <v>108927.98999999999</v>
      </c>
      <c r="I15" s="5">
        <f t="shared" si="2"/>
        <v>241125.99</v>
      </c>
      <c r="J15" s="5">
        <f t="shared" si="2"/>
        <v>108927.98999999999</v>
      </c>
      <c r="K15" s="5">
        <f t="shared" si="2"/>
        <v>108927.98999999999</v>
      </c>
      <c r="L15" s="5">
        <f t="shared" si="2"/>
        <v>2159.1249044366123</v>
      </c>
      <c r="M15" s="5">
        <f t="shared" si="2"/>
        <v>133852.99000000002</v>
      </c>
      <c r="N15" s="5">
        <f t="shared" si="2"/>
        <v>89168.53773684628</v>
      </c>
      <c r="O15" s="5">
        <f t="shared" si="2"/>
        <v>68006.05616053696</v>
      </c>
      <c r="P15" s="5">
        <f t="shared" si="2"/>
        <v>0</v>
      </c>
      <c r="Q15" s="5">
        <f t="shared" si="2"/>
        <v>346722.6688387262</v>
      </c>
      <c r="R15" s="5">
        <f t="shared" si="2"/>
        <v>196291.37235945408</v>
      </c>
      <c r="S15" s="5">
        <f t="shared" si="2"/>
        <v>1983197.6999999997</v>
      </c>
    </row>
    <row r="16" spans="2:19" ht="12.75" hidden="1" outlineLevel="1">
      <c r="B16" s="3" t="s">
        <v>50</v>
      </c>
      <c r="C16" s="35">
        <f t="shared" si="1"/>
        <v>76975.17</v>
      </c>
      <c r="D16" s="35">
        <v>0</v>
      </c>
      <c r="E16" s="35">
        <v>11721.18</v>
      </c>
      <c r="F16" s="35">
        <v>9082.92</v>
      </c>
      <c r="G16" s="35">
        <v>18723.69</v>
      </c>
      <c r="H16" s="35">
        <v>18723.69</v>
      </c>
      <c r="I16" s="35">
        <v>18723.69</v>
      </c>
      <c r="J16" s="35">
        <v>18723.69</v>
      </c>
      <c r="K16" s="35">
        <v>18723.69</v>
      </c>
      <c r="L16" s="35">
        <v>39897.49</v>
      </c>
      <c r="M16" s="35">
        <v>39897.49</v>
      </c>
      <c r="N16" s="35">
        <v>39897.49</v>
      </c>
      <c r="O16" s="35">
        <v>39897.49</v>
      </c>
      <c r="P16" s="35">
        <v>39897.49</v>
      </c>
      <c r="Q16" s="35">
        <v>17206.7</v>
      </c>
      <c r="R16" s="35">
        <v>17206.7</v>
      </c>
      <c r="S16" s="5">
        <f>SUM(D16:R16)</f>
        <v>348323.4</v>
      </c>
    </row>
    <row r="17" spans="2:19" ht="12.75" hidden="1" outlineLevel="1">
      <c r="B17" s="3" t="s">
        <v>51</v>
      </c>
      <c r="C17" s="35">
        <f t="shared" si="1"/>
        <v>-6985.684981797181</v>
      </c>
      <c r="D17" s="35">
        <v>0</v>
      </c>
      <c r="E17" s="35">
        <v>-6985.684981797181</v>
      </c>
      <c r="F17" s="35">
        <v>0</v>
      </c>
      <c r="G17" s="35">
        <v>0</v>
      </c>
      <c r="H17" s="35">
        <v>0</v>
      </c>
      <c r="I17" s="35">
        <v>0</v>
      </c>
      <c r="J17" s="35">
        <v>0</v>
      </c>
      <c r="K17" s="35">
        <v>0</v>
      </c>
      <c r="L17" s="35">
        <v>-39253.92078063844</v>
      </c>
      <c r="M17" s="35">
        <v>0</v>
      </c>
      <c r="N17" s="35">
        <v>-13319.071074352943</v>
      </c>
      <c r="O17" s="35">
        <v>-19626.96077533</v>
      </c>
      <c r="P17" s="35">
        <v>-39897.49</v>
      </c>
      <c r="Q17" s="41">
        <f>-Q16</f>
        <v>-17206.7</v>
      </c>
      <c r="R17" s="41">
        <f>-R16</f>
        <v>-17206.7</v>
      </c>
      <c r="S17" s="5">
        <f>SUM(D17:R17)</f>
        <v>-153496.52761211857</v>
      </c>
    </row>
    <row r="18" spans="2:19" ht="12.75" hidden="1" outlineLevel="1">
      <c r="B18" s="3" t="s">
        <v>52</v>
      </c>
      <c r="C18" s="35">
        <f t="shared" si="1"/>
        <v>23525.68498179718</v>
      </c>
      <c r="D18" s="35">
        <v>16540</v>
      </c>
      <c r="E18" s="35">
        <v>0</v>
      </c>
      <c r="F18" s="35">
        <f>-E17</f>
        <v>6985.684981797181</v>
      </c>
      <c r="G18" s="35">
        <v>0</v>
      </c>
      <c r="H18" s="35">
        <v>0</v>
      </c>
      <c r="I18" s="35">
        <v>0</v>
      </c>
      <c r="J18" s="35">
        <v>0</v>
      </c>
      <c r="K18" s="35">
        <v>0</v>
      </c>
      <c r="L18" s="35">
        <v>0</v>
      </c>
      <c r="M18" s="35">
        <v>0</v>
      </c>
      <c r="N18" s="35">
        <v>0</v>
      </c>
      <c r="O18" s="35">
        <v>0</v>
      </c>
      <c r="P18" s="35">
        <v>0</v>
      </c>
      <c r="Q18" s="35">
        <f>+(-SUM(L17:P17)*0.7)</f>
        <v>78468.20984122495</v>
      </c>
      <c r="R18" s="35">
        <f>+(-SUM(L17:P17)*0.3)</f>
        <v>33629.23278909641</v>
      </c>
      <c r="S18" s="5">
        <f>SUM(D18:R18)</f>
        <v>135623.12761211855</v>
      </c>
    </row>
    <row r="19" spans="2:19" ht="12.75" hidden="1" outlineLevel="1">
      <c r="B19" s="3" t="s">
        <v>53</v>
      </c>
      <c r="C19" s="35">
        <f t="shared" si="1"/>
        <v>30224</v>
      </c>
      <c r="D19" s="35">
        <v>0</v>
      </c>
      <c r="E19" s="35">
        <v>0</v>
      </c>
      <c r="F19" s="35">
        <v>0</v>
      </c>
      <c r="G19" s="35">
        <v>18277</v>
      </c>
      <c r="H19" s="35">
        <v>0</v>
      </c>
      <c r="I19" s="35">
        <v>11947</v>
      </c>
      <c r="J19" s="35">
        <v>0</v>
      </c>
      <c r="K19" s="35">
        <v>0</v>
      </c>
      <c r="L19" s="35">
        <v>0</v>
      </c>
      <c r="M19" s="35">
        <v>0</v>
      </c>
      <c r="N19" s="35">
        <v>0</v>
      </c>
      <c r="O19" s="35">
        <v>0</v>
      </c>
      <c r="P19" s="35">
        <v>0</v>
      </c>
      <c r="Q19" s="35">
        <v>0</v>
      </c>
      <c r="R19" s="35">
        <v>0</v>
      </c>
      <c r="S19" s="5">
        <f>SUM(D19:R19)</f>
        <v>30224</v>
      </c>
    </row>
    <row r="20" spans="2:19" ht="12.75" collapsed="1">
      <c r="B20" s="32" t="s">
        <v>25</v>
      </c>
      <c r="C20" s="5">
        <f t="shared" si="1"/>
        <v>123739.17000000001</v>
      </c>
      <c r="D20" s="5">
        <f>SUM(D16:D19)</f>
        <v>16540</v>
      </c>
      <c r="E20" s="5">
        <f>SUM(E16:E19)</f>
        <v>4735.49501820282</v>
      </c>
      <c r="F20" s="5">
        <f aca="true" t="shared" si="3" ref="F20:S20">SUM(F16:F19)</f>
        <v>16068.604981797183</v>
      </c>
      <c r="G20" s="5">
        <f t="shared" si="3"/>
        <v>37000.69</v>
      </c>
      <c r="H20" s="5">
        <f t="shared" si="3"/>
        <v>18723.69</v>
      </c>
      <c r="I20" s="5">
        <f t="shared" si="3"/>
        <v>30670.69</v>
      </c>
      <c r="J20" s="5">
        <f t="shared" si="3"/>
        <v>18723.69</v>
      </c>
      <c r="K20" s="5">
        <f t="shared" si="3"/>
        <v>18723.69</v>
      </c>
      <c r="L20" s="5">
        <f t="shared" si="3"/>
        <v>643.5692193615614</v>
      </c>
      <c r="M20" s="5">
        <f t="shared" si="3"/>
        <v>39897.49</v>
      </c>
      <c r="N20" s="5">
        <f t="shared" si="3"/>
        <v>26578.418925647056</v>
      </c>
      <c r="O20" s="5">
        <f t="shared" si="3"/>
        <v>20270.529224669997</v>
      </c>
      <c r="P20" s="5">
        <f t="shared" si="3"/>
        <v>0</v>
      </c>
      <c r="Q20" s="5">
        <f t="shared" si="3"/>
        <v>78468.20984122495</v>
      </c>
      <c r="R20" s="5">
        <f t="shared" si="3"/>
        <v>33629.23278909641</v>
      </c>
      <c r="S20" s="5">
        <f t="shared" si="3"/>
        <v>360674</v>
      </c>
    </row>
    <row r="21" spans="2:19" s="39" customFormat="1" ht="12.75">
      <c r="B21" s="37" t="s">
        <v>56</v>
      </c>
      <c r="C21" s="36">
        <f t="shared" si="1"/>
        <v>11069.82</v>
      </c>
      <c r="D21" s="36">
        <v>8966</v>
      </c>
      <c r="E21" s="36">
        <v>138.07507242623998</v>
      </c>
      <c r="F21" s="36">
        <v>430.52492757376</v>
      </c>
      <c r="G21" s="36">
        <v>511.74</v>
      </c>
      <c r="H21" s="36">
        <v>511.74</v>
      </c>
      <c r="I21" s="36">
        <v>511.74</v>
      </c>
      <c r="J21" s="36">
        <v>511.74</v>
      </c>
      <c r="K21" s="36">
        <v>511.74</v>
      </c>
      <c r="L21" s="36">
        <v>8.170778471913996</v>
      </c>
      <c r="M21" s="36">
        <v>506.54</v>
      </c>
      <c r="N21" s="36">
        <v>337.440583921376</v>
      </c>
      <c r="O21" s="36">
        <v>257.355384347846</v>
      </c>
      <c r="P21" s="36">
        <v>0</v>
      </c>
      <c r="Q21" s="36">
        <v>996.2352772812044</v>
      </c>
      <c r="R21" s="36">
        <v>426.95797597765903</v>
      </c>
      <c r="S21" s="38">
        <f>SUM(D21:R21)</f>
        <v>14626</v>
      </c>
    </row>
    <row r="22" spans="2:19" ht="12.75">
      <c r="B22" s="16" t="s">
        <v>55</v>
      </c>
      <c r="C22" s="7">
        <f t="shared" si="1"/>
        <v>1063949.96</v>
      </c>
      <c r="D22" s="7">
        <f>SUM(D15,D20:D21)</f>
        <v>172409.9</v>
      </c>
      <c r="E22" s="7">
        <f>SUM(E15,E20:E21)</f>
        <v>38398.17828315377</v>
      </c>
      <c r="F22" s="7">
        <f aca="true" t="shared" si="4" ref="F22:R22">SUM(F15,F20:F21)</f>
        <v>104005.62171684623</v>
      </c>
      <c r="G22" s="7">
        <f t="shared" si="4"/>
        <v>348664.42</v>
      </c>
      <c r="H22" s="7">
        <f t="shared" si="4"/>
        <v>128163.42</v>
      </c>
      <c r="I22" s="7">
        <f t="shared" si="4"/>
        <v>272308.42</v>
      </c>
      <c r="J22" s="7">
        <f t="shared" si="4"/>
        <v>128163.42</v>
      </c>
      <c r="K22" s="7">
        <f t="shared" si="4"/>
        <v>128163.42</v>
      </c>
      <c r="L22" s="7">
        <f t="shared" si="4"/>
        <v>2810.864902270088</v>
      </c>
      <c r="M22" s="7">
        <f t="shared" si="4"/>
        <v>174257.02000000002</v>
      </c>
      <c r="N22" s="7">
        <f t="shared" si="4"/>
        <v>116084.39724641471</v>
      </c>
      <c r="O22" s="7">
        <f t="shared" si="4"/>
        <v>88533.9407695548</v>
      </c>
      <c r="P22" s="7">
        <f t="shared" si="4"/>
        <v>0</v>
      </c>
      <c r="Q22" s="7">
        <f t="shared" si="4"/>
        <v>426187.11395723233</v>
      </c>
      <c r="R22" s="7">
        <f t="shared" si="4"/>
        <v>230347.56312452813</v>
      </c>
      <c r="S22" s="7">
        <f>SUM(S15,S20:S21)</f>
        <v>2358497.6999999997</v>
      </c>
    </row>
    <row r="23" spans="2:21" ht="12.75" hidden="1" outlineLevel="1">
      <c r="B23" s="3" t="s">
        <v>8</v>
      </c>
      <c r="C23" s="35">
        <f t="shared" si="1"/>
        <v>217768.5</v>
      </c>
      <c r="D23" s="35">
        <v>21082.98</v>
      </c>
      <c r="E23" s="35">
        <v>14055.32</v>
      </c>
      <c r="F23" s="35">
        <v>56221.28</v>
      </c>
      <c r="G23" s="35">
        <v>70187.64</v>
      </c>
      <c r="H23" s="35">
        <v>28110.64</v>
      </c>
      <c r="I23" s="35">
        <v>28110.64</v>
      </c>
      <c r="J23" s="35">
        <v>62935.64</v>
      </c>
      <c r="K23" s="35">
        <v>97758.28666666665</v>
      </c>
      <c r="L23" s="35">
        <v>48879.14333333334</v>
      </c>
      <c r="M23" s="35">
        <v>48879.14333333334</v>
      </c>
      <c r="N23" s="35">
        <v>48879.14333333334</v>
      </c>
      <c r="O23" s="35">
        <v>48879.14333333334</v>
      </c>
      <c r="P23" s="35">
        <v>34438.74</v>
      </c>
      <c r="Q23" s="35">
        <v>22959.16</v>
      </c>
      <c r="R23" s="35">
        <v>91836.64</v>
      </c>
      <c r="S23" s="5">
        <f>SUM(D23:R23)</f>
        <v>723213.5399999999</v>
      </c>
      <c r="U23" s="34"/>
    </row>
    <row r="24" spans="2:19" ht="12.75" hidden="1" outlineLevel="1">
      <c r="B24" s="3" t="s">
        <v>1</v>
      </c>
      <c r="C24" s="35">
        <f t="shared" si="1"/>
        <v>0</v>
      </c>
      <c r="D24" s="35">
        <v>0</v>
      </c>
      <c r="E24" s="35">
        <v>0</v>
      </c>
      <c r="F24" s="35">
        <v>0</v>
      </c>
      <c r="G24" s="35">
        <v>0</v>
      </c>
      <c r="H24" s="35">
        <v>0</v>
      </c>
      <c r="I24" s="35">
        <v>0</v>
      </c>
      <c r="J24" s="35">
        <v>0</v>
      </c>
      <c r="K24" s="35">
        <v>0</v>
      </c>
      <c r="L24" s="35">
        <v>0</v>
      </c>
      <c r="M24" s="35">
        <v>0</v>
      </c>
      <c r="N24" s="35">
        <v>0</v>
      </c>
      <c r="O24" s="35">
        <v>0</v>
      </c>
      <c r="P24" s="35">
        <v>0</v>
      </c>
      <c r="Q24" s="35">
        <v>0</v>
      </c>
      <c r="R24" s="35">
        <v>0</v>
      </c>
      <c r="S24" s="5">
        <f>SUM(D24:R24)</f>
        <v>0</v>
      </c>
    </row>
    <row r="25" spans="2:19" ht="12.75" collapsed="1">
      <c r="B25" s="32" t="s">
        <v>24</v>
      </c>
      <c r="C25" s="5">
        <f t="shared" si="1"/>
        <v>217768.5</v>
      </c>
      <c r="D25" s="5">
        <f>SUM(D23:D24)</f>
        <v>21082.98</v>
      </c>
      <c r="E25" s="5">
        <f>SUM(E23:E24)</f>
        <v>14055.32</v>
      </c>
      <c r="F25" s="5">
        <f aca="true" t="shared" si="5" ref="F25:R25">SUM(F23:F24)</f>
        <v>56221.28</v>
      </c>
      <c r="G25" s="5">
        <f t="shared" si="5"/>
        <v>70187.64</v>
      </c>
      <c r="H25" s="5">
        <f t="shared" si="5"/>
        <v>28110.64</v>
      </c>
      <c r="I25" s="5">
        <f t="shared" si="5"/>
        <v>28110.64</v>
      </c>
      <c r="J25" s="5">
        <f t="shared" si="5"/>
        <v>62935.64</v>
      </c>
      <c r="K25" s="5">
        <f t="shared" si="5"/>
        <v>97758.28666666665</v>
      </c>
      <c r="L25" s="5">
        <f t="shared" si="5"/>
        <v>48879.14333333334</v>
      </c>
      <c r="M25" s="5">
        <f t="shared" si="5"/>
        <v>48879.14333333334</v>
      </c>
      <c r="N25" s="5">
        <f t="shared" si="5"/>
        <v>48879.14333333334</v>
      </c>
      <c r="O25" s="5">
        <f t="shared" si="5"/>
        <v>48879.14333333334</v>
      </c>
      <c r="P25" s="5">
        <f t="shared" si="5"/>
        <v>34438.73999999999</v>
      </c>
      <c r="Q25" s="5">
        <f t="shared" si="5"/>
        <v>22959.159999999996</v>
      </c>
      <c r="R25" s="5">
        <f t="shared" si="5"/>
        <v>91836.63999999998</v>
      </c>
      <c r="S25" s="5">
        <f>SUM(S23:S24)</f>
        <v>723213.5399999999</v>
      </c>
    </row>
    <row r="26" spans="2:19" ht="12.75">
      <c r="B26" s="1" t="s">
        <v>4</v>
      </c>
      <c r="C26" s="35">
        <f t="shared" si="1"/>
        <v>50128.21</v>
      </c>
      <c r="D26" s="35">
        <v>34647.68</v>
      </c>
      <c r="E26" s="35">
        <v>6844</v>
      </c>
      <c r="F26" s="35">
        <v>1142.94</v>
      </c>
      <c r="G26" s="35">
        <v>4582.77</v>
      </c>
      <c r="H26" s="35">
        <v>0</v>
      </c>
      <c r="I26" s="35">
        <v>2910.82</v>
      </c>
      <c r="J26" s="35">
        <v>26833.33</v>
      </c>
      <c r="K26" s="35">
        <v>2002</v>
      </c>
      <c r="L26" s="35">
        <v>750</v>
      </c>
      <c r="M26" s="35">
        <v>450</v>
      </c>
      <c r="N26" s="35">
        <f>+J26</f>
        <v>26833.33</v>
      </c>
      <c r="O26" s="35">
        <v>750</v>
      </c>
      <c r="P26" s="35">
        <v>0</v>
      </c>
      <c r="Q26" s="35">
        <v>750</v>
      </c>
      <c r="R26" s="35">
        <f>+J26</f>
        <v>26833.33</v>
      </c>
      <c r="S26" s="5">
        <f>SUM(D26:R26)</f>
        <v>135330.2</v>
      </c>
    </row>
    <row r="27" spans="2:21" ht="12.75">
      <c r="B27" s="1" t="s">
        <v>5</v>
      </c>
      <c r="C27" s="35">
        <f t="shared" si="1"/>
        <v>111050.13500000001</v>
      </c>
      <c r="D27" s="35">
        <v>13326.0162</v>
      </c>
      <c r="E27" s="35">
        <v>8884.0108</v>
      </c>
      <c r="F27" s="35">
        <v>35536.0432</v>
      </c>
      <c r="G27" s="35">
        <v>17768.0216</v>
      </c>
      <c r="H27" s="35">
        <v>17768.0216</v>
      </c>
      <c r="I27" s="35">
        <v>17768.0216</v>
      </c>
      <c r="J27" s="35">
        <v>17768.0216</v>
      </c>
      <c r="K27" s="35">
        <v>63560.217566666666</v>
      </c>
      <c r="L27" s="35">
        <v>38513.538533333325</v>
      </c>
      <c r="M27" s="35">
        <v>38513.538533333325</v>
      </c>
      <c r="N27" s="35">
        <v>38513.538533333325</v>
      </c>
      <c r="O27" s="35">
        <v>38513.538533333325</v>
      </c>
      <c r="P27" s="35">
        <v>20785.951698</v>
      </c>
      <c r="Q27" s="35">
        <v>13857.301132</v>
      </c>
      <c r="R27" s="35">
        <v>55429.204528</v>
      </c>
      <c r="S27" s="5">
        <f>SUM(D27:R27)</f>
        <v>436504.985658</v>
      </c>
      <c r="U27" s="34"/>
    </row>
    <row r="28" spans="2:19" ht="12.75">
      <c r="B28" s="1" t="s">
        <v>6</v>
      </c>
      <c r="C28" s="35">
        <f t="shared" si="1"/>
        <v>192681.24</v>
      </c>
      <c r="D28" s="35">
        <v>15722.64</v>
      </c>
      <c r="E28" s="35">
        <v>0</v>
      </c>
      <c r="F28" s="35">
        <v>79730</v>
      </c>
      <c r="G28" s="35">
        <v>31608.99</v>
      </c>
      <c r="H28" s="35">
        <v>0</v>
      </c>
      <c r="I28" s="35">
        <v>65619.61</v>
      </c>
      <c r="J28" s="35">
        <v>0</v>
      </c>
      <c r="K28" s="35">
        <v>4051</v>
      </c>
      <c r="L28" s="35">
        <v>15000</v>
      </c>
      <c r="M28" s="35">
        <v>9500</v>
      </c>
      <c r="N28" s="35">
        <f>+I28/2</f>
        <v>32809.805</v>
      </c>
      <c r="O28" s="35">
        <v>15000</v>
      </c>
      <c r="P28" s="35">
        <v>0</v>
      </c>
      <c r="Q28" s="35">
        <v>15000</v>
      </c>
      <c r="R28" s="35">
        <f>+I28/3</f>
        <v>21873.203333333335</v>
      </c>
      <c r="S28" s="5">
        <f>SUM(D28:R28)</f>
        <v>305915.2483333333</v>
      </c>
    </row>
    <row r="29" spans="2:19" ht="13.5" thickBot="1">
      <c r="B29" s="1" t="s">
        <v>27</v>
      </c>
      <c r="C29" s="35">
        <f t="shared" si="1"/>
        <v>690000</v>
      </c>
      <c r="D29" s="35">
        <v>0</v>
      </c>
      <c r="E29" s="35">
        <v>55000</v>
      </c>
      <c r="F29" s="35">
        <v>0</v>
      </c>
      <c r="G29" s="35">
        <v>35000</v>
      </c>
      <c r="H29" s="35">
        <v>600000</v>
      </c>
      <c r="I29" s="35">
        <v>0</v>
      </c>
      <c r="J29" s="35">
        <v>0</v>
      </c>
      <c r="K29" s="35">
        <v>0</v>
      </c>
      <c r="L29" s="35">
        <v>630</v>
      </c>
      <c r="M29" s="35">
        <v>25630</v>
      </c>
      <c r="N29" s="35">
        <v>630</v>
      </c>
      <c r="O29" s="35">
        <v>630</v>
      </c>
      <c r="P29" s="35">
        <v>250</v>
      </c>
      <c r="Q29" s="35">
        <v>250</v>
      </c>
      <c r="R29" s="35">
        <v>250</v>
      </c>
      <c r="S29" s="5">
        <f>SUM(D29:R29)</f>
        <v>718270</v>
      </c>
    </row>
    <row r="30" spans="2:19" ht="12.75">
      <c r="B30" s="11" t="s">
        <v>7</v>
      </c>
      <c r="C30" s="8">
        <f t="shared" si="1"/>
        <v>2325578.045</v>
      </c>
      <c r="D30" s="8">
        <f>SUM(D22,D25:D29)</f>
        <v>257189.21620000002</v>
      </c>
      <c r="E30" s="8">
        <f>SUM(E22,E25:E29)</f>
        <v>123181.50908315377</v>
      </c>
      <c r="F30" s="8">
        <f aca="true" t="shared" si="6" ref="F30:R30">SUM(F22,F25:F29)</f>
        <v>276635.88491684623</v>
      </c>
      <c r="G30" s="8">
        <f t="shared" si="6"/>
        <v>507811.8416</v>
      </c>
      <c r="H30" s="8">
        <f t="shared" si="6"/>
        <v>774042.0816</v>
      </c>
      <c r="I30" s="8">
        <f t="shared" si="6"/>
        <v>386717.51159999997</v>
      </c>
      <c r="J30" s="8">
        <f t="shared" si="6"/>
        <v>235700.41160000002</v>
      </c>
      <c r="K30" s="8">
        <f t="shared" si="6"/>
        <v>295534.9242333333</v>
      </c>
      <c r="L30" s="8">
        <f t="shared" si="6"/>
        <v>106583.54676893675</v>
      </c>
      <c r="M30" s="8">
        <f t="shared" si="6"/>
        <v>297229.70186666667</v>
      </c>
      <c r="N30" s="8">
        <f t="shared" si="6"/>
        <v>263750.2141130814</v>
      </c>
      <c r="O30" s="8">
        <f t="shared" si="6"/>
        <v>192306.62263622147</v>
      </c>
      <c r="P30" s="8">
        <f t="shared" si="6"/>
        <v>55474.691697999995</v>
      </c>
      <c r="Q30" s="8">
        <f t="shared" si="6"/>
        <v>479003.5750892323</v>
      </c>
      <c r="R30" s="8">
        <f t="shared" si="6"/>
        <v>426569.9409858614</v>
      </c>
      <c r="S30" s="8">
        <f>SUM(S22,S25:S29)</f>
        <v>4677731.673991333</v>
      </c>
    </row>
    <row r="31" spans="3:4" ht="4.5" customHeight="1">
      <c r="C31" s="2"/>
      <c r="D31" s="2"/>
    </row>
    <row r="32" spans="2:4" ht="12.75">
      <c r="B32" s="1" t="s">
        <v>12</v>
      </c>
      <c r="C32" s="2"/>
      <c r="D32" s="2"/>
    </row>
    <row r="33" spans="2:19" ht="12.75">
      <c r="B33" s="1" t="s">
        <v>13</v>
      </c>
      <c r="C33" s="35">
        <f t="shared" si="1"/>
        <v>609633.51</v>
      </c>
      <c r="D33" s="35">
        <v>40057.62</v>
      </c>
      <c r="E33" s="35">
        <v>115606.44</v>
      </c>
      <c r="F33" s="35">
        <v>111728.49</v>
      </c>
      <c r="G33" s="35">
        <v>113037.76</v>
      </c>
      <c r="H33" s="35">
        <v>113674.13</v>
      </c>
      <c r="I33" s="35">
        <v>115529.07</v>
      </c>
      <c r="J33" s="35">
        <v>113547.22</v>
      </c>
      <c r="K33" s="35">
        <v>138319.42</v>
      </c>
      <c r="L33" s="35">
        <v>126960.37</v>
      </c>
      <c r="M33" s="35">
        <v>126960.37</v>
      </c>
      <c r="N33" s="35">
        <v>126960.37</v>
      </c>
      <c r="O33" s="35">
        <v>118336.41</v>
      </c>
      <c r="P33" s="35">
        <v>180425.72100000002</v>
      </c>
      <c r="Q33" s="35">
        <f>(E33*1.55)</f>
        <v>179189.98200000002</v>
      </c>
      <c r="R33" s="35">
        <f>(F33*1.55)</f>
        <v>173179.1595</v>
      </c>
      <c r="S33" s="5">
        <f aca="true" t="shared" si="7" ref="S33:S41">SUM(D33:R33)</f>
        <v>1893512.5325000004</v>
      </c>
    </row>
    <row r="34" spans="2:19" ht="12.75">
      <c r="B34" s="1" t="s">
        <v>14</v>
      </c>
      <c r="C34" s="35">
        <f t="shared" si="1"/>
        <v>75587.73999999999</v>
      </c>
      <c r="D34" s="35">
        <v>4151.15</v>
      </c>
      <c r="E34" s="35">
        <v>10935.21</v>
      </c>
      <c r="F34" s="35">
        <v>13039.62</v>
      </c>
      <c r="G34" s="35">
        <v>14900.64</v>
      </c>
      <c r="H34" s="35">
        <v>13192.72</v>
      </c>
      <c r="I34" s="35">
        <v>19368.4</v>
      </c>
      <c r="J34" s="35">
        <v>14454.18</v>
      </c>
      <c r="K34" s="35">
        <v>13417.09</v>
      </c>
      <c r="L34" s="35">
        <v>24917.07</v>
      </c>
      <c r="M34" s="35">
        <v>13250.4</v>
      </c>
      <c r="N34" s="35">
        <v>13250.4</v>
      </c>
      <c r="O34" s="35">
        <v>24917.07</v>
      </c>
      <c r="P34" s="35">
        <f aca="true" t="shared" si="8" ref="P34:P41">(D34*1.55)</f>
        <v>6434.282499999999</v>
      </c>
      <c r="Q34" s="35">
        <f>(E34*1.95)</f>
        <v>21323.659499999998</v>
      </c>
      <c r="R34" s="35">
        <f>(F34*1.75)</f>
        <v>22819.335000000003</v>
      </c>
      <c r="S34" s="5">
        <f t="shared" si="7"/>
        <v>230371.22699999998</v>
      </c>
    </row>
    <row r="35" spans="2:19" ht="12.75">
      <c r="B35" s="1" t="s">
        <v>15</v>
      </c>
      <c r="C35" s="35">
        <f t="shared" si="1"/>
        <v>158558.4</v>
      </c>
      <c r="D35" s="35">
        <v>14399.94</v>
      </c>
      <c r="E35" s="35">
        <v>24802.74</v>
      </c>
      <c r="F35" s="35">
        <v>24979.18</v>
      </c>
      <c r="G35" s="35">
        <v>31160.41</v>
      </c>
      <c r="H35" s="35">
        <v>32411.84</v>
      </c>
      <c r="I35" s="35">
        <v>30804.29</v>
      </c>
      <c r="J35" s="35">
        <v>30649.37</v>
      </c>
      <c r="K35" s="35">
        <v>25374.99</v>
      </c>
      <c r="L35" s="35">
        <v>31664.93</v>
      </c>
      <c r="M35" s="35">
        <v>31664.93</v>
      </c>
      <c r="N35" s="35">
        <v>31664.93</v>
      </c>
      <c r="O35" s="35">
        <v>31664.93</v>
      </c>
      <c r="P35" s="35">
        <f t="shared" si="8"/>
        <v>22319.907000000003</v>
      </c>
      <c r="Q35" s="35">
        <f>(E35*1.85)</f>
        <v>45885.069</v>
      </c>
      <c r="R35" s="35">
        <f>(F35*1.85)</f>
        <v>46211.483</v>
      </c>
      <c r="S35" s="5">
        <f t="shared" si="7"/>
        <v>455658.939</v>
      </c>
    </row>
    <row r="36" spans="2:19" ht="12.75">
      <c r="B36" s="1" t="s">
        <v>16</v>
      </c>
      <c r="C36" s="35">
        <f t="shared" si="1"/>
        <v>204488.36</v>
      </c>
      <c r="D36" s="35">
        <v>28236.52</v>
      </c>
      <c r="E36" s="35">
        <v>17533.73</v>
      </c>
      <c r="F36" s="35">
        <v>78373.12</v>
      </c>
      <c r="G36" s="35">
        <v>40116.27</v>
      </c>
      <c r="H36" s="35">
        <v>27171.09</v>
      </c>
      <c r="I36" s="35">
        <v>13057.63</v>
      </c>
      <c r="J36" s="35">
        <v>42233.18</v>
      </c>
      <c r="K36" s="35">
        <v>7976.87</v>
      </c>
      <c r="L36" s="35">
        <v>21750.19</v>
      </c>
      <c r="M36" s="35">
        <v>44196.36</v>
      </c>
      <c r="N36" s="35">
        <v>25016.78</v>
      </c>
      <c r="O36" s="35">
        <v>24536.27</v>
      </c>
      <c r="P36" s="35">
        <f t="shared" si="8"/>
        <v>43766.606</v>
      </c>
      <c r="Q36" s="35">
        <f aca="true" t="shared" si="9" ref="Q36:Q41">(E36*1.55)</f>
        <v>27177.2815</v>
      </c>
      <c r="R36" s="35">
        <f>(F36*0.55)</f>
        <v>43105.216</v>
      </c>
      <c r="S36" s="5">
        <f t="shared" si="7"/>
        <v>484247.11350000004</v>
      </c>
    </row>
    <row r="37" spans="2:19" ht="12.75">
      <c r="B37" s="1" t="s">
        <v>17</v>
      </c>
      <c r="C37" s="35">
        <f t="shared" si="1"/>
        <v>1180290.4300000002</v>
      </c>
      <c r="D37" s="35">
        <v>23619.21</v>
      </c>
      <c r="E37" s="35">
        <v>19962.51</v>
      </c>
      <c r="F37" s="35">
        <v>117761.43</v>
      </c>
      <c r="G37" s="35">
        <v>204664.67</v>
      </c>
      <c r="H37" s="35">
        <v>39129.08</v>
      </c>
      <c r="I37" s="35">
        <v>775153.53</v>
      </c>
      <c r="J37" s="35">
        <v>14519.79</v>
      </c>
      <c r="K37" s="35">
        <v>-349383.45</v>
      </c>
      <c r="L37" s="35">
        <v>58113.33</v>
      </c>
      <c r="M37" s="35">
        <v>57993.33</v>
      </c>
      <c r="N37" s="35">
        <v>57993.33</v>
      </c>
      <c r="O37" s="35">
        <v>71891.11</v>
      </c>
      <c r="P37" s="35">
        <f t="shared" si="8"/>
        <v>36609.775499999996</v>
      </c>
      <c r="Q37" s="35">
        <f t="shared" si="9"/>
        <v>30941.890499999998</v>
      </c>
      <c r="R37" s="35">
        <f>(F37*0.35)</f>
        <v>41216.500499999995</v>
      </c>
      <c r="S37" s="5">
        <f t="shared" si="7"/>
        <v>1200186.0365000002</v>
      </c>
    </row>
    <row r="38" spans="2:19" ht="12.75">
      <c r="B38" s="1" t="s">
        <v>18</v>
      </c>
      <c r="C38" s="35">
        <f t="shared" si="1"/>
        <v>0</v>
      </c>
      <c r="D38" s="35">
        <v>0</v>
      </c>
      <c r="E38" s="35">
        <v>0</v>
      </c>
      <c r="F38" s="35">
        <v>0</v>
      </c>
      <c r="G38" s="35">
        <v>0</v>
      </c>
      <c r="H38" s="35">
        <v>0</v>
      </c>
      <c r="I38" s="35">
        <v>0</v>
      </c>
      <c r="J38" s="35">
        <v>0</v>
      </c>
      <c r="K38" s="35">
        <v>0</v>
      </c>
      <c r="L38" s="35">
        <v>0</v>
      </c>
      <c r="M38" s="35">
        <v>0</v>
      </c>
      <c r="N38" s="35">
        <v>0</v>
      </c>
      <c r="O38" s="35">
        <v>0</v>
      </c>
      <c r="P38" s="35">
        <f t="shared" si="8"/>
        <v>0</v>
      </c>
      <c r="Q38" s="35">
        <f t="shared" si="9"/>
        <v>0</v>
      </c>
      <c r="R38" s="35">
        <f>(F38*1.55)</f>
        <v>0</v>
      </c>
      <c r="S38" s="5">
        <f t="shared" si="7"/>
        <v>0</v>
      </c>
    </row>
    <row r="39" spans="2:19" ht="12.75">
      <c r="B39" s="1" t="s">
        <v>19</v>
      </c>
      <c r="C39" s="35">
        <f t="shared" si="1"/>
        <v>98179.09999999999</v>
      </c>
      <c r="D39" s="35">
        <v>10828.59</v>
      </c>
      <c r="E39" s="35">
        <v>8752.25</v>
      </c>
      <c r="F39" s="35">
        <v>10869.09</v>
      </c>
      <c r="G39" s="35">
        <v>24046.86</v>
      </c>
      <c r="H39" s="35">
        <v>21099.42</v>
      </c>
      <c r="I39" s="35">
        <v>22582.89</v>
      </c>
      <c r="J39" s="35">
        <v>22642.62</v>
      </c>
      <c r="K39" s="35">
        <v>22606.14</v>
      </c>
      <c r="L39" s="35">
        <v>114657.96</v>
      </c>
      <c r="M39" s="35">
        <v>124657.96</v>
      </c>
      <c r="N39" s="35">
        <v>124657.96</v>
      </c>
      <c r="O39" s="35">
        <v>224657.96</v>
      </c>
      <c r="P39" s="35">
        <f>(D39*2.95)</f>
        <v>31944.340500000002</v>
      </c>
      <c r="Q39" s="35">
        <f>(E39*3.95)</f>
        <v>34571.387500000004</v>
      </c>
      <c r="R39" s="35">
        <f>(F39*3.55)</f>
        <v>38585.2695</v>
      </c>
      <c r="S39" s="5">
        <f t="shared" si="7"/>
        <v>837160.6975</v>
      </c>
    </row>
    <row r="40" spans="2:19" ht="12.75">
      <c r="B40" s="1" t="s">
        <v>29</v>
      </c>
      <c r="C40" s="35">
        <f t="shared" si="1"/>
        <v>0</v>
      </c>
      <c r="D40" s="35">
        <v>0</v>
      </c>
      <c r="E40" s="35">
        <v>0</v>
      </c>
      <c r="F40" s="35">
        <v>0</v>
      </c>
      <c r="G40" s="35">
        <v>0</v>
      </c>
      <c r="H40" s="35">
        <v>0</v>
      </c>
      <c r="I40" s="35">
        <v>0</v>
      </c>
      <c r="J40" s="35">
        <v>0</v>
      </c>
      <c r="K40" s="35">
        <v>0</v>
      </c>
      <c r="L40" s="35">
        <v>0</v>
      </c>
      <c r="M40" s="35">
        <v>0</v>
      </c>
      <c r="N40" s="35">
        <v>0</v>
      </c>
      <c r="O40" s="35">
        <v>0</v>
      </c>
      <c r="P40" s="35">
        <f t="shared" si="8"/>
        <v>0</v>
      </c>
      <c r="Q40" s="35">
        <f t="shared" si="9"/>
        <v>0</v>
      </c>
      <c r="R40" s="35">
        <f>(F40*1.55)</f>
        <v>0</v>
      </c>
      <c r="S40" s="5">
        <f t="shared" si="7"/>
        <v>0</v>
      </c>
    </row>
    <row r="41" spans="2:19" ht="13.5" thickBot="1">
      <c r="B41" s="1" t="s">
        <v>28</v>
      </c>
      <c r="C41" s="35">
        <f t="shared" si="1"/>
        <v>1865.39</v>
      </c>
      <c r="D41" s="35">
        <v>279.99</v>
      </c>
      <c r="E41" s="35">
        <v>476.48</v>
      </c>
      <c r="F41" s="35">
        <v>137.72</v>
      </c>
      <c r="G41" s="35">
        <v>223.57</v>
      </c>
      <c r="H41" s="35">
        <v>204.41</v>
      </c>
      <c r="I41" s="35">
        <v>543.22</v>
      </c>
      <c r="J41" s="35">
        <v>919.12</v>
      </c>
      <c r="K41" s="35">
        <v>361.74</v>
      </c>
      <c r="L41" s="35">
        <v>453.45</v>
      </c>
      <c r="M41" s="35">
        <v>453.45</v>
      </c>
      <c r="N41" s="35">
        <v>453.45</v>
      </c>
      <c r="O41" s="35">
        <v>453.45</v>
      </c>
      <c r="P41" s="35">
        <f t="shared" si="8"/>
        <v>433.9845</v>
      </c>
      <c r="Q41" s="35">
        <f t="shared" si="9"/>
        <v>738.5440000000001</v>
      </c>
      <c r="R41" s="35">
        <f>(F41*1.55)</f>
        <v>213.466</v>
      </c>
      <c r="S41" s="5">
        <f t="shared" si="7"/>
        <v>6346.0445</v>
      </c>
    </row>
    <row r="42" spans="2:19" ht="12.75">
      <c r="B42" s="11" t="s">
        <v>20</v>
      </c>
      <c r="C42" s="8">
        <f t="shared" si="1"/>
        <v>2328602.9299999997</v>
      </c>
      <c r="D42" s="8">
        <f>SUM(D33:D41)</f>
        <v>121573.02</v>
      </c>
      <c r="E42" s="8">
        <f>SUM(E33:E41)</f>
        <v>198069.36000000002</v>
      </c>
      <c r="F42" s="8">
        <f aca="true" t="shared" si="10" ref="F42:P42">SUM(F33:F41)</f>
        <v>356888.64999999997</v>
      </c>
      <c r="G42" s="8">
        <f t="shared" si="10"/>
        <v>428150.18</v>
      </c>
      <c r="H42" s="8">
        <f t="shared" si="10"/>
        <v>246882.68999999997</v>
      </c>
      <c r="I42" s="8">
        <f t="shared" si="10"/>
        <v>977039.03</v>
      </c>
      <c r="J42" s="8">
        <f t="shared" si="10"/>
        <v>238965.47999999998</v>
      </c>
      <c r="K42" s="8">
        <f t="shared" si="10"/>
        <v>-141327.2</v>
      </c>
      <c r="L42" s="8">
        <f t="shared" si="10"/>
        <v>378517.3</v>
      </c>
      <c r="M42" s="8">
        <f t="shared" si="10"/>
        <v>399176.8</v>
      </c>
      <c r="N42" s="8">
        <f t="shared" si="10"/>
        <v>379997.22000000003</v>
      </c>
      <c r="O42" s="8">
        <f t="shared" si="10"/>
        <v>496457.2</v>
      </c>
      <c r="P42" s="8">
        <f t="shared" si="10"/>
        <v>321934.617</v>
      </c>
      <c r="Q42" s="8">
        <f>SUM(Q33:Q41)</f>
        <v>339827.814</v>
      </c>
      <c r="R42" s="8">
        <f>SUM(R33:R41)</f>
        <v>365330.4295</v>
      </c>
      <c r="S42" s="8">
        <f>SUM(S33:S41)</f>
        <v>5107482.590500001</v>
      </c>
    </row>
    <row r="43" spans="3:4" ht="4.5" customHeight="1">
      <c r="C43" s="2"/>
      <c r="D43" s="2"/>
    </row>
    <row r="44" spans="2:18" ht="12.75">
      <c r="B44" s="4" t="s">
        <v>22</v>
      </c>
      <c r="C44" s="7">
        <f>C30-C42+C8</f>
        <v>22225.115000000224</v>
      </c>
      <c r="D44" s="7">
        <f>SUM(D8,D30,-D42)</f>
        <v>160866.1962</v>
      </c>
      <c r="E44" s="7">
        <f>SUM(E8,E30,-E42)</f>
        <v>85978.34528315379</v>
      </c>
      <c r="F44" s="7">
        <f aca="true" t="shared" si="11" ref="F44:R44">SUM(F8,F30,-F42)</f>
        <v>5725.580200000026</v>
      </c>
      <c r="G44" s="7">
        <f t="shared" si="11"/>
        <v>85387.24180000002</v>
      </c>
      <c r="H44" s="7">
        <f t="shared" si="11"/>
        <v>612546.6334000002</v>
      </c>
      <c r="I44" s="7">
        <f t="shared" si="11"/>
        <v>22225.115000000107</v>
      </c>
      <c r="J44" s="7">
        <f t="shared" si="11"/>
        <v>18960.046600000147</v>
      </c>
      <c r="K44" s="7">
        <f t="shared" si="11"/>
        <v>455822.17083333345</v>
      </c>
      <c r="L44" s="7">
        <f t="shared" si="11"/>
        <v>183888.4176022702</v>
      </c>
      <c r="M44" s="7">
        <f t="shared" si="11"/>
        <v>81941.31946893688</v>
      </c>
      <c r="N44" s="7">
        <f t="shared" si="11"/>
        <v>-34305.68641798175</v>
      </c>
      <c r="O44" s="7">
        <f t="shared" si="11"/>
        <v>-338456.2637817603</v>
      </c>
      <c r="P44" s="7">
        <f t="shared" si="11"/>
        <v>-604916.1890837604</v>
      </c>
      <c r="Q44" s="7">
        <f t="shared" si="11"/>
        <v>-465740.4279945281</v>
      </c>
      <c r="R44" s="7">
        <f t="shared" si="11"/>
        <v>-404500.9165086667</v>
      </c>
    </row>
    <row r="45" ht="4.5" customHeight="1"/>
    <row r="49" ht="12.75">
      <c r="S49" s="42" t="s">
        <v>60</v>
      </c>
    </row>
    <row r="50" ht="12.75">
      <c r="S50" s="42" t="s">
        <v>61</v>
      </c>
    </row>
  </sheetData>
  <sheetProtection/>
  <printOptions horizontalCentered="1"/>
  <pageMargins left="0.25" right="0.25" top="0.5" bottom="0.5" header="0.5" footer="0.25"/>
  <pageSetup fitToHeight="0" fitToWidth="1" horizontalDpi="600" verticalDpi="600" orientation="landscape" scale="61" r:id="rId1"/>
  <headerFooter alignWithMargins="0">
    <oddFooter>&amp;L&amp;D&amp;R&amp;"Tahoma,Regular"Page &amp;P</oddFooter>
  </headerFooter>
</worksheet>
</file>

<file path=xl/worksheets/sheet2.xml><?xml version="1.0" encoding="utf-8"?>
<worksheet xmlns="http://schemas.openxmlformats.org/spreadsheetml/2006/main" xmlns:r="http://schemas.openxmlformats.org/officeDocument/2006/relationships">
  <dimension ref="C2:G21"/>
  <sheetViews>
    <sheetView zoomScalePageLayoutView="0" workbookViewId="0" topLeftCell="B19">
      <selection activeCell="C43" sqref="C43"/>
    </sheetView>
  </sheetViews>
  <sheetFormatPr defaultColWidth="9.140625" defaultRowHeight="12.75"/>
  <cols>
    <col min="1" max="1" width="9.140625" style="1" customWidth="1"/>
    <col min="2" max="2" width="0.85546875" style="1" customWidth="1"/>
    <col min="3" max="3" width="13.28125" style="1" customWidth="1"/>
    <col min="4" max="7" width="13.28125" style="2" customWidth="1"/>
    <col min="8" max="8" width="0.85546875" style="2" customWidth="1"/>
    <col min="9" max="16" width="9.140625" style="2" customWidth="1"/>
    <col min="17" max="16384" width="9.140625" style="1" customWidth="1"/>
  </cols>
  <sheetData>
    <row r="2" spans="3:7" ht="12.75">
      <c r="C2" s="21" t="s">
        <v>30</v>
      </c>
      <c r="D2" s="22"/>
      <c r="E2" s="22"/>
      <c r="F2" s="22"/>
      <c r="G2" s="23"/>
    </row>
    <row r="3" spans="3:7" ht="12.75">
      <c r="C3" s="9"/>
      <c r="D3" s="12"/>
      <c r="E3" s="12"/>
      <c r="F3" s="12"/>
      <c r="G3" s="24"/>
    </row>
    <row r="4" spans="3:7" ht="52.5">
      <c r="C4" s="28" t="s">
        <v>31</v>
      </c>
      <c r="D4" s="29" t="s">
        <v>45</v>
      </c>
      <c r="E4" s="29" t="s">
        <v>46</v>
      </c>
      <c r="F4" s="29" t="s">
        <v>47</v>
      </c>
      <c r="G4" s="30" t="s">
        <v>48</v>
      </c>
    </row>
    <row r="5" spans="3:7" ht="12.75">
      <c r="C5" s="9" t="s">
        <v>32</v>
      </c>
      <c r="D5" s="25">
        <v>0.05</v>
      </c>
      <c r="E5" s="25">
        <v>0.01</v>
      </c>
      <c r="F5" s="25">
        <f>E5-D5</f>
        <v>-0.04</v>
      </c>
      <c r="G5" s="26">
        <f>SUM($F$5:F5)</f>
        <v>-0.04</v>
      </c>
    </row>
    <row r="6" spans="3:7" ht="12.75">
      <c r="C6" s="9" t="s">
        <v>33</v>
      </c>
      <c r="D6" s="25">
        <v>0.05</v>
      </c>
      <c r="E6" s="25">
        <v>0</v>
      </c>
      <c r="F6" s="25">
        <f aca="true" t="shared" si="0" ref="F6:F16">E6-D6</f>
        <v>-0.05</v>
      </c>
      <c r="G6" s="26">
        <f>SUM($F$5:F6)</f>
        <v>-0.09</v>
      </c>
    </row>
    <row r="7" spans="3:7" ht="12.75">
      <c r="C7" s="9" t="s">
        <v>34</v>
      </c>
      <c r="D7" s="25">
        <v>0.09</v>
      </c>
      <c r="E7" s="25">
        <v>0.09</v>
      </c>
      <c r="F7" s="25">
        <f t="shared" si="0"/>
        <v>0</v>
      </c>
      <c r="G7" s="26">
        <f>SUM($F$5:F7)</f>
        <v>-0.09</v>
      </c>
    </row>
    <row r="8" spans="3:7" ht="12.75">
      <c r="C8" s="9" t="s">
        <v>35</v>
      </c>
      <c r="D8" s="25">
        <v>0.09</v>
      </c>
      <c r="E8" s="25">
        <v>0.14</v>
      </c>
      <c r="F8" s="25">
        <f t="shared" si="0"/>
        <v>0.05000000000000002</v>
      </c>
      <c r="G8" s="26">
        <f>SUM($F$5:F8)</f>
        <v>-0.03999999999999998</v>
      </c>
    </row>
    <row r="9" spans="3:7" ht="12.75">
      <c r="C9" s="9" t="s">
        <v>36</v>
      </c>
      <c r="D9" s="25">
        <v>0.09</v>
      </c>
      <c r="E9" s="25">
        <v>0.045</v>
      </c>
      <c r="F9" s="25">
        <f t="shared" si="0"/>
        <v>-0.045</v>
      </c>
      <c r="G9" s="26">
        <f>SUM($F$5:F9)</f>
        <v>-0.08499999999999998</v>
      </c>
    </row>
    <row r="10" spans="3:7" ht="12.75">
      <c r="C10" s="9" t="s">
        <v>37</v>
      </c>
      <c r="D10" s="25">
        <v>0.09</v>
      </c>
      <c r="E10" s="25">
        <v>0.13</v>
      </c>
      <c r="F10" s="25">
        <f t="shared" si="0"/>
        <v>0.04000000000000001</v>
      </c>
      <c r="G10" s="26">
        <f>SUM($F$5:F10)</f>
        <v>-0.04499999999999997</v>
      </c>
    </row>
    <row r="11" spans="3:7" ht="12.75">
      <c r="C11" s="9" t="s">
        <v>38</v>
      </c>
      <c r="D11" s="25">
        <v>0.09</v>
      </c>
      <c r="E11" s="25">
        <v>0.135</v>
      </c>
      <c r="F11" s="25">
        <f t="shared" si="0"/>
        <v>0.04500000000000001</v>
      </c>
      <c r="G11" s="26">
        <f>SUM($F$5:F11)</f>
        <v>0</v>
      </c>
    </row>
    <row r="12" spans="3:7" ht="12.75">
      <c r="C12" s="9" t="s">
        <v>39</v>
      </c>
      <c r="D12" s="25">
        <f>0.45*0.2</f>
        <v>0.09000000000000001</v>
      </c>
      <c r="E12" s="25">
        <v>0.005</v>
      </c>
      <c r="F12" s="25">
        <f t="shared" si="0"/>
        <v>-0.085</v>
      </c>
      <c r="G12" s="26">
        <f>SUM($F$5:F12)</f>
        <v>-0.08499999999999996</v>
      </c>
    </row>
    <row r="13" spans="3:7" ht="12.75">
      <c r="C13" s="9" t="s">
        <v>40</v>
      </c>
      <c r="D13" s="25">
        <f>0.45*0.2</f>
        <v>0.09000000000000001</v>
      </c>
      <c r="E13" s="25">
        <v>0.09</v>
      </c>
      <c r="F13" s="25">
        <f t="shared" si="0"/>
        <v>0</v>
      </c>
      <c r="G13" s="26">
        <f>SUM($F$5:F13)</f>
        <v>-0.08499999999999996</v>
      </c>
    </row>
    <row r="14" spans="3:7" ht="12.75">
      <c r="C14" s="9" t="s">
        <v>41</v>
      </c>
      <c r="D14" s="25">
        <f>0.45*0.2</f>
        <v>0.09000000000000001</v>
      </c>
      <c r="E14" s="25">
        <v>0.06</v>
      </c>
      <c r="F14" s="25">
        <f t="shared" si="0"/>
        <v>-0.030000000000000013</v>
      </c>
      <c r="G14" s="26">
        <f>SUM($F$5:F14)</f>
        <v>-0.11499999999999998</v>
      </c>
    </row>
    <row r="15" spans="3:7" ht="12.75">
      <c r="C15" s="9" t="s">
        <v>42</v>
      </c>
      <c r="D15" s="25">
        <f>0.45*0.2</f>
        <v>0.09000000000000001</v>
      </c>
      <c r="E15" s="25">
        <v>0.045</v>
      </c>
      <c r="F15" s="25">
        <f t="shared" si="0"/>
        <v>-0.04500000000000001</v>
      </c>
      <c r="G15" s="26">
        <f>SUM($F$5:F15)</f>
        <v>-0.15999999999999998</v>
      </c>
    </row>
    <row r="16" spans="3:7" ht="12.75">
      <c r="C16" s="9" t="s">
        <v>43</v>
      </c>
      <c r="D16" s="25">
        <f>0.45*0.2</f>
        <v>0.09000000000000001</v>
      </c>
      <c r="E16" s="25">
        <v>0</v>
      </c>
      <c r="F16" s="25">
        <f t="shared" si="0"/>
        <v>-0.09000000000000001</v>
      </c>
      <c r="G16" s="26">
        <f>SUM($F$5:F16)</f>
        <v>-0.25</v>
      </c>
    </row>
    <row r="17" spans="3:7" ht="4.5" customHeight="1">
      <c r="C17" s="9"/>
      <c r="D17" s="25"/>
      <c r="E17" s="25"/>
      <c r="F17" s="25"/>
      <c r="G17" s="26"/>
    </row>
    <row r="18" spans="3:7" ht="12.75">
      <c r="C18" s="31" t="s">
        <v>44</v>
      </c>
      <c r="D18" s="25"/>
      <c r="E18" s="25"/>
      <c r="F18" s="25"/>
      <c r="G18" s="26"/>
    </row>
    <row r="19" spans="3:7" ht="12.75">
      <c r="C19" s="9" t="s">
        <v>32</v>
      </c>
      <c r="D19" s="25"/>
      <c r="E19" s="25">
        <v>0.175</v>
      </c>
      <c r="F19" s="25"/>
      <c r="G19" s="26">
        <f>SUM($F$5:F19)+SUM($E$19:E19)</f>
        <v>-0.07500000000000001</v>
      </c>
    </row>
    <row r="20" spans="3:7" ht="12.75">
      <c r="C20" s="9" t="s">
        <v>33</v>
      </c>
      <c r="D20" s="25"/>
      <c r="E20" s="25">
        <v>0.075</v>
      </c>
      <c r="F20" s="25"/>
      <c r="G20" s="26">
        <f>SUM($F$5:F20)+SUM($E$19:E20)</f>
        <v>0</v>
      </c>
    </row>
    <row r="21" spans="3:7" ht="12.75">
      <c r="C21" s="10"/>
      <c r="D21" s="15"/>
      <c r="E21" s="15"/>
      <c r="F21" s="15"/>
      <c r="G21" s="27"/>
    </row>
  </sheetData>
  <sheetProtection/>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2010 Waiver Item W40 Attachment 16 - Meeting Agendas (CA State Board of Education)</dc:title>
  <dc:subject>Request from various school districts and charter schools to waive for the 2010 calendar year California Education Code Section 14041.6, the requirement that substantial principal apportionment payments be deferred from February 2010 to July 2010, and from April and May 2010 to August 2010.</dc:subject>
  <dc:creator/>
  <cp:keywords>itemw40att16</cp:keywords>
  <dc:description/>
  <cp:lastModifiedBy> </cp:lastModifiedBy>
  <cp:lastPrinted>2010-03-15T15:58:33Z</cp:lastPrinted>
  <dcterms:created xsi:type="dcterms:W3CDTF">2009-03-30T23:30:00Z</dcterms:created>
  <dcterms:modified xsi:type="dcterms:W3CDTF">2010-04-22T21:36:42Z</dcterms:modified>
  <cp:category/>
  <cp:version/>
  <cp:contentType/>
  <cp:contentStatus/>
</cp:coreProperties>
</file>