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400" yWindow="408" windowWidth="15456" windowHeight="7200" activeTab="0"/>
  </bookViews>
  <sheets>
    <sheet name="Sheet1" sheetId="1" r:id="rId1"/>
    <sheet name="Sheet2" sheetId="2" r:id="rId2"/>
  </sheets>
  <externalReferences>
    <externalReference r:id="rId5"/>
    <externalReference r:id="rId6"/>
    <externalReference r:id="rId7"/>
    <externalReference r:id="rId8"/>
  </externalReferences>
  <definedNames>
    <definedName name="_xlnm.Print_Titles" localSheetId="0">'Sheet1'!$1:$1</definedName>
  </definedNames>
  <calcPr fullCalcOnLoad="1"/>
</workbook>
</file>

<file path=xl/sharedStrings.xml><?xml version="1.0" encoding="utf-8"?>
<sst xmlns="http://schemas.openxmlformats.org/spreadsheetml/2006/main" count="80" uniqueCount="62">
  <si>
    <t>REVENUES</t>
  </si>
  <si>
    <t>Special apportionment(s) for expanded grade</t>
  </si>
  <si>
    <t>Period ending</t>
  </si>
  <si>
    <t>TOTAL</t>
  </si>
  <si>
    <t>Other State revenues</t>
  </si>
  <si>
    <t>Other local revenues</t>
  </si>
  <si>
    <t>Federal revenues</t>
  </si>
  <si>
    <t>TOTAL REVENUES</t>
  </si>
  <si>
    <t>In-lieu property tax receipts</t>
  </si>
  <si>
    <t>Status</t>
  </si>
  <si>
    <t>Actual</t>
  </si>
  <si>
    <t>Projected</t>
  </si>
  <si>
    <t>EXPENDITURES</t>
  </si>
  <si>
    <t>Certificates salaries</t>
  </si>
  <si>
    <t>Classified salaries</t>
  </si>
  <si>
    <t>Employee benefits</t>
  </si>
  <si>
    <t>Books and supplies</t>
  </si>
  <si>
    <t>Services/other operating expenditures</t>
  </si>
  <si>
    <t>Capital outlay</t>
  </si>
  <si>
    <t>Direct support/indirect costs</t>
  </si>
  <si>
    <t>TOTAL EXPENDITURES</t>
  </si>
  <si>
    <t>Beginning cash balance</t>
  </si>
  <si>
    <t>Ending cash balance</t>
  </si>
  <si>
    <t>Monthly 2009-10 Cash Flow</t>
  </si>
  <si>
    <t>Total in-lieu property tax receipts</t>
  </si>
  <si>
    <t>Total categorical block grant</t>
  </si>
  <si>
    <t>Charter School Working Capital Program - Sample Cash Flow</t>
  </si>
  <si>
    <t>Extraordinary revenues (fundraising, etc.)</t>
  </si>
  <si>
    <t>Other debt service</t>
  </si>
  <si>
    <t>State revolving fund loan(s)</t>
  </si>
  <si>
    <t>2009-10 Principal Apportionment Monthly Payment Schedule</t>
  </si>
  <si>
    <t>Month</t>
  </si>
  <si>
    <t>July</t>
  </si>
  <si>
    <t>August</t>
  </si>
  <si>
    <t>September</t>
  </si>
  <si>
    <t>October</t>
  </si>
  <si>
    <t>November</t>
  </si>
  <si>
    <t>December</t>
  </si>
  <si>
    <t>January</t>
  </si>
  <si>
    <t>February</t>
  </si>
  <si>
    <t>March</t>
  </si>
  <si>
    <t>April</t>
  </si>
  <si>
    <t>May</t>
  </si>
  <si>
    <t>June</t>
  </si>
  <si>
    <t>Subsequent Year</t>
  </si>
  <si>
    <t>SBX4-16 Monthly Payment Schedule</t>
  </si>
  <si>
    <t>Monthly Payment Schedule with Deferrals</t>
  </si>
  <si>
    <t>Monthly % Shortfall/ Excess</t>
  </si>
  <si>
    <t>Cumulative % Shortfall/ Excess</t>
  </si>
  <si>
    <t>General purpose entitlement</t>
  </si>
  <si>
    <t>Categorical block grant (including impact aid)</t>
  </si>
  <si>
    <t>Less: deferred amounts</t>
  </si>
  <si>
    <t>Plus: amounts deferred from prior period</t>
  </si>
  <si>
    <t>Plus: special apportionment(s) for expanded grade</t>
  </si>
  <si>
    <t>Total general purpose entitlement</t>
  </si>
  <si>
    <t>Total principal apportionment</t>
  </si>
  <si>
    <t>Other state aid included in principal apportionment</t>
  </si>
  <si>
    <t>LEA: Animo Locke 2 Charter High School</t>
  </si>
  <si>
    <t xml:space="preserve">Fiscal YTD </t>
  </si>
  <si>
    <t>7/1/09 - 12/31/09</t>
  </si>
  <si>
    <t>Attachment 18</t>
  </si>
  <si>
    <t>Page 1 of 1</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</si>
</sst>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mmm\-yy;@"/>
    <numFmt numFmtId="166" formatCode="#,##0.00000000"/>
    <numFmt numFmtId="167" formatCode="_(* #,##0.00000000_);_(* \(#,##0.00000000\);_(* &quot;-&quot;??_);_(@_)"/>
    <numFmt numFmtId="168" formatCode="_(* #,##0.00000000_);_(* \(#,##0.00000000\);_(* &quot;-&quot;????????_);_(@_)"/>
  </numFmts>
  <fonts count="27">
    <font>
      <sz val="10"/>
      <name val="Arial"/>
      <family val="0"/>
    </font>
    <font>
      <sz val="11"/>
      <color indexed="8"/>
      <name val="Calibri"/>
      <family val="2"/>
    </font>
    <font>
      <sz val="10"/>
      <name val="Tahoma"/>
      <family val="2"/>
    </font>
    <font>
      <sz val="8"/>
      <name val="Arial"/>
      <family val="2"/>
    </font>
    <font>
      <b/>
      <sz val="10"/>
      <name val="Tahoma"/>
      <family val="2"/>
    </font>
    <font>
      <sz val="14"/>
      <name val="Arial"/>
      <family val="2"/>
    </font>
    <font>
      <sz val="14"/>
      <name val="Tahoma"/>
      <family val="2"/>
    </font>
    <font>
      <sz val="10"/>
      <color indexed="30"/>
      <name val="Tahoma"/>
      <family val="2"/>
    </font>
    <font>
      <u val="single"/>
      <sz val="10"/>
      <name val="Tahoma"/>
      <family val="2"/>
    </font>
    <font>
      <sz val="14"/>
      <color indexed="6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9"/>
      <name val="Tahom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style="medium"/>
      <bottom/>
    </border>
    <border>
      <left style="thin"/>
      <right/>
      <top/>
      <bottom/>
    </border>
    <border>
      <left style="thin"/>
      <right/>
      <top/>
      <bottom style="thin"/>
    </border>
    <border>
      <left/>
      <right/>
      <top/>
      <bottom style="medium"/>
    </border>
    <border>
      <left/>
      <right/>
      <top/>
      <bottom style="thin"/>
    </border>
    <border>
      <left style="thin"/>
      <right/>
      <top style="thin"/>
      <bottom/>
    </border>
    <border>
      <left/>
      <right/>
      <top style="thin"/>
      <bottom/>
    </border>
    <border>
      <left/>
      <right style="thin"/>
      <top style="thin"/>
      <bottom/>
    </border>
    <border>
      <left/>
      <right style="thin"/>
      <top/>
      <bottom/>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15" fillId="3" borderId="0" applyNumberFormat="0" applyBorder="0" applyAlignment="0" applyProtection="0"/>
    <xf numFmtId="0" fontId="19" fillId="20" borderId="1" applyNumberFormat="0" applyAlignment="0" applyProtection="0"/>
    <xf numFmtId="0" fontId="2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14"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7" fillId="7" borderId="1" applyNumberFormat="0" applyAlignment="0" applyProtection="0"/>
    <xf numFmtId="0" fontId="20" fillId="0" borderId="6" applyNumberFormat="0" applyFill="0" applyAlignment="0" applyProtection="0"/>
    <xf numFmtId="0" fontId="16" fillId="22" borderId="0" applyNumberFormat="0" applyBorder="0" applyAlignment="0" applyProtection="0"/>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10" fillId="0" borderId="0" applyNumberFormat="0" applyFill="0" applyBorder="0" applyAlignment="0" applyProtection="0"/>
    <xf numFmtId="0" fontId="24" fillId="0" borderId="9" applyNumberFormat="0" applyFill="0" applyAlignment="0" applyProtection="0"/>
    <xf numFmtId="0" fontId="22" fillId="0" borderId="0" applyNumberFormat="0" applyFill="0" applyBorder="0" applyAlignment="0" applyProtection="0"/>
  </cellStyleXfs>
  <cellXfs count="43">
    <xf numFmtId="0" fontId="0" fillId="0" borderId="0" xfId="0" applyAlignment="1">
      <alignment/>
    </xf>
    <xf numFmtId="0" fontId="2" fillId="0" borderId="0" xfId="0" applyFont="1" applyAlignment="1">
      <alignment/>
    </xf>
    <xf numFmtId="0" fontId="2" fillId="0" borderId="0" xfId="0" applyFont="1" applyAlignment="1">
      <alignment horizontal="right"/>
    </xf>
    <xf numFmtId="0" fontId="2" fillId="0" borderId="0" xfId="0" applyFont="1" applyAlignment="1">
      <alignment horizontal="left" indent="1"/>
    </xf>
    <xf numFmtId="0" fontId="4" fillId="0" borderId="0" xfId="0" applyFont="1" applyAlignment="1">
      <alignment/>
    </xf>
    <xf numFmtId="3" fontId="2" fillId="0" borderId="0" xfId="0" applyNumberFormat="1" applyFont="1" applyAlignment="1">
      <alignment horizontal="right"/>
    </xf>
    <xf numFmtId="165" fontId="2" fillId="0" borderId="0" xfId="0" applyNumberFormat="1" applyFont="1" applyAlignment="1">
      <alignment horizontal="right"/>
    </xf>
    <xf numFmtId="3" fontId="4" fillId="0" borderId="0" xfId="0" applyNumberFormat="1" applyFont="1" applyAlignment="1">
      <alignment horizontal="right"/>
    </xf>
    <xf numFmtId="3" fontId="4" fillId="0" borderId="10" xfId="0" applyNumberFormat="1" applyFont="1" applyBorder="1" applyAlignment="1">
      <alignment horizontal="right"/>
    </xf>
    <xf numFmtId="0" fontId="2" fillId="0" borderId="11" xfId="0" applyFont="1" applyBorder="1" applyAlignment="1">
      <alignment/>
    </xf>
    <xf numFmtId="0" fontId="2" fillId="0" borderId="12" xfId="0" applyFont="1" applyBorder="1" applyAlignment="1">
      <alignment/>
    </xf>
    <xf numFmtId="0" fontId="4" fillId="0" borderId="10" xfId="0" applyFont="1" applyBorder="1" applyAlignment="1">
      <alignment/>
    </xf>
    <xf numFmtId="0" fontId="2" fillId="0" borderId="0" xfId="0" applyFont="1" applyBorder="1" applyAlignment="1">
      <alignment horizontal="right"/>
    </xf>
    <xf numFmtId="0" fontId="4" fillId="0" borderId="13" xfId="0" applyFont="1" applyBorder="1" applyAlignment="1">
      <alignment/>
    </xf>
    <xf numFmtId="0" fontId="4" fillId="0" borderId="13" xfId="0" applyFont="1" applyBorder="1" applyAlignment="1">
      <alignment horizontal="right"/>
    </xf>
    <xf numFmtId="0" fontId="2" fillId="0" borderId="14" xfId="0" applyFont="1" applyBorder="1" applyAlignment="1">
      <alignment horizontal="right"/>
    </xf>
    <xf numFmtId="0" fontId="4" fillId="0" borderId="0" xfId="0" applyFont="1" applyAlignment="1">
      <alignment horizontal="left"/>
    </xf>
    <xf numFmtId="3" fontId="5" fillId="0" borderId="0" xfId="0" applyNumberFormat="1" applyFont="1" applyAlignment="1">
      <alignment/>
    </xf>
    <xf numFmtId="0" fontId="6" fillId="0" borderId="0" xfId="0" applyFont="1" applyAlignment="1">
      <alignment horizontal="right"/>
    </xf>
    <xf numFmtId="0" fontId="6" fillId="0" borderId="0" xfId="0" applyFont="1" applyAlignment="1">
      <alignment/>
    </xf>
    <xf numFmtId="3" fontId="7" fillId="0" borderId="0" xfId="0" applyNumberFormat="1" applyFont="1" applyAlignment="1">
      <alignment horizontal="right"/>
    </xf>
    <xf numFmtId="0" fontId="2" fillId="0" borderId="15" xfId="0" applyFont="1" applyBorder="1" applyAlignment="1">
      <alignment horizontal="centerContinuous"/>
    </xf>
    <xf numFmtId="0" fontId="2" fillId="0" borderId="16" xfId="0" applyFont="1" applyBorder="1" applyAlignment="1">
      <alignment horizontal="centerContinuous"/>
    </xf>
    <xf numFmtId="0" fontId="2" fillId="0" borderId="17" xfId="0" applyFont="1" applyBorder="1" applyAlignment="1">
      <alignment horizontal="centerContinuous"/>
    </xf>
    <xf numFmtId="0" fontId="2" fillId="0" borderId="18" xfId="0" applyFont="1" applyBorder="1" applyAlignment="1">
      <alignment horizontal="right"/>
    </xf>
    <xf numFmtId="164" fontId="2" fillId="0" borderId="0" xfId="57" applyNumberFormat="1" applyFont="1" applyBorder="1" applyAlignment="1">
      <alignment horizontal="center"/>
    </xf>
    <xf numFmtId="164" fontId="2" fillId="0" borderId="18" xfId="57" applyNumberFormat="1" applyFont="1" applyBorder="1" applyAlignment="1">
      <alignment horizontal="center"/>
    </xf>
    <xf numFmtId="0" fontId="2" fillId="0" borderId="19" xfId="0" applyFont="1" applyBorder="1" applyAlignment="1">
      <alignment horizontal="right"/>
    </xf>
    <xf numFmtId="0" fontId="2" fillId="0" borderId="12" xfId="0" applyFont="1" applyBorder="1" applyAlignment="1">
      <alignment wrapText="1"/>
    </xf>
    <xf numFmtId="164" fontId="2" fillId="0" borderId="14" xfId="0" applyNumberFormat="1" applyFont="1" applyBorder="1" applyAlignment="1">
      <alignment horizontal="center" wrapText="1"/>
    </xf>
    <xf numFmtId="164" fontId="2" fillId="0" borderId="19" xfId="0" applyNumberFormat="1" applyFont="1" applyBorder="1" applyAlignment="1">
      <alignment horizontal="center" wrapText="1"/>
    </xf>
    <xf numFmtId="0" fontId="8" fillId="0" borderId="11" xfId="0" applyFont="1" applyBorder="1" applyAlignment="1">
      <alignment/>
    </xf>
    <xf numFmtId="0" fontId="2" fillId="0" borderId="0" xfId="0" applyFont="1" applyAlignment="1">
      <alignment horizontal="left"/>
    </xf>
    <xf numFmtId="3" fontId="9" fillId="0" borderId="0" xfId="0" applyNumberFormat="1" applyFont="1" applyAlignment="1">
      <alignment/>
    </xf>
    <xf numFmtId="3" fontId="2" fillId="0" borderId="0" xfId="0" applyNumberFormat="1" applyFont="1" applyAlignment="1">
      <alignment/>
    </xf>
    <xf numFmtId="3" fontId="2" fillId="0" borderId="0" xfId="0" applyNumberFormat="1" applyFont="1" applyAlignment="1">
      <alignment horizontal="right"/>
    </xf>
    <xf numFmtId="3" fontId="8" fillId="0" borderId="0" xfId="0" applyNumberFormat="1" applyFont="1" applyAlignment="1">
      <alignment horizontal="right"/>
    </xf>
    <xf numFmtId="0" fontId="8" fillId="0" borderId="0" xfId="0" applyFont="1" applyAlignment="1">
      <alignment horizontal="left"/>
    </xf>
    <xf numFmtId="3" fontId="8" fillId="0" borderId="0" xfId="0" applyNumberFormat="1" applyFont="1" applyAlignment="1">
      <alignment horizontal="right"/>
    </xf>
    <xf numFmtId="0" fontId="8" fillId="0" borderId="0" xfId="0" applyFont="1" applyAlignment="1">
      <alignment/>
    </xf>
    <xf numFmtId="165" fontId="2" fillId="0" borderId="0" xfId="0" applyNumberFormat="1" applyFont="1" applyAlignment="1">
      <alignment horizontal="right"/>
    </xf>
    <xf numFmtId="3" fontId="2" fillId="0" borderId="0" xfId="0" applyNumberFormat="1" applyFont="1" applyFill="1" applyAlignment="1">
      <alignment horizontal="right"/>
    </xf>
    <xf numFmtId="0" fontId="26" fillId="0" borderId="0" xfId="0" applyFont="1"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q\Users\Finance\Finance-GD\audit%2009-10\pasummary2009p1-gd%20only.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q\Users\Finance\Finance-GD\audit%2009-10\payschedlea0910p1-gd%20onl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09-10%20cash%20deferral%20expenses%20v%2003-31-1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09-10%20cash%20deferral%20ar%20receipts%20v%2003-31-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summary2009p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09-10 P-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020,#"/>
      <sheetName val="#,030,#"/>
      <sheetName val="#,040,#"/>
      <sheetName val="#,050,#"/>
      <sheetName val="#,060,#"/>
      <sheetName val="#,070,#"/>
      <sheetName val="#,080,#"/>
      <sheetName val="#,090,#"/>
      <sheetName val="#,100,#"/>
      <sheetName val="#,110,#"/>
      <sheetName val="#,120,#"/>
      <sheetName val="#,130,#"/>
      <sheetName val="#,140,#"/>
      <sheetName val="#,150,#"/>
      <sheetName val="#,160,#"/>
      <sheetName val="locke"/>
      <sheetName val="ac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glptls1.RP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Z49"/>
  <sheetViews>
    <sheetView tabSelected="1" zoomScalePageLayoutView="0" workbookViewId="0" topLeftCell="J28">
      <selection activeCell="P50" sqref="P50"/>
    </sheetView>
  </sheetViews>
  <sheetFormatPr defaultColWidth="9.140625" defaultRowHeight="12.75" outlineLevelRow="1" outlineLevelCol="1"/>
  <cols>
    <col min="1" max="1" width="0.85546875" style="1" customWidth="1"/>
    <col min="2" max="2" width="45.7109375" style="1" customWidth="1"/>
    <col min="3" max="3" width="15.8515625" style="1" bestFit="1" customWidth="1"/>
    <col min="4" max="4" width="12.7109375" style="1" hidden="1" customWidth="1" outlineLevel="1"/>
    <col min="5" max="9" width="10.7109375" style="2" hidden="1" customWidth="1" outlineLevel="1"/>
    <col min="10" max="10" width="10.7109375" style="2" customWidth="1" collapsed="1"/>
    <col min="11" max="18" width="10.7109375" style="2" customWidth="1"/>
    <col min="19" max="19" width="14.28125" style="2" bestFit="1" customWidth="1"/>
    <col min="20" max="20" width="0.85546875" style="1" customWidth="1"/>
    <col min="21" max="16384" width="9.140625" style="1" customWidth="1"/>
  </cols>
  <sheetData>
    <row r="1" spans="2:19" s="19" customFormat="1" ht="17.25">
      <c r="B1" s="17" t="s">
        <v>26</v>
      </c>
      <c r="C1" s="17"/>
      <c r="D1" s="17"/>
      <c r="E1" s="18"/>
      <c r="F1" s="18"/>
      <c r="G1" s="18"/>
      <c r="H1" s="18"/>
      <c r="I1" s="18"/>
      <c r="J1" s="18"/>
      <c r="K1" s="18"/>
      <c r="L1" s="18"/>
      <c r="M1" s="18"/>
      <c r="N1" s="18"/>
      <c r="O1" s="18"/>
      <c r="P1" s="18"/>
      <c r="Q1" s="18"/>
      <c r="R1" s="18"/>
      <c r="S1" s="18"/>
    </row>
    <row r="2" spans="2:19" s="19" customFormat="1" ht="17.25">
      <c r="B2" s="33" t="s">
        <v>57</v>
      </c>
      <c r="C2" s="33"/>
      <c r="D2" s="33"/>
      <c r="E2" s="18"/>
      <c r="F2" s="18"/>
      <c r="G2" s="18"/>
      <c r="H2" s="18"/>
      <c r="I2" s="18"/>
      <c r="J2" s="18"/>
      <c r="K2" s="18"/>
      <c r="L2" s="18"/>
      <c r="M2" s="18"/>
      <c r="N2" s="18"/>
      <c r="O2" s="18"/>
      <c r="P2" s="18"/>
      <c r="Q2" s="18"/>
      <c r="R2" s="18"/>
      <c r="S2" s="18"/>
    </row>
    <row r="4" spans="2:19" ht="13.5" thickBot="1">
      <c r="B4" s="13" t="s">
        <v>23</v>
      </c>
      <c r="C4" s="13"/>
      <c r="D4" s="13"/>
      <c r="E4" s="14"/>
      <c r="F4" s="14"/>
      <c r="G4" s="14"/>
      <c r="H4" s="14"/>
      <c r="I4" s="14"/>
      <c r="J4" s="14"/>
      <c r="K4" s="14"/>
      <c r="L4" s="14"/>
      <c r="M4" s="14"/>
      <c r="N4" s="14"/>
      <c r="O4" s="14"/>
      <c r="P4" s="14"/>
      <c r="Q4" s="14"/>
      <c r="R4" s="14"/>
      <c r="S4" s="14"/>
    </row>
    <row r="5" spans="2:19" ht="12.75">
      <c r="B5" s="1" t="s">
        <v>2</v>
      </c>
      <c r="C5" s="1" t="s">
        <v>58</v>
      </c>
      <c r="D5" s="6">
        <v>40025</v>
      </c>
      <c r="E5" s="6">
        <v>40056</v>
      </c>
      <c r="F5" s="6">
        <v>40086</v>
      </c>
      <c r="G5" s="6">
        <v>40117</v>
      </c>
      <c r="H5" s="6">
        <v>40147</v>
      </c>
      <c r="I5" s="6">
        <v>40178</v>
      </c>
      <c r="J5" s="6">
        <v>40209</v>
      </c>
      <c r="K5" s="6">
        <v>40237</v>
      </c>
      <c r="L5" s="6">
        <v>40268</v>
      </c>
      <c r="M5" s="6">
        <v>40298</v>
      </c>
      <c r="N5" s="6">
        <v>40329</v>
      </c>
      <c r="O5" s="6">
        <v>40359</v>
      </c>
      <c r="P5" s="6">
        <v>40390</v>
      </c>
      <c r="Q5" s="6">
        <v>40421</v>
      </c>
      <c r="R5" s="6">
        <v>40451</v>
      </c>
      <c r="S5" s="2" t="s">
        <v>3</v>
      </c>
    </row>
    <row r="6" spans="2:18" ht="12.75">
      <c r="B6" s="1" t="s">
        <v>9</v>
      </c>
      <c r="C6" s="1" t="s">
        <v>59</v>
      </c>
      <c r="D6" s="40" t="s">
        <v>10</v>
      </c>
      <c r="E6" s="40" t="s">
        <v>10</v>
      </c>
      <c r="F6" s="40" t="s">
        <v>10</v>
      </c>
      <c r="G6" s="40" t="s">
        <v>10</v>
      </c>
      <c r="H6" s="40" t="s">
        <v>10</v>
      </c>
      <c r="I6" s="40" t="s">
        <v>10</v>
      </c>
      <c r="J6" s="40" t="s">
        <v>10</v>
      </c>
      <c r="K6" s="40" t="s">
        <v>10</v>
      </c>
      <c r="L6" s="40" t="s">
        <v>10</v>
      </c>
      <c r="M6" s="40" t="s">
        <v>11</v>
      </c>
      <c r="N6" s="40" t="s">
        <v>11</v>
      </c>
      <c r="O6" s="40" t="s">
        <v>11</v>
      </c>
      <c r="P6" s="40" t="s">
        <v>11</v>
      </c>
      <c r="Q6" s="40" t="s">
        <v>11</v>
      </c>
      <c r="R6" s="40" t="s">
        <v>11</v>
      </c>
    </row>
    <row r="7" ht="4.5" customHeight="1">
      <c r="E7" s="40"/>
    </row>
    <row r="8" spans="2:18" ht="12.75">
      <c r="B8" s="1" t="s">
        <v>21</v>
      </c>
      <c r="C8" s="34">
        <f>D8</f>
        <v>25250</v>
      </c>
      <c r="D8" s="35">
        <v>25250</v>
      </c>
      <c r="E8" s="5">
        <f>D44</f>
        <v>119990.25000000003</v>
      </c>
      <c r="F8" s="5">
        <f>E44</f>
        <v>-5885.676859391184</v>
      </c>
      <c r="G8" s="5">
        <f aca="true" t="shared" si="0" ref="G8:R8">F44</f>
        <v>-63579.70960999996</v>
      </c>
      <c r="H8" s="5">
        <f t="shared" si="0"/>
        <v>125174.86051000009</v>
      </c>
      <c r="I8" s="5">
        <f t="shared" si="0"/>
        <v>200035.6406300001</v>
      </c>
      <c r="J8" s="5">
        <f t="shared" si="0"/>
        <v>213639.2907500001</v>
      </c>
      <c r="K8" s="5">
        <f t="shared" si="0"/>
        <v>167691.19087000008</v>
      </c>
      <c r="L8" s="5">
        <f t="shared" si="0"/>
        <v>208321.98701333336</v>
      </c>
      <c r="M8" s="5">
        <f t="shared" si="0"/>
        <v>33242.293194919126</v>
      </c>
      <c r="N8" s="5">
        <f t="shared" si="0"/>
        <v>-8115.78398341412</v>
      </c>
      <c r="O8" s="5">
        <f t="shared" si="0"/>
        <v>-72316.11255052354</v>
      </c>
      <c r="P8" s="5">
        <f t="shared" si="0"/>
        <v>-196794.07418706856</v>
      </c>
      <c r="Q8" s="5">
        <f t="shared" si="0"/>
        <v>-413548.2912890685</v>
      </c>
      <c r="R8" s="5">
        <f t="shared" si="0"/>
        <v>-352228.30361612036</v>
      </c>
    </row>
    <row r="9" ht="4.5" customHeight="1"/>
    <row r="10" spans="2:15" ht="12.75">
      <c r="B10" s="1" t="s">
        <v>0</v>
      </c>
      <c r="K10" s="5"/>
      <c r="L10" s="5"/>
      <c r="M10" s="5"/>
      <c r="N10" s="5"/>
      <c r="O10" s="5"/>
    </row>
    <row r="11" spans="2:19" ht="10.5" customHeight="1" hidden="1" outlineLevel="1">
      <c r="B11" s="3" t="s">
        <v>49</v>
      </c>
      <c r="C11" s="20">
        <f>SUM(D11:I11)</f>
        <v>269391.08</v>
      </c>
      <c r="D11" s="35">
        <v>0</v>
      </c>
      <c r="E11" s="35">
        <v>49769.22</v>
      </c>
      <c r="F11" s="35">
        <v>23039.18</v>
      </c>
      <c r="G11" s="35">
        <v>65527.56</v>
      </c>
      <c r="H11" s="35">
        <v>65527.56</v>
      </c>
      <c r="I11" s="35">
        <v>65527.56</v>
      </c>
      <c r="J11" s="35">
        <v>65527.56</v>
      </c>
      <c r="K11" s="35">
        <v>65527.56</v>
      </c>
      <c r="L11" s="35">
        <v>97476.36</v>
      </c>
      <c r="M11" s="35">
        <v>97476.36</v>
      </c>
      <c r="N11" s="35">
        <v>97476.36</v>
      </c>
      <c r="O11" s="35">
        <v>97476.36</v>
      </c>
      <c r="P11" s="35">
        <v>97476.36</v>
      </c>
      <c r="Q11" s="35">
        <v>65102.75</v>
      </c>
      <c r="R11" s="35">
        <v>65102.75</v>
      </c>
      <c r="S11" s="5">
        <f>SUM(D11:R11)</f>
        <v>1018033.5</v>
      </c>
    </row>
    <row r="12" spans="2:26" ht="12.75" hidden="1" outlineLevel="1">
      <c r="B12" s="3" t="s">
        <v>51</v>
      </c>
      <c r="C12" s="20">
        <f aca="true" t="shared" si="1" ref="C12:C42">SUM(D12:I12)</f>
        <v>-29661.867892973223</v>
      </c>
      <c r="D12" s="35">
        <v>0</v>
      </c>
      <c r="E12" s="35">
        <v>-29661.867892973223</v>
      </c>
      <c r="F12" s="35">
        <v>0</v>
      </c>
      <c r="G12" s="35">
        <v>0</v>
      </c>
      <c r="H12" s="35">
        <v>0</v>
      </c>
      <c r="I12" s="35">
        <v>0</v>
      </c>
      <c r="J12" s="35">
        <v>0</v>
      </c>
      <c r="K12" s="35">
        <v>0</v>
      </c>
      <c r="L12" s="35">
        <v>-95904.01083940348</v>
      </c>
      <c r="M12" s="35">
        <v>0</v>
      </c>
      <c r="N12" s="35">
        <v>-32540.758000295602</v>
      </c>
      <c r="O12" s="35">
        <v>-47952.00636034862</v>
      </c>
      <c r="P12" s="35">
        <v>-97476.36</v>
      </c>
      <c r="Q12" s="41">
        <v>0</v>
      </c>
      <c r="R12" s="41">
        <v>0</v>
      </c>
      <c r="S12" s="5">
        <f>SUM(D12:R12)</f>
        <v>-303535.0030930209</v>
      </c>
      <c r="V12" s="34"/>
      <c r="W12" s="34"/>
      <c r="X12" s="34"/>
      <c r="Y12" s="34"/>
      <c r="Z12" s="34"/>
    </row>
    <row r="13" spans="2:26" ht="12.75" hidden="1" outlineLevel="1">
      <c r="B13" s="3" t="s">
        <v>52</v>
      </c>
      <c r="C13" s="20">
        <f t="shared" si="1"/>
        <v>155369.19789297323</v>
      </c>
      <c r="D13" s="35">
        <v>125707.33</v>
      </c>
      <c r="E13" s="35">
        <v>0</v>
      </c>
      <c r="F13" s="35">
        <f>-E12</f>
        <v>29661.867892973223</v>
      </c>
      <c r="G13" s="35">
        <v>0</v>
      </c>
      <c r="H13" s="35">
        <v>0</v>
      </c>
      <c r="I13" s="35">
        <v>0</v>
      </c>
      <c r="J13" s="35">
        <v>0</v>
      </c>
      <c r="K13" s="35">
        <v>0</v>
      </c>
      <c r="L13" s="35">
        <v>0</v>
      </c>
      <c r="M13" s="35">
        <v>0</v>
      </c>
      <c r="N13" s="35">
        <v>0</v>
      </c>
      <c r="O13" s="35">
        <v>0</v>
      </c>
      <c r="P13" s="35">
        <v>0</v>
      </c>
      <c r="Q13" s="35">
        <f>+(-SUM(L12:P12)*0.7)</f>
        <v>191711.19464003333</v>
      </c>
      <c r="R13" s="35">
        <f>+(-SUM(L12:P12)*0.3)</f>
        <v>82161.94056001429</v>
      </c>
      <c r="S13" s="5">
        <f>SUM(D13:R13)</f>
        <v>429242.33309302083</v>
      </c>
      <c r="V13" s="34"/>
      <c r="W13" s="34"/>
      <c r="X13" s="34"/>
      <c r="Y13" s="34"/>
      <c r="Z13" s="34"/>
    </row>
    <row r="14" spans="2:26" ht="12.75" hidden="1" outlineLevel="1">
      <c r="B14" s="3" t="s">
        <v>53</v>
      </c>
      <c r="C14" s="20">
        <f t="shared" si="1"/>
        <v>414227</v>
      </c>
      <c r="D14" s="35">
        <v>0</v>
      </c>
      <c r="E14" s="35">
        <v>0</v>
      </c>
      <c r="F14" s="35">
        <v>0</v>
      </c>
      <c r="G14" s="35">
        <v>235903</v>
      </c>
      <c r="H14" s="35">
        <v>0</v>
      </c>
      <c r="I14" s="35">
        <v>178324</v>
      </c>
      <c r="J14" s="35">
        <v>0</v>
      </c>
      <c r="K14" s="35">
        <v>0</v>
      </c>
      <c r="L14" s="35">
        <v>0</v>
      </c>
      <c r="M14" s="35">
        <v>0</v>
      </c>
      <c r="N14" s="35">
        <v>0</v>
      </c>
      <c r="O14" s="35">
        <v>0</v>
      </c>
      <c r="P14" s="35">
        <v>0</v>
      </c>
      <c r="Q14" s="35">
        <v>0</v>
      </c>
      <c r="R14" s="35">
        <v>0</v>
      </c>
      <c r="S14" s="5">
        <f>SUM(D14:R14)</f>
        <v>414227</v>
      </c>
      <c r="U14" s="34"/>
      <c r="V14" s="34"/>
      <c r="W14" s="34"/>
      <c r="X14" s="34"/>
      <c r="Y14" s="34"/>
      <c r="Z14" s="34"/>
    </row>
    <row r="15" spans="2:19" ht="12.75" collapsed="1">
      <c r="B15" s="32" t="s">
        <v>54</v>
      </c>
      <c r="C15" s="5">
        <f t="shared" si="1"/>
        <v>809325.4100000001</v>
      </c>
      <c r="D15" s="5">
        <f>SUM(D11:D14)</f>
        <v>125707.33</v>
      </c>
      <c r="E15" s="5">
        <f>SUM(E11:E14)</f>
        <v>20107.352107026778</v>
      </c>
      <c r="F15" s="5">
        <f aca="true" t="shared" si="2" ref="F15:S15">SUM(F11:F14)</f>
        <v>52701.047892973234</v>
      </c>
      <c r="G15" s="5">
        <f t="shared" si="2"/>
        <v>301430.56</v>
      </c>
      <c r="H15" s="5">
        <f t="shared" si="2"/>
        <v>65527.56</v>
      </c>
      <c r="I15" s="5">
        <f t="shared" si="2"/>
        <v>243851.56</v>
      </c>
      <c r="J15" s="5">
        <f t="shared" si="2"/>
        <v>65527.56</v>
      </c>
      <c r="K15" s="5">
        <f t="shared" si="2"/>
        <v>65527.56</v>
      </c>
      <c r="L15" s="5">
        <f t="shared" si="2"/>
        <v>1572.3491605965391</v>
      </c>
      <c r="M15" s="5">
        <f t="shared" si="2"/>
        <v>97476.36000000002</v>
      </c>
      <c r="N15" s="5">
        <f t="shared" si="2"/>
        <v>64935.60199970441</v>
      </c>
      <c r="O15" s="5">
        <f t="shared" si="2"/>
        <v>49524.353639651395</v>
      </c>
      <c r="P15" s="5">
        <f t="shared" si="2"/>
        <v>5.820766091346741E-11</v>
      </c>
      <c r="Q15" s="5">
        <f t="shared" si="2"/>
        <v>256813.94464003333</v>
      </c>
      <c r="R15" s="5">
        <f t="shared" si="2"/>
        <v>147264.69056001428</v>
      </c>
      <c r="S15" s="5">
        <f t="shared" si="2"/>
        <v>1557967.83</v>
      </c>
    </row>
    <row r="16" spans="2:19" ht="12.75" hidden="1" outlineLevel="1">
      <c r="B16" s="3" t="s">
        <v>50</v>
      </c>
      <c r="C16" s="35">
        <f t="shared" si="1"/>
        <v>58595.42</v>
      </c>
      <c r="D16" s="35">
        <v>0</v>
      </c>
      <c r="E16" s="35">
        <v>8745.96</v>
      </c>
      <c r="F16" s="35">
        <v>7090.64</v>
      </c>
      <c r="G16" s="35">
        <v>14252.94</v>
      </c>
      <c r="H16" s="35">
        <v>14252.94</v>
      </c>
      <c r="I16" s="35">
        <v>14252.94</v>
      </c>
      <c r="J16" s="35">
        <v>14252.94</v>
      </c>
      <c r="K16" s="35">
        <v>14252.94</v>
      </c>
      <c r="L16" s="35">
        <v>19763.54</v>
      </c>
      <c r="M16" s="35">
        <v>19763.54</v>
      </c>
      <c r="N16" s="35">
        <v>19763.54</v>
      </c>
      <c r="O16" s="35">
        <v>19763.54</v>
      </c>
      <c r="P16" s="35">
        <v>19763.54</v>
      </c>
      <c r="Q16" s="35">
        <v>11090.65</v>
      </c>
      <c r="R16" s="35">
        <v>11090.65</v>
      </c>
      <c r="S16" s="5">
        <f>SUM(D16:R16)</f>
        <v>208100.30000000002</v>
      </c>
    </row>
    <row r="17" spans="2:19" ht="12.75" hidden="1" outlineLevel="1">
      <c r="B17" s="3" t="s">
        <v>51</v>
      </c>
      <c r="C17" s="35">
        <f t="shared" si="1"/>
        <v>-5212.48896641796</v>
      </c>
      <c r="D17" s="35">
        <v>0</v>
      </c>
      <c r="E17" s="35">
        <v>-5212.48896641796</v>
      </c>
      <c r="F17" s="35">
        <v>0</v>
      </c>
      <c r="G17" s="35">
        <v>0</v>
      </c>
      <c r="H17" s="35">
        <v>0</v>
      </c>
      <c r="I17" s="35">
        <v>0</v>
      </c>
      <c r="J17" s="35">
        <v>0</v>
      </c>
      <c r="K17" s="35">
        <v>0</v>
      </c>
      <c r="L17" s="35">
        <v>-19444.742852369385</v>
      </c>
      <c r="M17" s="35">
        <v>0</v>
      </c>
      <c r="N17" s="35">
        <v>-6597.708125017824</v>
      </c>
      <c r="O17" s="35">
        <v>-9722.371616902856</v>
      </c>
      <c r="P17" s="35">
        <v>-19763.54</v>
      </c>
      <c r="Q17" s="41">
        <f>-Q16</f>
        <v>-11090.650000000001</v>
      </c>
      <c r="R17" s="41">
        <f>-R16</f>
        <v>-11090.650000000001</v>
      </c>
      <c r="S17" s="5">
        <f>SUM(D17:R17)</f>
        <v>-82922.15156070804</v>
      </c>
    </row>
    <row r="18" spans="2:19" ht="12.75" hidden="1" outlineLevel="1">
      <c r="B18" s="3" t="s">
        <v>52</v>
      </c>
      <c r="C18" s="35">
        <f t="shared" si="1"/>
        <v>23255.48896641796</v>
      </c>
      <c r="D18" s="35">
        <v>18043</v>
      </c>
      <c r="E18" s="35">
        <v>0</v>
      </c>
      <c r="F18" s="35">
        <f>-E17</f>
        <v>5212.48896641796</v>
      </c>
      <c r="G18" s="35">
        <v>0</v>
      </c>
      <c r="H18" s="35">
        <v>0</v>
      </c>
      <c r="I18" s="35">
        <v>0</v>
      </c>
      <c r="J18" s="35">
        <v>0</v>
      </c>
      <c r="K18" s="35">
        <v>0</v>
      </c>
      <c r="L18" s="35">
        <v>0</v>
      </c>
      <c r="M18" s="35">
        <v>0</v>
      </c>
      <c r="N18" s="35">
        <v>0</v>
      </c>
      <c r="O18" s="35">
        <v>0</v>
      </c>
      <c r="P18" s="35">
        <v>0</v>
      </c>
      <c r="Q18" s="35">
        <f>+(-SUM(L17:P17)*0.7)</f>
        <v>38869.853816003044</v>
      </c>
      <c r="R18" s="35">
        <f>+(-SUM(L17:P17)*0.3)</f>
        <v>16658.508778287018</v>
      </c>
      <c r="S18" s="5">
        <f>SUM(D18:R18)</f>
        <v>78783.85156070802</v>
      </c>
    </row>
    <row r="19" spans="2:19" ht="12.75" hidden="1" outlineLevel="1">
      <c r="B19" s="3" t="s">
        <v>53</v>
      </c>
      <c r="C19" s="35">
        <f t="shared" si="1"/>
        <v>35894</v>
      </c>
      <c r="D19" s="35">
        <v>0</v>
      </c>
      <c r="E19" s="35">
        <v>0</v>
      </c>
      <c r="F19" s="35">
        <v>0</v>
      </c>
      <c r="G19" s="35">
        <v>20441</v>
      </c>
      <c r="H19" s="35">
        <v>0</v>
      </c>
      <c r="I19" s="35">
        <v>15453</v>
      </c>
      <c r="J19" s="35">
        <v>0</v>
      </c>
      <c r="K19" s="35">
        <v>0</v>
      </c>
      <c r="L19" s="35">
        <v>0</v>
      </c>
      <c r="M19" s="35">
        <v>0</v>
      </c>
      <c r="N19" s="35">
        <v>0</v>
      </c>
      <c r="O19" s="35">
        <v>0</v>
      </c>
      <c r="P19" s="35">
        <v>0</v>
      </c>
      <c r="Q19" s="35">
        <v>0</v>
      </c>
      <c r="R19" s="35">
        <v>0</v>
      </c>
      <c r="S19" s="5">
        <f>SUM(D19:R19)</f>
        <v>35894</v>
      </c>
    </row>
    <row r="20" spans="2:19" ht="12.75" collapsed="1">
      <c r="B20" s="32" t="s">
        <v>25</v>
      </c>
      <c r="C20" s="5">
        <f t="shared" si="1"/>
        <v>112532.42000000001</v>
      </c>
      <c r="D20" s="5">
        <f>SUM(D16:D19)</f>
        <v>18043</v>
      </c>
      <c r="E20" s="5">
        <f>SUM(E16:E19)</f>
        <v>3533.471033582039</v>
      </c>
      <c r="F20" s="5">
        <f aca="true" t="shared" si="3" ref="F20:S20">SUM(F16:F19)</f>
        <v>12303.12896641796</v>
      </c>
      <c r="G20" s="5">
        <f t="shared" si="3"/>
        <v>34693.94</v>
      </c>
      <c r="H20" s="5">
        <f t="shared" si="3"/>
        <v>14252.939999999999</v>
      </c>
      <c r="I20" s="5">
        <f t="shared" si="3"/>
        <v>29705.94</v>
      </c>
      <c r="J20" s="5">
        <f t="shared" si="3"/>
        <v>14252.939999999999</v>
      </c>
      <c r="K20" s="5">
        <f t="shared" si="3"/>
        <v>14252.939999999999</v>
      </c>
      <c r="L20" s="5">
        <f t="shared" si="3"/>
        <v>318.79714763061565</v>
      </c>
      <c r="M20" s="5">
        <f t="shared" si="3"/>
        <v>19763.54</v>
      </c>
      <c r="N20" s="5">
        <f t="shared" si="3"/>
        <v>13165.831874982177</v>
      </c>
      <c r="O20" s="5">
        <f t="shared" si="3"/>
        <v>10041.168383097145</v>
      </c>
      <c r="P20" s="5">
        <f t="shared" si="3"/>
        <v>0</v>
      </c>
      <c r="Q20" s="5">
        <f t="shared" si="3"/>
        <v>38869.853816003044</v>
      </c>
      <c r="R20" s="5">
        <f t="shared" si="3"/>
        <v>16658.508778287018</v>
      </c>
      <c r="S20" s="5">
        <f t="shared" si="3"/>
        <v>239856</v>
      </c>
    </row>
    <row r="21" spans="2:19" s="39" customFormat="1" ht="12.75">
      <c r="B21" s="37" t="s">
        <v>56</v>
      </c>
      <c r="C21" s="36">
        <f t="shared" si="1"/>
        <v>7606.03</v>
      </c>
      <c r="D21" s="36">
        <v>4676</v>
      </c>
      <c r="E21" s="36">
        <v>0</v>
      </c>
      <c r="F21" s="36">
        <v>791.9</v>
      </c>
      <c r="G21" s="36">
        <v>712.71</v>
      </c>
      <c r="H21" s="36">
        <v>712.71</v>
      </c>
      <c r="I21" s="36">
        <v>712.71</v>
      </c>
      <c r="J21" s="36">
        <v>712.71</v>
      </c>
      <c r="K21" s="36">
        <v>712.71</v>
      </c>
      <c r="L21" s="36">
        <v>11.377051691920995</v>
      </c>
      <c r="M21" s="36">
        <v>705.31</v>
      </c>
      <c r="N21" s="36">
        <v>469.85473653726405</v>
      </c>
      <c r="O21" s="36">
        <v>358.343519039719</v>
      </c>
      <c r="P21" s="36">
        <v>0</v>
      </c>
      <c r="Q21" s="36">
        <v>1387.165284911767</v>
      </c>
      <c r="R21" s="36">
        <v>594.4994078193287</v>
      </c>
      <c r="S21" s="38">
        <f>SUM(D21:R21)</f>
        <v>12557.999999999998</v>
      </c>
    </row>
    <row r="22" spans="2:19" ht="12.75">
      <c r="B22" s="16" t="s">
        <v>55</v>
      </c>
      <c r="C22" s="7">
        <f t="shared" si="1"/>
        <v>929463.8600000001</v>
      </c>
      <c r="D22" s="7">
        <f>SUM(D15,D20:D21)</f>
        <v>148426.33000000002</v>
      </c>
      <c r="E22" s="7">
        <f>SUM(E15,E20:E21)</f>
        <v>23640.823140608816</v>
      </c>
      <c r="F22" s="7">
        <f aca="true" t="shared" si="4" ref="F22:R22">SUM(F15,F20:F21)</f>
        <v>65796.07685939119</v>
      </c>
      <c r="G22" s="7">
        <f t="shared" si="4"/>
        <v>336837.21</v>
      </c>
      <c r="H22" s="7">
        <f t="shared" si="4"/>
        <v>80493.21</v>
      </c>
      <c r="I22" s="7">
        <f t="shared" si="4"/>
        <v>274270.21</v>
      </c>
      <c r="J22" s="7">
        <f t="shared" si="4"/>
        <v>80493.21</v>
      </c>
      <c r="K22" s="7">
        <f t="shared" si="4"/>
        <v>80493.21</v>
      </c>
      <c r="L22" s="7">
        <f t="shared" si="4"/>
        <v>1902.5233599190758</v>
      </c>
      <c r="M22" s="7">
        <f t="shared" si="4"/>
        <v>117945.21000000002</v>
      </c>
      <c r="N22" s="7">
        <f t="shared" si="4"/>
        <v>78571.28861122386</v>
      </c>
      <c r="O22" s="7">
        <f t="shared" si="4"/>
        <v>59923.86554178826</v>
      </c>
      <c r="P22" s="7">
        <f t="shared" si="4"/>
        <v>5.820766091346741E-11</v>
      </c>
      <c r="Q22" s="7">
        <f t="shared" si="4"/>
        <v>297070.9637409481</v>
      </c>
      <c r="R22" s="7">
        <f t="shared" si="4"/>
        <v>164517.69874612062</v>
      </c>
      <c r="S22" s="7">
        <f>SUM(S15,S20:S21)</f>
        <v>1810381.83</v>
      </c>
    </row>
    <row r="23" spans="2:21" ht="12.75" hidden="1" outlineLevel="1">
      <c r="B23" s="3" t="s">
        <v>8</v>
      </c>
      <c r="C23" s="35">
        <f t="shared" si="1"/>
        <v>148159</v>
      </c>
      <c r="D23" s="35">
        <v>12131.88</v>
      </c>
      <c r="E23" s="35">
        <v>8087.92</v>
      </c>
      <c r="F23" s="35">
        <v>32351.68</v>
      </c>
      <c r="G23" s="35">
        <v>63235.84</v>
      </c>
      <c r="H23" s="35">
        <v>16175.84</v>
      </c>
      <c r="I23" s="35">
        <v>16175.84</v>
      </c>
      <c r="J23" s="35">
        <v>60442.84</v>
      </c>
      <c r="K23" s="35">
        <v>71614.72</v>
      </c>
      <c r="L23" s="35">
        <v>35807.36</v>
      </c>
      <c r="M23" s="35">
        <v>35807.36</v>
      </c>
      <c r="N23" s="35">
        <v>35807.36</v>
      </c>
      <c r="O23" s="35">
        <v>35807.36</v>
      </c>
      <c r="P23" s="35">
        <v>25406.76</v>
      </c>
      <c r="Q23" s="35">
        <v>16937.84</v>
      </c>
      <c r="R23" s="35">
        <v>67751.36</v>
      </c>
      <c r="S23" s="5">
        <f>SUM(D23:R23)</f>
        <v>533541.9600000001</v>
      </c>
      <c r="U23" s="34"/>
    </row>
    <row r="24" spans="2:19" ht="12.75" hidden="1" outlineLevel="1">
      <c r="B24" s="3" t="s">
        <v>1</v>
      </c>
      <c r="C24" s="35">
        <f t="shared" si="1"/>
        <v>0</v>
      </c>
      <c r="D24" s="35">
        <v>0</v>
      </c>
      <c r="E24" s="35">
        <v>0</v>
      </c>
      <c r="F24" s="35">
        <v>0</v>
      </c>
      <c r="G24" s="35">
        <v>0</v>
      </c>
      <c r="H24" s="35">
        <v>0</v>
      </c>
      <c r="I24" s="35">
        <v>0</v>
      </c>
      <c r="J24" s="35">
        <v>0</v>
      </c>
      <c r="K24" s="35">
        <v>0</v>
      </c>
      <c r="L24" s="35">
        <v>0</v>
      </c>
      <c r="M24" s="35">
        <v>0</v>
      </c>
      <c r="N24" s="35">
        <v>0</v>
      </c>
      <c r="O24" s="35">
        <v>0</v>
      </c>
      <c r="P24" s="35">
        <v>0</v>
      </c>
      <c r="Q24" s="35">
        <v>0</v>
      </c>
      <c r="R24" s="35">
        <v>0</v>
      </c>
      <c r="S24" s="5">
        <f>SUM(D24:R24)</f>
        <v>0</v>
      </c>
    </row>
    <row r="25" spans="2:19" ht="12.75" collapsed="1">
      <c r="B25" s="32" t="s">
        <v>24</v>
      </c>
      <c r="C25" s="5">
        <f t="shared" si="1"/>
        <v>148159</v>
      </c>
      <c r="D25" s="5">
        <f>SUM(D23:D24)</f>
        <v>12131.88</v>
      </c>
      <c r="E25" s="5">
        <f>SUM(E23:E24)</f>
        <v>8087.92</v>
      </c>
      <c r="F25" s="5">
        <f aca="true" t="shared" si="5" ref="F25:R25">SUM(F23:F24)</f>
        <v>32351.68</v>
      </c>
      <c r="G25" s="5">
        <f t="shared" si="5"/>
        <v>63235.84</v>
      </c>
      <c r="H25" s="5">
        <f t="shared" si="5"/>
        <v>16175.84</v>
      </c>
      <c r="I25" s="5">
        <f t="shared" si="5"/>
        <v>16175.84</v>
      </c>
      <c r="J25" s="5">
        <f t="shared" si="5"/>
        <v>60442.84</v>
      </c>
      <c r="K25" s="5">
        <f t="shared" si="5"/>
        <v>71614.72</v>
      </c>
      <c r="L25" s="5">
        <f t="shared" si="5"/>
        <v>35807.360000000015</v>
      </c>
      <c r="M25" s="5">
        <f t="shared" si="5"/>
        <v>35807.360000000015</v>
      </c>
      <c r="N25" s="5">
        <f t="shared" si="5"/>
        <v>35807.360000000015</v>
      </c>
      <c r="O25" s="5">
        <f t="shared" si="5"/>
        <v>35807.360000000015</v>
      </c>
      <c r="P25" s="5">
        <f t="shared" si="5"/>
        <v>25406.76</v>
      </c>
      <c r="Q25" s="5">
        <f t="shared" si="5"/>
        <v>16937.84</v>
      </c>
      <c r="R25" s="5">
        <f t="shared" si="5"/>
        <v>67751.36</v>
      </c>
      <c r="S25" s="5">
        <f>SUM(S23:S24)</f>
        <v>533541.9600000001</v>
      </c>
    </row>
    <row r="26" spans="2:19" ht="12.75">
      <c r="B26" s="1" t="s">
        <v>4</v>
      </c>
      <c r="C26" s="35">
        <f t="shared" si="1"/>
        <v>28679.56</v>
      </c>
      <c r="D26" s="35">
        <v>23278.84</v>
      </c>
      <c r="E26" s="35">
        <v>3016</v>
      </c>
      <c r="F26" s="35">
        <v>1401.99</v>
      </c>
      <c r="G26" s="35">
        <v>311.5</v>
      </c>
      <c r="H26" s="35">
        <v>0</v>
      </c>
      <c r="I26" s="35">
        <v>671.23</v>
      </c>
      <c r="J26" s="35">
        <v>25453.99</v>
      </c>
      <c r="K26" s="35">
        <v>634</v>
      </c>
      <c r="L26" s="35">
        <v>0</v>
      </c>
      <c r="M26" s="35">
        <v>650</v>
      </c>
      <c r="N26" s="35">
        <f>+J26</f>
        <v>25453.99</v>
      </c>
      <c r="O26" s="35">
        <v>850</v>
      </c>
      <c r="P26" s="35">
        <v>0</v>
      </c>
      <c r="Q26" s="35">
        <v>0</v>
      </c>
      <c r="R26" s="35">
        <f>+N26+850</f>
        <v>26303.99</v>
      </c>
      <c r="S26" s="5">
        <f>SUM(D26:R26)</f>
        <v>108025.53000000001</v>
      </c>
    </row>
    <row r="27" spans="2:21" ht="12.75">
      <c r="B27" s="1" t="s">
        <v>5</v>
      </c>
      <c r="C27" s="35">
        <f t="shared" si="1"/>
        <v>63902.25074999999</v>
      </c>
      <c r="D27" s="35">
        <v>0</v>
      </c>
      <c r="E27" s="35">
        <v>0</v>
      </c>
      <c r="F27" s="35">
        <v>33229.17039</v>
      </c>
      <c r="G27" s="35">
        <v>10224.360120000001</v>
      </c>
      <c r="H27" s="35">
        <v>10224.360120000001</v>
      </c>
      <c r="I27" s="35">
        <v>10224.360120000001</v>
      </c>
      <c r="J27" s="35">
        <v>10224.360120000001</v>
      </c>
      <c r="K27" s="35">
        <v>53859.85614333332</v>
      </c>
      <c r="L27" s="35">
        <v>41681.63282166667</v>
      </c>
      <c r="M27" s="35">
        <v>41681.63282166667</v>
      </c>
      <c r="N27" s="35">
        <v>41681.63282166667</v>
      </c>
      <c r="O27" s="35">
        <v>41681.63282166667</v>
      </c>
      <c r="P27" s="35">
        <v>17682.779897999997</v>
      </c>
      <c r="Q27" s="35">
        <v>11788.519932</v>
      </c>
      <c r="R27" s="35">
        <v>47154.079728</v>
      </c>
      <c r="S27" s="5">
        <f>SUM(D27:R27)</f>
        <v>371338.377858</v>
      </c>
      <c r="U27" s="34"/>
    </row>
    <row r="28" spans="2:19" ht="12.75">
      <c r="B28" s="1" t="s">
        <v>6</v>
      </c>
      <c r="C28" s="35">
        <f t="shared" si="1"/>
        <v>170853.75</v>
      </c>
      <c r="D28" s="35">
        <v>9075.67</v>
      </c>
      <c r="E28" s="35">
        <v>0</v>
      </c>
      <c r="F28" s="35">
        <v>0</v>
      </c>
      <c r="G28" s="35">
        <v>9482.86</v>
      </c>
      <c r="H28" s="35">
        <f>144375</f>
        <v>144375</v>
      </c>
      <c r="I28" s="35">
        <v>7920.22</v>
      </c>
      <c r="J28" s="35">
        <v>0</v>
      </c>
      <c r="K28" s="35">
        <f>52812.5</f>
        <v>52812.5</v>
      </c>
      <c r="L28" s="35">
        <v>0</v>
      </c>
      <c r="M28" s="35">
        <v>4500</v>
      </c>
      <c r="N28" s="35">
        <v>0</v>
      </c>
      <c r="O28" s="35">
        <v>6500</v>
      </c>
      <c r="P28" s="35">
        <v>0</v>
      </c>
      <c r="Q28" s="35">
        <v>0</v>
      </c>
      <c r="R28" s="35">
        <v>4500</v>
      </c>
      <c r="S28" s="5">
        <f>SUM(D28:R28)</f>
        <v>239166.25</v>
      </c>
    </row>
    <row r="29" spans="2:19" ht="13.5" thickBot="1">
      <c r="B29" s="1" t="s">
        <v>27</v>
      </c>
      <c r="C29" s="35">
        <f t="shared" si="1"/>
        <v>3941.5</v>
      </c>
      <c r="D29" s="35">
        <v>0</v>
      </c>
      <c r="E29" s="35">
        <v>871</v>
      </c>
      <c r="F29" s="35">
        <v>0</v>
      </c>
      <c r="G29" s="35">
        <v>1929</v>
      </c>
      <c r="H29" s="35">
        <v>0</v>
      </c>
      <c r="I29" s="35">
        <v>1141.5</v>
      </c>
      <c r="J29" s="35">
        <v>1707.9</v>
      </c>
      <c r="K29" s="35">
        <v>170</v>
      </c>
      <c r="L29" s="35">
        <v>750</v>
      </c>
      <c r="M29" s="35">
        <v>750</v>
      </c>
      <c r="N29" s="35">
        <v>750</v>
      </c>
      <c r="O29" s="35">
        <v>750</v>
      </c>
      <c r="P29" s="35">
        <v>750</v>
      </c>
      <c r="Q29" s="35">
        <v>750</v>
      </c>
      <c r="R29" s="35">
        <v>750</v>
      </c>
      <c r="S29" s="5">
        <f>SUM(D29:R29)</f>
        <v>11069.4</v>
      </c>
    </row>
    <row r="30" spans="2:19" ht="12.75">
      <c r="B30" s="11" t="s">
        <v>7</v>
      </c>
      <c r="C30" s="8">
        <f t="shared" si="1"/>
        <v>1344999.92075</v>
      </c>
      <c r="D30" s="8">
        <f>SUM(D22,D25:D29)</f>
        <v>192912.72000000003</v>
      </c>
      <c r="E30" s="8">
        <f>SUM(E22,E25:E29)</f>
        <v>35615.743140608814</v>
      </c>
      <c r="F30" s="8">
        <f aca="true" t="shared" si="6" ref="F30:R30">SUM(F22,F25:F29)</f>
        <v>132778.9172493912</v>
      </c>
      <c r="G30" s="8">
        <f t="shared" si="6"/>
        <v>422020.77012000006</v>
      </c>
      <c r="H30" s="8">
        <f t="shared" si="6"/>
        <v>251268.41012000002</v>
      </c>
      <c r="I30" s="8">
        <f t="shared" si="6"/>
        <v>310403.36012</v>
      </c>
      <c r="J30" s="8">
        <f t="shared" si="6"/>
        <v>178322.30011999997</v>
      </c>
      <c r="K30" s="8">
        <f t="shared" si="6"/>
        <v>259584.2861433333</v>
      </c>
      <c r="L30" s="8">
        <f t="shared" si="6"/>
        <v>80141.51618158576</v>
      </c>
      <c r="M30" s="8">
        <f t="shared" si="6"/>
        <v>201334.20282166672</v>
      </c>
      <c r="N30" s="8">
        <f t="shared" si="6"/>
        <v>182264.27143289056</v>
      </c>
      <c r="O30" s="8">
        <f t="shared" si="6"/>
        <v>145512.85836345493</v>
      </c>
      <c r="P30" s="8">
        <f t="shared" si="6"/>
        <v>43839.539898000054</v>
      </c>
      <c r="Q30" s="8">
        <f t="shared" si="6"/>
        <v>326547.3236729482</v>
      </c>
      <c r="R30" s="8">
        <f t="shared" si="6"/>
        <v>310977.1284741206</v>
      </c>
      <c r="S30" s="8">
        <f>SUM(S22,S25:S29)</f>
        <v>3073523.3478579996</v>
      </c>
    </row>
    <row r="31" spans="3:4" ht="4.5" customHeight="1">
      <c r="C31" s="2"/>
      <c r="D31" s="2"/>
    </row>
    <row r="32" spans="2:4" ht="12.75">
      <c r="B32" s="1" t="s">
        <v>12</v>
      </c>
      <c r="C32" s="2"/>
      <c r="D32" s="2"/>
    </row>
    <row r="33" spans="2:19" ht="12.75">
      <c r="B33" s="1" t="s">
        <v>13</v>
      </c>
      <c r="C33" s="35">
        <f t="shared" si="1"/>
        <v>509142.53</v>
      </c>
      <c r="D33" s="35">
        <v>30005.69</v>
      </c>
      <c r="E33" s="35">
        <v>98771.25</v>
      </c>
      <c r="F33" s="35">
        <v>93475.94</v>
      </c>
      <c r="G33" s="35">
        <v>96264.66</v>
      </c>
      <c r="H33" s="35">
        <v>94062.95</v>
      </c>
      <c r="I33" s="35">
        <v>96562.04</v>
      </c>
      <c r="J33" s="35">
        <v>99742.67</v>
      </c>
      <c r="K33" s="35">
        <v>109864.72</v>
      </c>
      <c r="L33" s="35">
        <v>107130.24</v>
      </c>
      <c r="M33" s="35">
        <v>107130.24</v>
      </c>
      <c r="N33" s="35">
        <v>107130.24</v>
      </c>
      <c r="O33" s="35">
        <v>98973.91</v>
      </c>
      <c r="P33" s="35">
        <v>145482.72950000002</v>
      </c>
      <c r="Q33" s="35">
        <f aca="true" t="shared" si="7" ref="P33:R35">+(E33*1.55)</f>
        <v>153095.4375</v>
      </c>
      <c r="R33" s="35">
        <f t="shared" si="7"/>
        <v>144887.707</v>
      </c>
      <c r="S33" s="5">
        <f aca="true" t="shared" si="8" ref="S33:S41">SUM(D33:R33)</f>
        <v>1582580.424</v>
      </c>
    </row>
    <row r="34" spans="2:19" ht="12.75">
      <c r="B34" s="1" t="s">
        <v>14</v>
      </c>
      <c r="C34" s="35">
        <f t="shared" si="1"/>
        <v>90289.89000000001</v>
      </c>
      <c r="D34" s="35">
        <v>10632.07</v>
      </c>
      <c r="E34" s="35">
        <v>13803.64</v>
      </c>
      <c r="F34" s="35">
        <v>14225.98</v>
      </c>
      <c r="G34" s="35">
        <v>18313.27</v>
      </c>
      <c r="H34" s="35">
        <v>17500.66</v>
      </c>
      <c r="I34" s="35">
        <v>15814.27</v>
      </c>
      <c r="J34" s="35">
        <v>23836.41</v>
      </c>
      <c r="K34" s="35">
        <v>19982.2</v>
      </c>
      <c r="L34" s="35">
        <v>31139.6</v>
      </c>
      <c r="M34" s="35">
        <v>21139.6</v>
      </c>
      <c r="N34" s="35">
        <v>21139.6</v>
      </c>
      <c r="O34" s="35">
        <v>31139.6</v>
      </c>
      <c r="P34" s="35">
        <f t="shared" si="7"/>
        <v>16479.7085</v>
      </c>
      <c r="Q34" s="35">
        <f t="shared" si="7"/>
        <v>21395.642</v>
      </c>
      <c r="R34" s="35">
        <f t="shared" si="7"/>
        <v>22050.269</v>
      </c>
      <c r="S34" s="5">
        <f t="shared" si="8"/>
        <v>298592.51950000005</v>
      </c>
    </row>
    <row r="35" spans="2:19" ht="12.75">
      <c r="B35" s="1" t="s">
        <v>15</v>
      </c>
      <c r="C35" s="35">
        <f t="shared" si="1"/>
        <v>155966.2</v>
      </c>
      <c r="D35" s="35">
        <v>16488.15</v>
      </c>
      <c r="E35" s="35">
        <v>24653.58</v>
      </c>
      <c r="F35" s="35">
        <v>24002.48</v>
      </c>
      <c r="G35" s="35">
        <v>29668.47</v>
      </c>
      <c r="H35" s="35">
        <v>31241.1</v>
      </c>
      <c r="I35" s="35">
        <v>29912.42</v>
      </c>
      <c r="J35" s="35">
        <v>31292.54</v>
      </c>
      <c r="K35" s="35">
        <v>26850.45</v>
      </c>
      <c r="L35" s="35">
        <v>29544.55</v>
      </c>
      <c r="M35" s="35">
        <v>29544.55</v>
      </c>
      <c r="N35" s="35">
        <v>29544.55</v>
      </c>
      <c r="O35" s="35">
        <v>29544.55</v>
      </c>
      <c r="P35" s="35">
        <f t="shared" si="7"/>
        <v>25556.632500000003</v>
      </c>
      <c r="Q35" s="35">
        <f t="shared" si="7"/>
        <v>38213.049000000006</v>
      </c>
      <c r="R35" s="35">
        <f t="shared" si="7"/>
        <v>37203.844</v>
      </c>
      <c r="S35" s="5">
        <f t="shared" si="8"/>
        <v>433260.9155</v>
      </c>
    </row>
    <row r="36" spans="2:19" ht="12.75">
      <c r="B36" s="1" t="s">
        <v>16</v>
      </c>
      <c r="C36" s="35">
        <f t="shared" si="1"/>
        <v>112106.08</v>
      </c>
      <c r="D36" s="35">
        <v>28295.39</v>
      </c>
      <c r="E36" s="35">
        <v>11944.64</v>
      </c>
      <c r="F36" s="35">
        <v>23659.27</v>
      </c>
      <c r="G36" s="35">
        <v>28353.61</v>
      </c>
      <c r="H36" s="35">
        <v>-1949.59</v>
      </c>
      <c r="I36" s="35">
        <v>21802.76</v>
      </c>
      <c r="J36" s="35">
        <v>20867.04</v>
      </c>
      <c r="K36" s="35">
        <v>18938.97</v>
      </c>
      <c r="L36" s="35">
        <v>15876.05</v>
      </c>
      <c r="M36" s="35">
        <v>15347.12</v>
      </c>
      <c r="N36" s="35">
        <v>19119.44</v>
      </c>
      <c r="O36" s="35">
        <v>19690.88</v>
      </c>
      <c r="P36" s="35">
        <f aca="true" t="shared" si="9" ref="P36:R37">+(D36*1.35)</f>
        <v>38198.7765</v>
      </c>
      <c r="Q36" s="35">
        <f t="shared" si="9"/>
        <v>16125.264000000001</v>
      </c>
      <c r="R36" s="35">
        <f t="shared" si="9"/>
        <v>31940.0145</v>
      </c>
      <c r="S36" s="5">
        <f t="shared" si="8"/>
        <v>308209.635</v>
      </c>
    </row>
    <row r="37" spans="2:19" ht="12.75">
      <c r="B37" s="1" t="s">
        <v>17</v>
      </c>
      <c r="C37" s="35">
        <f t="shared" si="1"/>
        <v>186442.14</v>
      </c>
      <c r="D37" s="35">
        <v>7992.6</v>
      </c>
      <c r="E37" s="35">
        <v>8340.66</v>
      </c>
      <c r="F37" s="35">
        <v>14681.35</v>
      </c>
      <c r="G37" s="35">
        <v>28766.03</v>
      </c>
      <c r="H37" s="35">
        <v>15813.31</v>
      </c>
      <c r="I37" s="35">
        <v>110848.19</v>
      </c>
      <c r="J37" s="35">
        <v>24153.83</v>
      </c>
      <c r="K37" s="35">
        <v>21371.72</v>
      </c>
      <c r="L37" s="35">
        <v>51988.2</v>
      </c>
      <c r="M37" s="35">
        <v>49988.2</v>
      </c>
      <c r="N37" s="35">
        <v>49988.2</v>
      </c>
      <c r="O37" s="35">
        <v>71099.31</v>
      </c>
      <c r="P37" s="35">
        <f t="shared" si="9"/>
        <v>10790.010000000002</v>
      </c>
      <c r="Q37" s="35">
        <f t="shared" si="9"/>
        <v>11259.891000000001</v>
      </c>
      <c r="R37" s="35">
        <f t="shared" si="9"/>
        <v>19819.822500000002</v>
      </c>
      <c r="S37" s="5">
        <f t="shared" si="8"/>
        <v>496901.32350000006</v>
      </c>
    </row>
    <row r="38" spans="2:19" ht="12.75">
      <c r="B38" s="1" t="s">
        <v>18</v>
      </c>
      <c r="C38" s="35">
        <f t="shared" si="1"/>
        <v>0</v>
      </c>
      <c r="D38" s="35">
        <v>0</v>
      </c>
      <c r="E38" s="35">
        <v>0</v>
      </c>
      <c r="F38" s="35">
        <v>0</v>
      </c>
      <c r="G38" s="35">
        <v>0</v>
      </c>
      <c r="H38" s="35">
        <v>0</v>
      </c>
      <c r="I38" s="35">
        <v>0</v>
      </c>
      <c r="J38" s="35">
        <v>0</v>
      </c>
      <c r="K38" s="35">
        <v>0</v>
      </c>
      <c r="L38" s="35">
        <v>0</v>
      </c>
      <c r="M38" s="35">
        <v>0</v>
      </c>
      <c r="N38" s="35">
        <v>0</v>
      </c>
      <c r="O38" s="35">
        <v>0</v>
      </c>
      <c r="P38" s="35">
        <f>+(D38*1.75)</f>
        <v>0</v>
      </c>
      <c r="Q38" s="35">
        <f>+(E38*1.75)</f>
        <v>0</v>
      </c>
      <c r="R38" s="35">
        <f>+(F38*1.75)</f>
        <v>0</v>
      </c>
      <c r="S38" s="5">
        <f t="shared" si="8"/>
        <v>0</v>
      </c>
    </row>
    <row r="39" spans="2:19" ht="12.75">
      <c r="B39" s="1" t="s">
        <v>19</v>
      </c>
      <c r="C39" s="35">
        <f t="shared" si="1"/>
        <v>101523.29</v>
      </c>
      <c r="D39" s="35">
        <v>4758.57</v>
      </c>
      <c r="E39" s="35">
        <v>3376.67</v>
      </c>
      <c r="F39" s="35">
        <v>20427.93</v>
      </c>
      <c r="G39" s="35">
        <v>31900.16</v>
      </c>
      <c r="H39" s="35">
        <v>19739.2</v>
      </c>
      <c r="I39" s="35">
        <v>21320.76</v>
      </c>
      <c r="J39" s="35">
        <v>22058.66</v>
      </c>
      <c r="K39" s="35">
        <v>21126.63</v>
      </c>
      <c r="L39" s="35">
        <v>19268.72</v>
      </c>
      <c r="M39" s="35">
        <v>19268.72</v>
      </c>
      <c r="N39" s="35">
        <v>19268.72</v>
      </c>
      <c r="O39" s="35">
        <v>19268.72</v>
      </c>
      <c r="P39" s="35">
        <f>+O39*1.25</f>
        <v>24085.9</v>
      </c>
      <c r="Q39" s="35">
        <f>+P39</f>
        <v>24085.9</v>
      </c>
      <c r="R39" s="35">
        <f>+(F39*1.45)</f>
        <v>29620.498499999998</v>
      </c>
      <c r="S39" s="5">
        <f t="shared" si="8"/>
        <v>299575.7585</v>
      </c>
    </row>
    <row r="40" spans="2:19" ht="12.75">
      <c r="B40" s="1" t="s">
        <v>29</v>
      </c>
      <c r="C40" s="35">
        <f t="shared" si="1"/>
        <v>0</v>
      </c>
      <c r="D40" s="35">
        <v>0</v>
      </c>
      <c r="E40" s="35">
        <v>0</v>
      </c>
      <c r="F40" s="35">
        <v>0</v>
      </c>
      <c r="G40" s="35">
        <v>0</v>
      </c>
      <c r="H40" s="35">
        <v>0</v>
      </c>
      <c r="I40" s="35">
        <v>0</v>
      </c>
      <c r="J40" s="35">
        <v>0</v>
      </c>
      <c r="K40" s="35">
        <v>0</v>
      </c>
      <c r="L40" s="35">
        <v>0</v>
      </c>
      <c r="M40" s="35">
        <v>0</v>
      </c>
      <c r="N40" s="35">
        <v>0</v>
      </c>
      <c r="O40" s="35">
        <v>0</v>
      </c>
      <c r="P40" s="35">
        <f aca="true" t="shared" si="10" ref="P40:R41">+(D40*1.75)</f>
        <v>0</v>
      </c>
      <c r="Q40" s="35">
        <f t="shared" si="10"/>
        <v>0</v>
      </c>
      <c r="R40" s="35">
        <f t="shared" si="10"/>
        <v>0</v>
      </c>
      <c r="S40" s="5">
        <f t="shared" si="8"/>
        <v>0</v>
      </c>
    </row>
    <row r="41" spans="2:19" ht="13.5" thickBot="1">
      <c r="B41" s="1" t="s">
        <v>28</v>
      </c>
      <c r="C41" s="35">
        <f t="shared" si="1"/>
        <v>1140.5</v>
      </c>
      <c r="D41" s="35">
        <v>0</v>
      </c>
      <c r="E41" s="35">
        <v>601.23</v>
      </c>
      <c r="F41" s="35">
        <v>0</v>
      </c>
      <c r="G41" s="35">
        <v>0</v>
      </c>
      <c r="H41" s="35">
        <v>0</v>
      </c>
      <c r="I41" s="35">
        <v>539.27</v>
      </c>
      <c r="J41" s="35">
        <v>2319.25</v>
      </c>
      <c r="K41" s="35">
        <v>818.8</v>
      </c>
      <c r="L41" s="35">
        <v>273.85</v>
      </c>
      <c r="M41" s="35">
        <v>273.85</v>
      </c>
      <c r="N41" s="35">
        <v>273.85</v>
      </c>
      <c r="O41" s="35">
        <v>273.85</v>
      </c>
      <c r="P41" s="35">
        <f t="shared" si="10"/>
        <v>0</v>
      </c>
      <c r="Q41" s="35">
        <f t="shared" si="10"/>
        <v>1052.1525000000001</v>
      </c>
      <c r="R41" s="35">
        <f t="shared" si="10"/>
        <v>0</v>
      </c>
      <c r="S41" s="5">
        <f t="shared" si="8"/>
        <v>6426.102500000002</v>
      </c>
    </row>
    <row r="42" spans="2:19" ht="12.75">
      <c r="B42" s="11" t="s">
        <v>20</v>
      </c>
      <c r="C42" s="8">
        <f t="shared" si="1"/>
        <v>1156610.6300000001</v>
      </c>
      <c r="D42" s="8">
        <f>SUM(D33:D41)</f>
        <v>98172.47</v>
      </c>
      <c r="E42" s="8">
        <f>SUM(E33:E41)</f>
        <v>161491.67</v>
      </c>
      <c r="F42" s="8">
        <f aca="true" t="shared" si="11" ref="F42:P42">SUM(F33:F41)</f>
        <v>190472.94999999998</v>
      </c>
      <c r="G42" s="8">
        <f t="shared" si="11"/>
        <v>233266.2</v>
      </c>
      <c r="H42" s="8">
        <f t="shared" si="11"/>
        <v>176407.63</v>
      </c>
      <c r="I42" s="8">
        <f t="shared" si="11"/>
        <v>296799.71</v>
      </c>
      <c r="J42" s="8">
        <f t="shared" si="11"/>
        <v>224270.4</v>
      </c>
      <c r="K42" s="8">
        <f t="shared" si="11"/>
        <v>218953.49</v>
      </c>
      <c r="L42" s="8">
        <f t="shared" si="11"/>
        <v>255221.20999999996</v>
      </c>
      <c r="M42" s="8">
        <f t="shared" si="11"/>
        <v>242692.27999999997</v>
      </c>
      <c r="N42" s="8">
        <f t="shared" si="11"/>
        <v>246464.59999999998</v>
      </c>
      <c r="O42" s="8">
        <f t="shared" si="11"/>
        <v>269990.81999999995</v>
      </c>
      <c r="P42" s="8">
        <f t="shared" si="11"/>
        <v>260593.75700000004</v>
      </c>
      <c r="Q42" s="8">
        <f>SUM(Q33:Q41)</f>
        <v>265227.336</v>
      </c>
      <c r="R42" s="8">
        <f>SUM(R33:R41)</f>
        <v>285522.1555</v>
      </c>
      <c r="S42" s="8">
        <f>SUM(S33:S41)</f>
        <v>3425546.6785</v>
      </c>
    </row>
    <row r="43" spans="3:4" ht="4.5" customHeight="1">
      <c r="C43" s="2"/>
      <c r="D43" s="2"/>
    </row>
    <row r="44" spans="2:19" ht="12.75">
      <c r="B44" s="4" t="s">
        <v>22</v>
      </c>
      <c r="C44" s="7">
        <f>C30-C42+C8</f>
        <v>213639.29074999993</v>
      </c>
      <c r="D44" s="7">
        <f>SUM(D8,D30,-D42)</f>
        <v>119990.25000000003</v>
      </c>
      <c r="E44" s="7">
        <f>SUM(E8,E30,-E42)</f>
        <v>-5885.676859391184</v>
      </c>
      <c r="F44" s="7">
        <f aca="true" t="shared" si="12" ref="F44:R44">SUM(F8,F30,-F42)</f>
        <v>-63579.70960999996</v>
      </c>
      <c r="G44" s="7">
        <f t="shared" si="12"/>
        <v>125174.86051000009</v>
      </c>
      <c r="H44" s="7">
        <f t="shared" si="12"/>
        <v>200035.6406300001</v>
      </c>
      <c r="I44" s="7">
        <f t="shared" si="12"/>
        <v>213639.2907500001</v>
      </c>
      <c r="J44" s="7">
        <f t="shared" si="12"/>
        <v>167691.19087000008</v>
      </c>
      <c r="K44" s="7">
        <f t="shared" si="12"/>
        <v>208321.98701333336</v>
      </c>
      <c r="L44" s="7">
        <f t="shared" si="12"/>
        <v>33242.293194919126</v>
      </c>
      <c r="M44" s="7">
        <f t="shared" si="12"/>
        <v>-8115.78398341412</v>
      </c>
      <c r="N44" s="7">
        <f t="shared" si="12"/>
        <v>-72316.11255052354</v>
      </c>
      <c r="O44" s="7">
        <f t="shared" si="12"/>
        <v>-196794.07418706856</v>
      </c>
      <c r="P44" s="7">
        <f t="shared" si="12"/>
        <v>-413548.2912890685</v>
      </c>
      <c r="Q44" s="7">
        <f t="shared" si="12"/>
        <v>-352228.30361612036</v>
      </c>
      <c r="R44" s="7">
        <f t="shared" si="12"/>
        <v>-326773.3306419998</v>
      </c>
      <c r="S44" s="5"/>
    </row>
    <row r="45" ht="4.5" customHeight="1"/>
    <row r="48" ht="12.75">
      <c r="S48" s="42" t="s">
        <v>60</v>
      </c>
    </row>
    <row r="49" ht="12.75">
      <c r="S49" s="42" t="s">
        <v>61</v>
      </c>
    </row>
  </sheetData>
  <sheetProtection/>
  <printOptions horizontalCentered="1"/>
  <pageMargins left="0.25" right="0.25" top="0.5" bottom="0.5" header="0.5" footer="0.25"/>
  <pageSetup fitToHeight="0" fitToWidth="1" horizontalDpi="600" verticalDpi="600" orientation="landscape" scale="61" r:id="rId1"/>
  <headerFooter alignWithMargins="0">
    <oddFooter>&amp;L&amp;D&amp;R&amp;"Tahoma,Regular"Page &amp;P</oddFooter>
  </headerFooter>
</worksheet>
</file>

<file path=xl/worksheets/sheet2.xml><?xml version="1.0" encoding="utf-8"?>
<worksheet xmlns="http://schemas.openxmlformats.org/spreadsheetml/2006/main" xmlns:r="http://schemas.openxmlformats.org/officeDocument/2006/relationships">
  <dimension ref="C2:G21"/>
  <sheetViews>
    <sheetView zoomScalePageLayoutView="0" workbookViewId="0" topLeftCell="B19">
      <selection activeCell="C43" sqref="C43"/>
    </sheetView>
  </sheetViews>
  <sheetFormatPr defaultColWidth="9.140625" defaultRowHeight="12.75"/>
  <cols>
    <col min="1" max="1" width="9.140625" style="1" customWidth="1"/>
    <col min="2" max="2" width="0.85546875" style="1" customWidth="1"/>
    <col min="3" max="3" width="13.28125" style="1" customWidth="1"/>
    <col min="4" max="7" width="13.28125" style="2" customWidth="1"/>
    <col min="8" max="8" width="0.85546875" style="2" customWidth="1"/>
    <col min="9" max="16" width="9.140625" style="2" customWidth="1"/>
    <col min="17" max="16384" width="9.140625" style="1" customWidth="1"/>
  </cols>
  <sheetData>
    <row r="2" spans="3:7" ht="12.75">
      <c r="C2" s="21" t="s">
        <v>30</v>
      </c>
      <c r="D2" s="22"/>
      <c r="E2" s="22"/>
      <c r="F2" s="22"/>
      <c r="G2" s="23"/>
    </row>
    <row r="3" spans="3:7" ht="12.75">
      <c r="C3" s="9"/>
      <c r="D3" s="12"/>
      <c r="E3" s="12"/>
      <c r="F3" s="12"/>
      <c r="G3" s="24"/>
    </row>
    <row r="4" spans="3:7" ht="52.5">
      <c r="C4" s="28" t="s">
        <v>31</v>
      </c>
      <c r="D4" s="29" t="s">
        <v>45</v>
      </c>
      <c r="E4" s="29" t="s">
        <v>46</v>
      </c>
      <c r="F4" s="29" t="s">
        <v>47</v>
      </c>
      <c r="G4" s="30" t="s">
        <v>48</v>
      </c>
    </row>
    <row r="5" spans="3:7" ht="12.75">
      <c r="C5" s="9" t="s">
        <v>32</v>
      </c>
      <c r="D5" s="25">
        <v>0.05</v>
      </c>
      <c r="E5" s="25">
        <v>0.01</v>
      </c>
      <c r="F5" s="25">
        <f>E5-D5</f>
        <v>-0.04</v>
      </c>
      <c r="G5" s="26">
        <f>SUM($F$5:F5)</f>
        <v>-0.04</v>
      </c>
    </row>
    <row r="6" spans="3:7" ht="12.75">
      <c r="C6" s="9" t="s">
        <v>33</v>
      </c>
      <c r="D6" s="25">
        <v>0.05</v>
      </c>
      <c r="E6" s="25">
        <v>0</v>
      </c>
      <c r="F6" s="25">
        <f aca="true" t="shared" si="0" ref="F6:F16">E6-D6</f>
        <v>-0.05</v>
      </c>
      <c r="G6" s="26">
        <f>SUM($F$5:F6)</f>
        <v>-0.09</v>
      </c>
    </row>
    <row r="7" spans="3:7" ht="12.75">
      <c r="C7" s="9" t="s">
        <v>34</v>
      </c>
      <c r="D7" s="25">
        <v>0.09</v>
      </c>
      <c r="E7" s="25">
        <v>0.09</v>
      </c>
      <c r="F7" s="25">
        <f t="shared" si="0"/>
        <v>0</v>
      </c>
      <c r="G7" s="26">
        <f>SUM($F$5:F7)</f>
        <v>-0.09</v>
      </c>
    </row>
    <row r="8" spans="3:7" ht="12.75">
      <c r="C8" s="9" t="s">
        <v>35</v>
      </c>
      <c r="D8" s="25">
        <v>0.09</v>
      </c>
      <c r="E8" s="25">
        <v>0.14</v>
      </c>
      <c r="F8" s="25">
        <f t="shared" si="0"/>
        <v>0.05000000000000002</v>
      </c>
      <c r="G8" s="26">
        <f>SUM($F$5:F8)</f>
        <v>-0.03999999999999998</v>
      </c>
    </row>
    <row r="9" spans="3:7" ht="12.75">
      <c r="C9" s="9" t="s">
        <v>36</v>
      </c>
      <c r="D9" s="25">
        <v>0.09</v>
      </c>
      <c r="E9" s="25">
        <v>0.045</v>
      </c>
      <c r="F9" s="25">
        <f t="shared" si="0"/>
        <v>-0.045</v>
      </c>
      <c r="G9" s="26">
        <f>SUM($F$5:F9)</f>
        <v>-0.08499999999999998</v>
      </c>
    </row>
    <row r="10" spans="3:7" ht="12.75">
      <c r="C10" s="9" t="s">
        <v>37</v>
      </c>
      <c r="D10" s="25">
        <v>0.09</v>
      </c>
      <c r="E10" s="25">
        <v>0.13</v>
      </c>
      <c r="F10" s="25">
        <f t="shared" si="0"/>
        <v>0.04000000000000001</v>
      </c>
      <c r="G10" s="26">
        <f>SUM($F$5:F10)</f>
        <v>-0.04499999999999997</v>
      </c>
    </row>
    <row r="11" spans="3:7" ht="12.75">
      <c r="C11" s="9" t="s">
        <v>38</v>
      </c>
      <c r="D11" s="25">
        <v>0.09</v>
      </c>
      <c r="E11" s="25">
        <v>0.135</v>
      </c>
      <c r="F11" s="25">
        <f t="shared" si="0"/>
        <v>0.04500000000000001</v>
      </c>
      <c r="G11" s="26">
        <f>SUM($F$5:F11)</f>
        <v>0</v>
      </c>
    </row>
    <row r="12" spans="3:7" ht="12.75">
      <c r="C12" s="9" t="s">
        <v>39</v>
      </c>
      <c r="D12" s="25">
        <f>0.45*0.2</f>
        <v>0.09000000000000001</v>
      </c>
      <c r="E12" s="25">
        <v>0.005</v>
      </c>
      <c r="F12" s="25">
        <f t="shared" si="0"/>
        <v>-0.085</v>
      </c>
      <c r="G12" s="26">
        <f>SUM($F$5:F12)</f>
        <v>-0.08499999999999996</v>
      </c>
    </row>
    <row r="13" spans="3:7" ht="12.75">
      <c r="C13" s="9" t="s">
        <v>40</v>
      </c>
      <c r="D13" s="25">
        <f>0.45*0.2</f>
        <v>0.09000000000000001</v>
      </c>
      <c r="E13" s="25">
        <v>0.09</v>
      </c>
      <c r="F13" s="25">
        <f t="shared" si="0"/>
        <v>0</v>
      </c>
      <c r="G13" s="26">
        <f>SUM($F$5:F13)</f>
        <v>-0.08499999999999996</v>
      </c>
    </row>
    <row r="14" spans="3:7" ht="12.75">
      <c r="C14" s="9" t="s">
        <v>41</v>
      </c>
      <c r="D14" s="25">
        <f>0.45*0.2</f>
        <v>0.09000000000000001</v>
      </c>
      <c r="E14" s="25">
        <v>0.06</v>
      </c>
      <c r="F14" s="25">
        <f t="shared" si="0"/>
        <v>-0.030000000000000013</v>
      </c>
      <c r="G14" s="26">
        <f>SUM($F$5:F14)</f>
        <v>-0.11499999999999998</v>
      </c>
    </row>
    <row r="15" spans="3:7" ht="12.75">
      <c r="C15" s="9" t="s">
        <v>42</v>
      </c>
      <c r="D15" s="25">
        <f>0.45*0.2</f>
        <v>0.09000000000000001</v>
      </c>
      <c r="E15" s="25">
        <v>0.045</v>
      </c>
      <c r="F15" s="25">
        <f t="shared" si="0"/>
        <v>-0.04500000000000001</v>
      </c>
      <c r="G15" s="26">
        <f>SUM($F$5:F15)</f>
        <v>-0.15999999999999998</v>
      </c>
    </row>
    <row r="16" spans="3:7" ht="12.75">
      <c r="C16" s="9" t="s">
        <v>43</v>
      </c>
      <c r="D16" s="25">
        <f>0.45*0.2</f>
        <v>0.09000000000000001</v>
      </c>
      <c r="E16" s="25">
        <v>0</v>
      </c>
      <c r="F16" s="25">
        <f t="shared" si="0"/>
        <v>-0.09000000000000001</v>
      </c>
      <c r="G16" s="26">
        <f>SUM($F$5:F16)</f>
        <v>-0.25</v>
      </c>
    </row>
    <row r="17" spans="3:7" ht="4.5" customHeight="1">
      <c r="C17" s="9"/>
      <c r="D17" s="25"/>
      <c r="E17" s="25"/>
      <c r="F17" s="25"/>
      <c r="G17" s="26"/>
    </row>
    <row r="18" spans="3:7" ht="12.75">
      <c r="C18" s="31" t="s">
        <v>44</v>
      </c>
      <c r="D18" s="25"/>
      <c r="E18" s="25"/>
      <c r="F18" s="25"/>
      <c r="G18" s="26"/>
    </row>
    <row r="19" spans="3:7" ht="12.75">
      <c r="C19" s="9" t="s">
        <v>32</v>
      </c>
      <c r="D19" s="25"/>
      <c r="E19" s="25">
        <v>0.175</v>
      </c>
      <c r="F19" s="25"/>
      <c r="G19" s="26">
        <f>SUM($F$5:F19)+SUM($E$19:E19)</f>
        <v>-0.07500000000000001</v>
      </c>
    </row>
    <row r="20" spans="3:7" ht="12.75">
      <c r="C20" s="9" t="s">
        <v>33</v>
      </c>
      <c r="D20" s="25"/>
      <c r="E20" s="25">
        <v>0.075</v>
      </c>
      <c r="F20" s="25"/>
      <c r="G20" s="26">
        <f>SUM($F$5:F20)+SUM($E$19:E20)</f>
        <v>0</v>
      </c>
    </row>
    <row r="21" spans="3:7" ht="12.75">
      <c r="C21" s="10"/>
      <c r="D21" s="15"/>
      <c r="E21" s="15"/>
      <c r="F21" s="15"/>
      <c r="G21" s="27"/>
    </row>
  </sheetData>
  <sheetProtection/>
  <printOptions/>
  <pageMargins left="0.75" right="0.75" top="1" bottom="1" header="0.5" footer="0.5"/>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2010 Waiver Item W40 Attachment 18 - Meeting Agendas (CA State Board of Education)</dc:title>
  <dc:subject>Request from various school districts and charter schools to waive for the 2010 calendar year California Education Code Section 14041.6, the requirement that substantial principal apportionment payments be deferred from February 2010 to July 2010, and from April and May 2010 to August 2010.</dc:subject>
  <dc:creator/>
  <cp:keywords>itemw40att18</cp:keywords>
  <dc:description/>
  <cp:lastModifiedBy> </cp:lastModifiedBy>
  <cp:lastPrinted>2010-03-15T15:58:33Z</cp:lastPrinted>
  <dcterms:created xsi:type="dcterms:W3CDTF">2009-03-30T23:30:00Z</dcterms:created>
  <dcterms:modified xsi:type="dcterms:W3CDTF">2010-04-22T21:48:03Z</dcterms:modified>
  <cp:category/>
  <cp:version/>
  <cp:contentType/>
  <cp:contentStatus/>
</cp:coreProperties>
</file>