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00" yWindow="408" windowWidth="15456" windowHeight="7200" activeTab="0"/>
  </bookViews>
  <sheets>
    <sheet name="FCLA" sheetId="1" r:id="rId1"/>
  </sheets>
  <definedNames>
    <definedName name="_xlnm.Print_Titles" localSheetId="0">'FCLA'!$1:$1</definedName>
  </definedNames>
  <calcPr fullCalcOnLoad="1"/>
</workbook>
</file>

<file path=xl/sharedStrings.xml><?xml version="1.0" encoding="utf-8"?>
<sst xmlns="http://schemas.openxmlformats.org/spreadsheetml/2006/main" count="68" uniqueCount="44">
  <si>
    <t>REVENUES</t>
  </si>
  <si>
    <t>Special apportionment(s) for expanded grade</t>
  </si>
  <si>
    <t>Period ending</t>
  </si>
  <si>
    <t>TOTAL</t>
  </si>
  <si>
    <t>Other State revenues</t>
  </si>
  <si>
    <t>Other local revenues</t>
  </si>
  <si>
    <t>Federal revenues</t>
  </si>
  <si>
    <t>TOTAL REVENUES</t>
  </si>
  <si>
    <t>In-lieu property tax receipts</t>
  </si>
  <si>
    <t>Status</t>
  </si>
  <si>
    <t>Actual</t>
  </si>
  <si>
    <t>Projected</t>
  </si>
  <si>
    <t>EXPENDITURES</t>
  </si>
  <si>
    <t>TOTAL EXPENDITURES</t>
  </si>
  <si>
    <t>Beginning cash balance</t>
  </si>
  <si>
    <t>Ending cash balance</t>
  </si>
  <si>
    <t>Monthly 2009-10 Cash Flow</t>
  </si>
  <si>
    <t>Total in-lieu property tax receipts</t>
  </si>
  <si>
    <t>Total categorical block grant</t>
  </si>
  <si>
    <t>Extraordinary revenues (fundraising, etc.)</t>
  </si>
  <si>
    <t>Other debt service</t>
  </si>
  <si>
    <t>State revolving fund loan(s)</t>
  </si>
  <si>
    <t>General purpose entitlement</t>
  </si>
  <si>
    <t>Categorical block grant (including impact aid)</t>
  </si>
  <si>
    <t>Less: deferred amounts</t>
  </si>
  <si>
    <t>Plus: amounts deferred from prior period</t>
  </si>
  <si>
    <t>Plus: special apportionment(s) for expanded grade</t>
  </si>
  <si>
    <t>Total general purpose entitlement</t>
  </si>
  <si>
    <t>Total principal apportionment</t>
  </si>
  <si>
    <t>Other state aid included in principal apportionment</t>
  </si>
  <si>
    <t>Other amounts deferred from prior period</t>
  </si>
  <si>
    <t xml:space="preserve"> </t>
  </si>
  <si>
    <t>FY09-10 Cash Flow</t>
  </si>
  <si>
    <t>Accrual</t>
  </si>
  <si>
    <t>LEA: Full Circle Learning Academy - 0944</t>
  </si>
  <si>
    <t>1000 - Certificates salaries</t>
  </si>
  <si>
    <t>2000 - Classified salaries</t>
  </si>
  <si>
    <t>3000 - Employee benefits</t>
  </si>
  <si>
    <t>4000 - Books and supplies</t>
  </si>
  <si>
    <t>5000 - Services/other operating expenditures</t>
  </si>
  <si>
    <t>6000 - Capital outlay</t>
  </si>
  <si>
    <t>7000 - Direct support/indirect costs</t>
  </si>
  <si>
    <t>Attachment 28</t>
  </si>
  <si>
    <t>Page 1 of 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</si>
</sst>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mmm\-yy;@"/>
    <numFmt numFmtId="166" formatCode="#,##0.00000000"/>
    <numFmt numFmtId="167" formatCode="_(* #,##0.00000000_);_(* \(#,##0.00000000\);_(* &quot;-&quot;??_);_(@_)"/>
  </numFmts>
  <fonts count="26">
    <font>
      <sz val="10"/>
      <name val="Arial"/>
      <family val="0"/>
    </font>
    <font>
      <sz val="11"/>
      <color indexed="8"/>
      <name val="Calibri"/>
      <family val="2"/>
    </font>
    <font>
      <sz val="10"/>
      <name val="Tahoma"/>
      <family val="2"/>
    </font>
    <font>
      <sz val="8"/>
      <name val="Arial"/>
      <family val="2"/>
    </font>
    <font>
      <b/>
      <sz val="10"/>
      <name val="Tahoma"/>
      <family val="2"/>
    </font>
    <font>
      <sz val="14"/>
      <name val="Arial"/>
      <family val="2"/>
    </font>
    <font>
      <sz val="14"/>
      <name val="Tahoma"/>
      <family val="2"/>
    </font>
    <font>
      <sz val="10"/>
      <color indexed="3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62"/>
      <name val="Arial"/>
      <family val="2"/>
    </font>
    <font>
      <b/>
      <sz val="9"/>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24">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indent="1"/>
    </xf>
    <xf numFmtId="0" fontId="4" fillId="0" borderId="0" xfId="0" applyFont="1" applyAlignment="1">
      <alignment/>
    </xf>
    <xf numFmtId="3" fontId="2" fillId="0" borderId="0" xfId="0" applyNumberFormat="1" applyFont="1" applyAlignment="1">
      <alignment horizontal="right"/>
    </xf>
    <xf numFmtId="165" fontId="2" fillId="0" borderId="0" xfId="0" applyNumberFormat="1" applyFont="1" applyAlignment="1">
      <alignment horizontal="right"/>
    </xf>
    <xf numFmtId="3" fontId="4" fillId="0" borderId="0" xfId="0" applyNumberFormat="1" applyFont="1" applyAlignment="1">
      <alignment horizontal="right"/>
    </xf>
    <xf numFmtId="3" fontId="4" fillId="0" borderId="10" xfId="0" applyNumberFormat="1" applyFont="1" applyBorder="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1" xfId="0" applyFont="1" applyBorder="1" applyAlignment="1">
      <alignment horizontal="right"/>
    </xf>
    <xf numFmtId="0" fontId="4" fillId="0" borderId="0" xfId="0" applyFont="1" applyAlignment="1">
      <alignment horizontal="left"/>
    </xf>
    <xf numFmtId="3" fontId="5" fillId="0" borderId="0" xfId="0" applyNumberFormat="1" applyFont="1" applyAlignment="1">
      <alignment/>
    </xf>
    <xf numFmtId="0" fontId="6" fillId="0" borderId="0" xfId="0" applyFont="1" applyAlignment="1">
      <alignment horizontal="right"/>
    </xf>
    <xf numFmtId="0" fontId="6" fillId="0" borderId="0" xfId="0" applyFont="1" applyAlignment="1">
      <alignment/>
    </xf>
    <xf numFmtId="3" fontId="7" fillId="0" borderId="0" xfId="0" applyNumberFormat="1" applyFont="1" applyAlignment="1">
      <alignment horizontal="right"/>
    </xf>
    <xf numFmtId="165" fontId="7" fillId="0" borderId="0" xfId="0" applyNumberFormat="1" applyFont="1" applyAlignment="1">
      <alignment horizontal="right"/>
    </xf>
    <xf numFmtId="0" fontId="2" fillId="0" borderId="0" xfId="0" applyFont="1" applyAlignment="1">
      <alignment horizontal="left"/>
    </xf>
    <xf numFmtId="3" fontId="7" fillId="0" borderId="0" xfId="0" applyNumberFormat="1" applyFont="1" applyFill="1" applyAlignment="1">
      <alignment horizontal="right"/>
    </xf>
    <xf numFmtId="3" fontId="2" fillId="0" borderId="0" xfId="0" applyNumberFormat="1" applyFont="1" applyFill="1" applyAlignment="1">
      <alignment horizontal="right"/>
    </xf>
    <xf numFmtId="3" fontId="4" fillId="0" borderId="0" xfId="0" applyNumberFormat="1" applyFont="1" applyFill="1" applyAlignment="1">
      <alignment horizontal="right"/>
    </xf>
    <xf numFmtId="3" fontId="24" fillId="0" borderId="0" xfId="0" applyNumberFormat="1" applyFont="1" applyAlignment="1">
      <alignment/>
    </xf>
    <xf numFmtId="0" fontId="25" fillId="0" borderId="0" xfId="0"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T52"/>
  <sheetViews>
    <sheetView tabSelected="1" zoomScalePageLayoutView="0" workbookViewId="0" topLeftCell="A1">
      <pane xSplit="2" ySplit="6" topLeftCell="J31" activePane="bottomRight" state="frozen"/>
      <selection pane="topLeft" activeCell="A1" sqref="A1"/>
      <selection pane="topRight" activeCell="C1" sqref="C1"/>
      <selection pane="bottomLeft" activeCell="A7" sqref="A7"/>
      <selection pane="bottomRight" activeCell="R51" sqref="R51"/>
    </sheetView>
  </sheetViews>
  <sheetFormatPr defaultColWidth="9.140625" defaultRowHeight="12.75"/>
  <cols>
    <col min="1" max="1" width="0.85546875" style="1" customWidth="1"/>
    <col min="2" max="2" width="42.7109375" style="1" customWidth="1"/>
    <col min="3" max="4" width="10.7109375" style="2" hidden="1" customWidth="1"/>
    <col min="5" max="15" width="10.7109375" style="2" customWidth="1"/>
    <col min="16" max="17" width="10.7109375" style="2" hidden="1" customWidth="1"/>
    <col min="18" max="18" width="12.8515625" style="2" customWidth="1"/>
    <col min="19" max="19" width="0.85546875" style="1" customWidth="1"/>
    <col min="20" max="16384" width="9.140625" style="1" customWidth="1"/>
  </cols>
  <sheetData>
    <row r="1" spans="2:18" s="15" customFormat="1" ht="17.25">
      <c r="B1" s="13" t="s">
        <v>32</v>
      </c>
      <c r="C1" s="14"/>
      <c r="D1" s="14"/>
      <c r="E1" s="14"/>
      <c r="F1" s="14"/>
      <c r="G1" s="14"/>
      <c r="H1" s="14"/>
      <c r="I1" s="14"/>
      <c r="J1" s="14"/>
      <c r="K1" s="14"/>
      <c r="L1" s="14"/>
      <c r="M1" s="14"/>
      <c r="N1" s="14"/>
      <c r="O1" s="14"/>
      <c r="P1" s="14"/>
      <c r="Q1" s="14"/>
      <c r="R1" s="14"/>
    </row>
    <row r="2" spans="2:18" s="15" customFormat="1" ht="17.25">
      <c r="B2" s="22" t="s">
        <v>34</v>
      </c>
      <c r="C2" s="14"/>
      <c r="D2" s="14"/>
      <c r="E2" s="14"/>
      <c r="F2" s="14"/>
      <c r="G2" s="14"/>
      <c r="H2" s="14" t="s">
        <v>31</v>
      </c>
      <c r="I2" s="14" t="s">
        <v>31</v>
      </c>
      <c r="J2" s="14"/>
      <c r="K2" s="14"/>
      <c r="L2" s="14"/>
      <c r="M2" s="14"/>
      <c r="N2" s="14" t="s">
        <v>31</v>
      </c>
      <c r="O2" s="14"/>
      <c r="P2" s="14"/>
      <c r="Q2" s="14"/>
      <c r="R2" s="14"/>
    </row>
    <row r="3" ht="12.75">
      <c r="L3" s="2" t="s">
        <v>31</v>
      </c>
    </row>
    <row r="4" spans="2:18" ht="13.5" thickBot="1">
      <c r="B4" s="10" t="s">
        <v>16</v>
      </c>
      <c r="C4" s="11"/>
      <c r="D4" s="11"/>
      <c r="E4" s="11"/>
      <c r="F4" s="11"/>
      <c r="G4" s="11"/>
      <c r="H4" s="11"/>
      <c r="I4" s="11"/>
      <c r="J4" s="11"/>
      <c r="K4" s="11"/>
      <c r="L4" s="11"/>
      <c r="M4" s="11"/>
      <c r="N4" s="11"/>
      <c r="O4" s="11"/>
      <c r="P4" s="11"/>
      <c r="Q4" s="11"/>
      <c r="R4" s="11"/>
    </row>
    <row r="5" spans="2:18" ht="12.75">
      <c r="B5" s="1" t="s">
        <v>2</v>
      </c>
      <c r="C5" s="6">
        <v>40025</v>
      </c>
      <c r="D5" s="6">
        <f aca="true" t="shared" si="0" ref="D5:N5">EOMONTH(C5,1)</f>
        <v>40056</v>
      </c>
      <c r="E5" s="6">
        <f t="shared" si="0"/>
        <v>40086</v>
      </c>
      <c r="F5" s="6">
        <f t="shared" si="0"/>
        <v>40117</v>
      </c>
      <c r="G5" s="6">
        <f t="shared" si="0"/>
        <v>40147</v>
      </c>
      <c r="H5" s="6">
        <f t="shared" si="0"/>
        <v>40178</v>
      </c>
      <c r="I5" s="6">
        <f t="shared" si="0"/>
        <v>40209</v>
      </c>
      <c r="J5" s="6">
        <f t="shared" si="0"/>
        <v>40237</v>
      </c>
      <c r="K5" s="6">
        <f t="shared" si="0"/>
        <v>40268</v>
      </c>
      <c r="L5" s="6">
        <f t="shared" si="0"/>
        <v>40298</v>
      </c>
      <c r="M5" s="6">
        <f t="shared" si="0"/>
        <v>40329</v>
      </c>
      <c r="N5" s="6">
        <f t="shared" si="0"/>
        <v>40359</v>
      </c>
      <c r="O5" s="6" t="s">
        <v>33</v>
      </c>
      <c r="P5" s="6"/>
      <c r="Q5" s="6"/>
      <c r="R5" s="2" t="s">
        <v>3</v>
      </c>
    </row>
    <row r="6" spans="2:17" ht="12.75">
      <c r="B6" s="1" t="s">
        <v>9</v>
      </c>
      <c r="C6" s="17" t="s">
        <v>10</v>
      </c>
      <c r="D6" s="17" t="s">
        <v>10</v>
      </c>
      <c r="E6" s="17" t="s">
        <v>10</v>
      </c>
      <c r="F6" s="17" t="s">
        <v>10</v>
      </c>
      <c r="G6" s="17" t="s">
        <v>10</v>
      </c>
      <c r="H6" s="17" t="s">
        <v>10</v>
      </c>
      <c r="I6" s="17" t="s">
        <v>10</v>
      </c>
      <c r="J6" s="17" t="s">
        <v>10</v>
      </c>
      <c r="K6" s="17" t="s">
        <v>10</v>
      </c>
      <c r="L6" s="17" t="s">
        <v>11</v>
      </c>
      <c r="M6" s="17" t="s">
        <v>11</v>
      </c>
      <c r="N6" s="17" t="s">
        <v>11</v>
      </c>
      <c r="O6" s="17" t="s">
        <v>11</v>
      </c>
      <c r="P6" s="17" t="s">
        <v>11</v>
      </c>
      <c r="Q6" s="17" t="s">
        <v>11</v>
      </c>
    </row>
    <row r="7" ht="4.5" customHeight="1"/>
    <row r="8" spans="2:17" ht="12.75">
      <c r="B8" s="1" t="s">
        <v>14</v>
      </c>
      <c r="C8" s="16">
        <v>69786</v>
      </c>
      <c r="D8" s="5">
        <f>C45</f>
        <v>69786</v>
      </c>
      <c r="E8" s="5">
        <v>274061.35</v>
      </c>
      <c r="F8" s="5">
        <f aca="true" t="shared" si="1" ref="F8:O8">E45</f>
        <v>102715.34999999998</v>
      </c>
      <c r="G8" s="5">
        <f t="shared" si="1"/>
        <v>64200.34999999998</v>
      </c>
      <c r="H8" s="5">
        <f t="shared" si="1"/>
        <v>63997.34999999998</v>
      </c>
      <c r="I8" s="5">
        <f t="shared" si="1"/>
        <v>42230.34999999998</v>
      </c>
      <c r="J8" s="5">
        <f t="shared" si="1"/>
        <v>-32886.65000000002</v>
      </c>
      <c r="K8" s="5">
        <f t="shared" si="1"/>
        <v>-78752.65000000002</v>
      </c>
      <c r="L8" s="5">
        <f t="shared" si="1"/>
        <v>-84016.23921499902</v>
      </c>
      <c r="M8" s="5">
        <f t="shared" si="1"/>
        <v>-57413.06921499902</v>
      </c>
      <c r="N8" s="5">
        <f t="shared" si="1"/>
        <v>-70672.88832701503</v>
      </c>
      <c r="O8" s="5">
        <f t="shared" si="1"/>
        <v>-94068.65355317603</v>
      </c>
      <c r="P8" s="5">
        <v>0</v>
      </c>
      <c r="Q8" s="5">
        <f>P45</f>
        <v>0</v>
      </c>
    </row>
    <row r="9" ht="4.5" customHeight="1"/>
    <row r="10" ht="12.75">
      <c r="B10" s="1" t="s">
        <v>0</v>
      </c>
    </row>
    <row r="11" spans="2:18" ht="12.75" hidden="1">
      <c r="B11" s="3" t="s">
        <v>22</v>
      </c>
      <c r="C11" s="16">
        <v>0</v>
      </c>
      <c r="D11" s="16">
        <v>0</v>
      </c>
      <c r="E11" s="16">
        <v>9321</v>
      </c>
      <c r="F11" s="16">
        <v>29681</v>
      </c>
      <c r="G11" s="16">
        <v>29681</v>
      </c>
      <c r="H11" s="16">
        <v>29681</v>
      </c>
      <c r="I11" s="16">
        <v>7597</v>
      </c>
      <c r="J11" s="16">
        <v>29681</v>
      </c>
      <c r="K11" s="19">
        <f>64110*0.85</f>
        <v>54493.5</v>
      </c>
      <c r="L11" s="19">
        <f>64110*0.85</f>
        <v>54493.5</v>
      </c>
      <c r="M11" s="19">
        <f>64110*0.85</f>
        <v>54493.5</v>
      </c>
      <c r="N11" s="19">
        <f>64110*0.85</f>
        <v>54493.5</v>
      </c>
      <c r="O11" s="19">
        <v>0</v>
      </c>
      <c r="P11" s="16"/>
      <c r="Q11" s="16"/>
      <c r="R11" s="5">
        <f>SUM(C11:Q11)</f>
        <v>353616</v>
      </c>
    </row>
    <row r="12" spans="2:18" ht="12.75" hidden="1">
      <c r="B12" s="3" t="s">
        <v>24</v>
      </c>
      <c r="C12" s="16">
        <v>0</v>
      </c>
      <c r="D12" s="16">
        <v>0</v>
      </c>
      <c r="E12" s="16">
        <v>0</v>
      </c>
      <c r="F12" s="16">
        <v>0</v>
      </c>
      <c r="G12" s="16">
        <v>0</v>
      </c>
      <c r="H12" s="16">
        <v>0</v>
      </c>
      <c r="I12" s="16">
        <v>0</v>
      </c>
      <c r="J12" s="16">
        <v>0</v>
      </c>
      <c r="K12" s="19">
        <f>K11*-0.9838694309</f>
        <v>-53614.48883274915</v>
      </c>
      <c r="L12" s="16">
        <v>0</v>
      </c>
      <c r="M12" s="16">
        <f>M11*-0.3338323056</f>
        <v>-18191.6907452136</v>
      </c>
      <c r="N12" s="16">
        <f>N11*-0.4919347251</f>
        <v>-26807.24494223685</v>
      </c>
      <c r="O12" s="16">
        <v>0</v>
      </c>
      <c r="P12" s="16">
        <v>0</v>
      </c>
      <c r="Q12" s="16">
        <v>0</v>
      </c>
      <c r="R12" s="5">
        <f>SUM(C12:Q12)</f>
        <v>-98613.42452019961</v>
      </c>
    </row>
    <row r="13" spans="2:18" ht="12.75" hidden="1">
      <c r="B13" s="3" t="s">
        <v>25</v>
      </c>
      <c r="C13" s="16">
        <v>0</v>
      </c>
      <c r="D13" s="16">
        <v>0</v>
      </c>
      <c r="E13" s="16">
        <v>0</v>
      </c>
      <c r="F13" s="16">
        <v>0</v>
      </c>
      <c r="G13" s="16">
        <v>0</v>
      </c>
      <c r="H13" s="16">
        <v>0</v>
      </c>
      <c r="I13" s="16">
        <v>0</v>
      </c>
      <c r="J13" s="16">
        <v>0</v>
      </c>
      <c r="K13" s="19">
        <v>0</v>
      </c>
      <c r="L13" s="16">
        <v>0</v>
      </c>
      <c r="M13" s="16">
        <v>0</v>
      </c>
      <c r="N13" s="16">
        <v>0</v>
      </c>
      <c r="O13" s="16">
        <f>(K12*-1)+N11+((M12+N12)*-1)</f>
        <v>153106.9245201996</v>
      </c>
      <c r="P13" s="16"/>
      <c r="Q13" s="16">
        <v>0</v>
      </c>
      <c r="R13" s="5">
        <f>SUM(C13:Q13)</f>
        <v>153106.9245201996</v>
      </c>
    </row>
    <row r="14" spans="2:18" ht="12.75" hidden="1">
      <c r="B14" s="3" t="s">
        <v>26</v>
      </c>
      <c r="C14" s="16">
        <v>0</v>
      </c>
      <c r="D14" s="16">
        <v>0</v>
      </c>
      <c r="E14" s="16">
        <v>0</v>
      </c>
      <c r="F14" s="16">
        <v>0</v>
      </c>
      <c r="G14" s="16">
        <v>0</v>
      </c>
      <c r="H14" s="16">
        <v>0</v>
      </c>
      <c r="I14" s="16">
        <v>0</v>
      </c>
      <c r="J14" s="16">
        <v>0</v>
      </c>
      <c r="K14" s="19">
        <v>0</v>
      </c>
      <c r="L14" s="16">
        <v>0</v>
      </c>
      <c r="M14" s="16">
        <v>0</v>
      </c>
      <c r="N14" s="16">
        <v>0</v>
      </c>
      <c r="O14" s="16">
        <v>0</v>
      </c>
      <c r="P14" s="16">
        <v>0</v>
      </c>
      <c r="Q14" s="16">
        <v>0</v>
      </c>
      <c r="R14" s="5">
        <f>SUM(C14:Q14)</f>
        <v>0</v>
      </c>
    </row>
    <row r="15" spans="2:18" ht="12.75" hidden="1">
      <c r="B15" s="18" t="s">
        <v>27</v>
      </c>
      <c r="C15" s="5">
        <f>SUM(C11:C14)</f>
        <v>0</v>
      </c>
      <c r="D15" s="5">
        <f aca="true" t="shared" si="2" ref="D15:R15">SUM(D11:D14)</f>
        <v>0</v>
      </c>
      <c r="E15" s="5">
        <f t="shared" si="2"/>
        <v>9321</v>
      </c>
      <c r="F15" s="5">
        <f t="shared" si="2"/>
        <v>29681</v>
      </c>
      <c r="G15" s="5">
        <f t="shared" si="2"/>
        <v>29681</v>
      </c>
      <c r="H15" s="5">
        <f t="shared" si="2"/>
        <v>29681</v>
      </c>
      <c r="I15" s="5">
        <f t="shared" si="2"/>
        <v>7597</v>
      </c>
      <c r="J15" s="5">
        <f t="shared" si="2"/>
        <v>29681</v>
      </c>
      <c r="K15" s="20">
        <f t="shared" si="2"/>
        <v>879.0111672508501</v>
      </c>
      <c r="L15" s="5">
        <f t="shared" si="2"/>
        <v>54493.5</v>
      </c>
      <c r="M15" s="5">
        <f t="shared" si="2"/>
        <v>36301.8092547864</v>
      </c>
      <c r="N15" s="5">
        <f t="shared" si="2"/>
        <v>27686.25505776315</v>
      </c>
      <c r="O15" s="5">
        <f t="shared" si="2"/>
        <v>153106.9245201996</v>
      </c>
      <c r="P15" s="5">
        <f t="shared" si="2"/>
        <v>0</v>
      </c>
      <c r="Q15" s="5">
        <f t="shared" si="2"/>
        <v>0</v>
      </c>
      <c r="R15" s="5">
        <f t="shared" si="2"/>
        <v>408109.5</v>
      </c>
    </row>
    <row r="16" spans="2:18" ht="12.75" hidden="1">
      <c r="B16" s="3" t="s">
        <v>23</v>
      </c>
      <c r="C16" s="16">
        <v>0</v>
      </c>
      <c r="D16" s="16">
        <v>0</v>
      </c>
      <c r="E16" s="16">
        <v>1217</v>
      </c>
      <c r="F16" s="16">
        <v>4651</v>
      </c>
      <c r="G16" s="16">
        <v>4651</v>
      </c>
      <c r="H16" s="16">
        <v>4651</v>
      </c>
      <c r="I16" s="16">
        <v>833</v>
      </c>
      <c r="J16" s="16">
        <v>4651</v>
      </c>
      <c r="K16" s="19">
        <f>64110*0.15</f>
        <v>9616.5</v>
      </c>
      <c r="L16" s="19">
        <f>64110*0.15</f>
        <v>9616.5</v>
      </c>
      <c r="M16" s="19">
        <f>64110*0.15</f>
        <v>9616.5</v>
      </c>
      <c r="N16" s="19">
        <f>64110*0.15</f>
        <v>9616.5</v>
      </c>
      <c r="O16" s="19">
        <v>0</v>
      </c>
      <c r="P16" s="16"/>
      <c r="Q16" s="16"/>
      <c r="R16" s="5">
        <f>SUM(C16:Q16)</f>
        <v>59120</v>
      </c>
    </row>
    <row r="17" spans="2:18" ht="12.75" hidden="1">
      <c r="B17" s="3" t="s">
        <v>24</v>
      </c>
      <c r="C17" s="16">
        <v>0</v>
      </c>
      <c r="D17" s="16">
        <v>0</v>
      </c>
      <c r="E17" s="16">
        <v>0</v>
      </c>
      <c r="F17" s="16">
        <v>0</v>
      </c>
      <c r="G17" s="16">
        <v>0</v>
      </c>
      <c r="H17" s="16">
        <v>0</v>
      </c>
      <c r="I17" s="16">
        <v>0</v>
      </c>
      <c r="J17" s="16">
        <v>0</v>
      </c>
      <c r="K17" s="19">
        <f>K16*-0.9838694309</f>
        <v>-9461.38038224985</v>
      </c>
      <c r="L17" s="16">
        <v>0</v>
      </c>
      <c r="M17" s="16">
        <f>M16*-0.3338323056</f>
        <v>-3210.2983668024</v>
      </c>
      <c r="N17" s="16">
        <f>N16*-0.4919347251</f>
        <v>-4730.69028392415</v>
      </c>
      <c r="O17" s="16">
        <v>0</v>
      </c>
      <c r="P17" s="16">
        <v>0</v>
      </c>
      <c r="Q17" s="16">
        <v>0</v>
      </c>
      <c r="R17" s="5">
        <f>SUM(C17:Q17)</f>
        <v>-17402.3690329764</v>
      </c>
    </row>
    <row r="18" spans="2:18" ht="12.75" hidden="1">
      <c r="B18" s="3" t="s">
        <v>25</v>
      </c>
      <c r="C18" s="16">
        <v>0</v>
      </c>
      <c r="D18" s="16">
        <v>0</v>
      </c>
      <c r="E18" s="16">
        <v>0</v>
      </c>
      <c r="F18" s="16">
        <v>0</v>
      </c>
      <c r="G18" s="16">
        <v>0</v>
      </c>
      <c r="H18" s="16">
        <v>0</v>
      </c>
      <c r="I18" s="16">
        <v>0</v>
      </c>
      <c r="J18" s="16">
        <v>0</v>
      </c>
      <c r="K18" s="19">
        <v>0</v>
      </c>
      <c r="L18" s="16">
        <v>0</v>
      </c>
      <c r="M18" s="16">
        <v>0</v>
      </c>
      <c r="N18" s="16">
        <v>0</v>
      </c>
      <c r="O18" s="16">
        <f>(K17*-1)+N16+((M17+N17)*-1)</f>
        <v>27018.869032976403</v>
      </c>
      <c r="P18" s="16"/>
      <c r="Q18" s="16">
        <v>0</v>
      </c>
      <c r="R18" s="5">
        <f>SUM(C18:Q18)</f>
        <v>27018.869032976403</v>
      </c>
    </row>
    <row r="19" spans="2:18" ht="12.75" hidden="1">
      <c r="B19" s="3" t="s">
        <v>26</v>
      </c>
      <c r="C19" s="16">
        <v>0</v>
      </c>
      <c r="D19" s="16">
        <v>0</v>
      </c>
      <c r="E19" s="16">
        <v>0</v>
      </c>
      <c r="F19" s="16">
        <v>0</v>
      </c>
      <c r="G19" s="16">
        <v>0</v>
      </c>
      <c r="H19" s="16">
        <v>0</v>
      </c>
      <c r="I19" s="16">
        <v>0</v>
      </c>
      <c r="J19" s="16">
        <v>0</v>
      </c>
      <c r="K19" s="19">
        <v>0</v>
      </c>
      <c r="L19" s="16">
        <v>0</v>
      </c>
      <c r="M19" s="16">
        <v>0</v>
      </c>
      <c r="N19" s="16">
        <v>0</v>
      </c>
      <c r="O19" s="16">
        <v>0</v>
      </c>
      <c r="P19" s="16">
        <v>0</v>
      </c>
      <c r="Q19" s="16">
        <v>0</v>
      </c>
      <c r="R19" s="5">
        <f>SUM(C19:Q19)</f>
        <v>0</v>
      </c>
    </row>
    <row r="20" spans="2:20" ht="12.75" hidden="1">
      <c r="B20" s="18" t="s">
        <v>18</v>
      </c>
      <c r="C20" s="5">
        <f>SUM(C16:C19)</f>
        <v>0</v>
      </c>
      <c r="D20" s="5">
        <f aca="true" t="shared" si="3" ref="D20:R20">SUM(D16:D19)</f>
        <v>0</v>
      </c>
      <c r="E20" s="5">
        <f t="shared" si="3"/>
        <v>1217</v>
      </c>
      <c r="F20" s="5">
        <f t="shared" si="3"/>
        <v>4651</v>
      </c>
      <c r="G20" s="5">
        <f t="shared" si="3"/>
        <v>4651</v>
      </c>
      <c r="H20" s="5">
        <f t="shared" si="3"/>
        <v>4651</v>
      </c>
      <c r="I20" s="5">
        <f t="shared" si="3"/>
        <v>833</v>
      </c>
      <c r="J20" s="5">
        <f t="shared" si="3"/>
        <v>4651</v>
      </c>
      <c r="K20" s="20">
        <f t="shared" si="3"/>
        <v>155.1196177501497</v>
      </c>
      <c r="L20" s="5">
        <f t="shared" si="3"/>
        <v>9616.5</v>
      </c>
      <c r="M20" s="5">
        <f t="shared" si="3"/>
        <v>6406.2016331976</v>
      </c>
      <c r="N20" s="5">
        <f t="shared" si="3"/>
        <v>4885.80971607585</v>
      </c>
      <c r="O20" s="5">
        <f t="shared" si="3"/>
        <v>27018.869032976403</v>
      </c>
      <c r="P20" s="5">
        <f t="shared" si="3"/>
        <v>0</v>
      </c>
      <c r="Q20" s="5">
        <f t="shared" si="3"/>
        <v>0</v>
      </c>
      <c r="R20" s="5">
        <f t="shared" si="3"/>
        <v>68736.5</v>
      </c>
      <c r="T20" s="1" t="s">
        <v>31</v>
      </c>
    </row>
    <row r="21" spans="2:18" ht="12.75" hidden="1">
      <c r="B21" s="18" t="s">
        <v>29</v>
      </c>
      <c r="C21" s="16">
        <v>0</v>
      </c>
      <c r="D21" s="16">
        <v>0</v>
      </c>
      <c r="E21" s="16">
        <v>0</v>
      </c>
      <c r="F21" s="16">
        <v>0</v>
      </c>
      <c r="G21" s="16">
        <v>0</v>
      </c>
      <c r="H21" s="16">
        <v>0</v>
      </c>
      <c r="I21" s="16">
        <v>0</v>
      </c>
      <c r="J21" s="16">
        <v>0</v>
      </c>
      <c r="K21" s="19">
        <v>0</v>
      </c>
      <c r="L21" s="16">
        <v>0</v>
      </c>
      <c r="M21" s="16">
        <v>0</v>
      </c>
      <c r="N21" s="16">
        <v>0</v>
      </c>
      <c r="O21" s="16">
        <v>0</v>
      </c>
      <c r="P21" s="16">
        <v>0</v>
      </c>
      <c r="Q21" s="16">
        <v>0</v>
      </c>
      <c r="R21" s="5">
        <f>SUM(C21:Q21)</f>
        <v>0</v>
      </c>
    </row>
    <row r="22" spans="2:18" ht="12.75">
      <c r="B22" s="12" t="s">
        <v>28</v>
      </c>
      <c r="C22" s="7">
        <f>SUM(C15,C20:C21)</f>
        <v>0</v>
      </c>
      <c r="D22" s="7">
        <f aca="true" t="shared" si="4" ref="D22:Q22">SUM(D15,D20:D21)</f>
        <v>0</v>
      </c>
      <c r="E22" s="7">
        <f t="shared" si="4"/>
        <v>10538</v>
      </c>
      <c r="F22" s="7">
        <f t="shared" si="4"/>
        <v>34332</v>
      </c>
      <c r="G22" s="7">
        <f t="shared" si="4"/>
        <v>34332</v>
      </c>
      <c r="H22" s="7">
        <f t="shared" si="4"/>
        <v>34332</v>
      </c>
      <c r="I22" s="7">
        <f t="shared" si="4"/>
        <v>8430</v>
      </c>
      <c r="J22" s="7">
        <f t="shared" si="4"/>
        <v>34332</v>
      </c>
      <c r="K22" s="21">
        <f t="shared" si="4"/>
        <v>1034.1307850009998</v>
      </c>
      <c r="L22" s="7">
        <f t="shared" si="4"/>
        <v>64110</v>
      </c>
      <c r="M22" s="7">
        <f t="shared" si="4"/>
        <v>42708.010887984</v>
      </c>
      <c r="N22" s="7">
        <f t="shared" si="4"/>
        <v>32572.064773838996</v>
      </c>
      <c r="O22" s="7">
        <f t="shared" si="4"/>
        <v>180125.793553176</v>
      </c>
      <c r="P22" s="7">
        <f t="shared" si="4"/>
        <v>0</v>
      </c>
      <c r="Q22" s="7">
        <f t="shared" si="4"/>
        <v>0</v>
      </c>
      <c r="R22" s="7">
        <f>SUM(R15,R20:R21)</f>
        <v>476846</v>
      </c>
    </row>
    <row r="23" spans="2:18" ht="12.75" hidden="1">
      <c r="B23" s="3" t="s">
        <v>8</v>
      </c>
      <c r="C23" s="16">
        <v>0</v>
      </c>
      <c r="D23" s="16">
        <v>0</v>
      </c>
      <c r="E23" s="16">
        <v>12431</v>
      </c>
      <c r="F23" s="16">
        <v>19890</v>
      </c>
      <c r="G23" s="16">
        <v>13889</v>
      </c>
      <c r="H23" s="16">
        <v>9945</v>
      </c>
      <c r="I23" s="16">
        <v>9945</v>
      </c>
      <c r="J23" s="16">
        <v>12480</v>
      </c>
      <c r="K23" s="19">
        <v>43355.01</v>
      </c>
      <c r="L23" s="16">
        <v>21677.51</v>
      </c>
      <c r="M23" s="16">
        <f>L23</f>
        <v>21677.51</v>
      </c>
      <c r="N23" s="16">
        <f>M23</f>
        <v>21677.51</v>
      </c>
      <c r="O23" s="16">
        <f>N23</f>
        <v>21677.51</v>
      </c>
      <c r="P23" s="16"/>
      <c r="Q23" s="16"/>
      <c r="R23" s="5">
        <f>SUM(C23:Q23)</f>
        <v>208645.05000000005</v>
      </c>
    </row>
    <row r="24" spans="2:18" ht="12.75" hidden="1">
      <c r="B24" s="3" t="s">
        <v>1</v>
      </c>
      <c r="C24" s="16">
        <v>0</v>
      </c>
      <c r="D24" s="16">
        <v>0</v>
      </c>
      <c r="E24" s="16">
        <v>0</v>
      </c>
      <c r="F24" s="16">
        <v>0</v>
      </c>
      <c r="G24" s="16">
        <v>0</v>
      </c>
      <c r="H24" s="16">
        <v>0</v>
      </c>
      <c r="I24" s="16">
        <v>0</v>
      </c>
      <c r="J24" s="16">
        <v>0</v>
      </c>
      <c r="K24" s="19">
        <v>0</v>
      </c>
      <c r="L24" s="16">
        <v>0</v>
      </c>
      <c r="M24" s="16">
        <v>0</v>
      </c>
      <c r="N24" s="16">
        <v>0</v>
      </c>
      <c r="O24" s="16">
        <v>0</v>
      </c>
      <c r="P24" s="16">
        <v>0</v>
      </c>
      <c r="Q24" s="16">
        <v>0</v>
      </c>
      <c r="R24" s="5">
        <f>SUM(C24:Q24)</f>
        <v>0</v>
      </c>
    </row>
    <row r="25" spans="2:18" ht="12.75">
      <c r="B25" s="12" t="s">
        <v>17</v>
      </c>
      <c r="C25" s="7">
        <f>SUM(C23:C24)</f>
        <v>0</v>
      </c>
      <c r="D25" s="7">
        <f aca="true" t="shared" si="5" ref="D25:P25">SUM(D23:D24)</f>
        <v>0</v>
      </c>
      <c r="E25" s="7">
        <f t="shared" si="5"/>
        <v>12431</v>
      </c>
      <c r="F25" s="7">
        <f t="shared" si="5"/>
        <v>19890</v>
      </c>
      <c r="G25" s="7">
        <f t="shared" si="5"/>
        <v>13889</v>
      </c>
      <c r="H25" s="7">
        <f t="shared" si="5"/>
        <v>9945</v>
      </c>
      <c r="I25" s="7">
        <f t="shared" si="5"/>
        <v>9945</v>
      </c>
      <c r="J25" s="7">
        <f t="shared" si="5"/>
        <v>12480</v>
      </c>
      <c r="K25" s="21">
        <f t="shared" si="5"/>
        <v>43355.01</v>
      </c>
      <c r="L25" s="7">
        <f t="shared" si="5"/>
        <v>21677.51</v>
      </c>
      <c r="M25" s="7">
        <f t="shared" si="5"/>
        <v>21677.51</v>
      </c>
      <c r="N25" s="7">
        <f t="shared" si="5"/>
        <v>21677.51</v>
      </c>
      <c r="O25" s="7">
        <f t="shared" si="5"/>
        <v>21677.51</v>
      </c>
      <c r="P25" s="7">
        <f t="shared" si="5"/>
        <v>0</v>
      </c>
      <c r="Q25" s="7">
        <f>SUM(Q23:Q24)</f>
        <v>0</v>
      </c>
      <c r="R25" s="7">
        <f>SUM(R23:R24)</f>
        <v>208645.05000000005</v>
      </c>
    </row>
    <row r="26" spans="2:18" ht="12.75">
      <c r="B26" s="1" t="s">
        <v>4</v>
      </c>
      <c r="C26" s="16">
        <v>0</v>
      </c>
      <c r="D26" s="16">
        <v>0</v>
      </c>
      <c r="E26" s="16">
        <f>4322+18916</f>
        <v>23238</v>
      </c>
      <c r="F26" s="16">
        <f>12572+17389</f>
        <v>29961</v>
      </c>
      <c r="G26" s="16">
        <f>6286+53336</f>
        <v>59622</v>
      </c>
      <c r="H26" s="16">
        <f>6286+276+61+13120</f>
        <v>19743</v>
      </c>
      <c r="I26" s="16">
        <f>6286+402</f>
        <v>6688</v>
      </c>
      <c r="J26" s="16">
        <f>6286+8523+1684</f>
        <v>16493</v>
      </c>
      <c r="K26" s="19">
        <f>23522.27+13120</f>
        <v>36642.270000000004</v>
      </c>
      <c r="L26" s="16">
        <f>11512.66+3734+339+3341</f>
        <v>18926.66</v>
      </c>
      <c r="M26" s="16">
        <f>L26+339</f>
        <v>19265.66</v>
      </c>
      <c r="N26" s="16">
        <f>M26</f>
        <v>19265.66</v>
      </c>
      <c r="O26" s="16">
        <f>N26</f>
        <v>19265.66</v>
      </c>
      <c r="P26" s="16"/>
      <c r="Q26" s="16"/>
      <c r="R26" s="5">
        <f>SUM(C26:Q26)</f>
        <v>269110.91000000003</v>
      </c>
    </row>
    <row r="27" spans="2:18" ht="12.75">
      <c r="B27" s="1" t="s">
        <v>5</v>
      </c>
      <c r="C27" s="16">
        <v>0</v>
      </c>
      <c r="D27" s="16">
        <v>0</v>
      </c>
      <c r="E27" s="16">
        <v>0</v>
      </c>
      <c r="F27" s="16">
        <v>60</v>
      </c>
      <c r="G27" s="16">
        <v>0</v>
      </c>
      <c r="H27" s="16">
        <v>0</v>
      </c>
      <c r="I27" s="16">
        <v>0</v>
      </c>
      <c r="J27" s="16">
        <v>60</v>
      </c>
      <c r="K27" s="19">
        <v>0</v>
      </c>
      <c r="L27" s="16">
        <v>0</v>
      </c>
      <c r="M27" s="16">
        <v>0</v>
      </c>
      <c r="N27" s="16">
        <v>0</v>
      </c>
      <c r="O27" s="16">
        <v>0</v>
      </c>
      <c r="P27" s="16">
        <v>0</v>
      </c>
      <c r="Q27" s="16">
        <v>0</v>
      </c>
      <c r="R27" s="5">
        <f>SUM(C27:Q27)</f>
        <v>120</v>
      </c>
    </row>
    <row r="28" spans="2:20" ht="12.75">
      <c r="B28" s="1" t="s">
        <v>30</v>
      </c>
      <c r="C28" s="16">
        <v>0</v>
      </c>
      <c r="D28" s="16">
        <v>0</v>
      </c>
      <c r="E28" s="16">
        <v>698</v>
      </c>
      <c r="F28" s="16">
        <v>0</v>
      </c>
      <c r="G28" s="16">
        <v>0</v>
      </c>
      <c r="H28" s="16">
        <v>0</v>
      </c>
      <c r="I28" s="16">
        <v>0</v>
      </c>
      <c r="J28" s="16">
        <v>0</v>
      </c>
      <c r="K28" s="19">
        <v>0</v>
      </c>
      <c r="L28" s="16">
        <v>0</v>
      </c>
      <c r="M28" s="16">
        <v>0</v>
      </c>
      <c r="N28" s="16">
        <v>0</v>
      </c>
      <c r="O28" s="16">
        <f>17758+8220+339+3341+13120+9950</f>
        <v>52728</v>
      </c>
      <c r="P28" s="16">
        <v>0</v>
      </c>
      <c r="Q28" s="16">
        <v>0</v>
      </c>
      <c r="R28" s="5">
        <f>SUM(C28:Q28)</f>
        <v>53426</v>
      </c>
      <c r="T28" s="1" t="s">
        <v>31</v>
      </c>
    </row>
    <row r="29" spans="2:18" ht="12.75">
      <c r="B29" s="1" t="s">
        <v>6</v>
      </c>
      <c r="C29" s="16">
        <v>0</v>
      </c>
      <c r="D29" s="16">
        <v>0</v>
      </c>
      <c r="E29" s="16">
        <v>0</v>
      </c>
      <c r="F29" s="16">
        <v>0</v>
      </c>
      <c r="G29" s="16">
        <v>0</v>
      </c>
      <c r="H29" s="16">
        <f>3366+18274</f>
        <v>21640</v>
      </c>
      <c r="I29" s="16">
        <v>4854</v>
      </c>
      <c r="J29" s="16">
        <f>4110</f>
        <v>4110</v>
      </c>
      <c r="K29" s="16">
        <v>7607</v>
      </c>
      <c r="L29" s="16">
        <f>4110+908+17892</f>
        <v>22910</v>
      </c>
      <c r="M29" s="16">
        <f>4110</f>
        <v>4110</v>
      </c>
      <c r="N29" s="16">
        <f>4110</f>
        <v>4110</v>
      </c>
      <c r="O29" s="16">
        <v>0</v>
      </c>
      <c r="P29" s="16">
        <v>0</v>
      </c>
      <c r="Q29" s="16">
        <v>0</v>
      </c>
      <c r="R29" s="5">
        <f>SUM(C29:Q29)</f>
        <v>69341</v>
      </c>
    </row>
    <row r="30" spans="2:18" ht="13.5" thickBot="1">
      <c r="B30" s="1" t="s">
        <v>19</v>
      </c>
      <c r="C30" s="16">
        <v>0</v>
      </c>
      <c r="D30" s="16">
        <v>0</v>
      </c>
      <c r="E30" s="16">
        <v>380</v>
      </c>
      <c r="F30" s="16">
        <v>0</v>
      </c>
      <c r="G30" s="16">
        <v>0</v>
      </c>
      <c r="H30" s="16">
        <f>1000+5302</f>
        <v>6302</v>
      </c>
      <c r="I30" s="16">
        <v>616</v>
      </c>
      <c r="J30" s="16">
        <f>200+400+310</f>
        <v>910</v>
      </c>
      <c r="K30" s="16">
        <v>20400</v>
      </c>
      <c r="L30" s="16">
        <v>0</v>
      </c>
      <c r="M30" s="16">
        <v>0</v>
      </c>
      <c r="N30" s="16">
        <v>0</v>
      </c>
      <c r="O30" s="16">
        <v>0</v>
      </c>
      <c r="P30" s="16">
        <v>0</v>
      </c>
      <c r="Q30" s="16">
        <v>0</v>
      </c>
      <c r="R30" s="5">
        <f>SUM(C30:Q30)</f>
        <v>28608</v>
      </c>
    </row>
    <row r="31" spans="2:18" ht="12.75">
      <c r="B31" s="9" t="s">
        <v>7</v>
      </c>
      <c r="C31" s="8">
        <f>SUM(C22,C25:C30)</f>
        <v>0</v>
      </c>
      <c r="D31" s="8">
        <f aca="true" t="shared" si="6" ref="D31:Q31">SUM(D22,D25:D30)</f>
        <v>0</v>
      </c>
      <c r="E31" s="8">
        <f t="shared" si="6"/>
        <v>47285</v>
      </c>
      <c r="F31" s="8">
        <f t="shared" si="6"/>
        <v>84243</v>
      </c>
      <c r="G31" s="8">
        <f t="shared" si="6"/>
        <v>107843</v>
      </c>
      <c r="H31" s="8">
        <f t="shared" si="6"/>
        <v>91962</v>
      </c>
      <c r="I31" s="8">
        <f t="shared" si="6"/>
        <v>30533</v>
      </c>
      <c r="J31" s="8">
        <f t="shared" si="6"/>
        <v>68385</v>
      </c>
      <c r="K31" s="8">
        <f t="shared" si="6"/>
        <v>109038.410785001</v>
      </c>
      <c r="L31" s="8">
        <f t="shared" si="6"/>
        <v>127624.17</v>
      </c>
      <c r="M31" s="8">
        <f t="shared" si="6"/>
        <v>87761.180887984</v>
      </c>
      <c r="N31" s="8">
        <f t="shared" si="6"/>
        <v>77625.234773839</v>
      </c>
      <c r="O31" s="8">
        <f t="shared" si="6"/>
        <v>273796.963553176</v>
      </c>
      <c r="P31" s="8">
        <f t="shared" si="6"/>
        <v>0</v>
      </c>
      <c r="Q31" s="8">
        <f t="shared" si="6"/>
        <v>0</v>
      </c>
      <c r="R31" s="8">
        <f>SUM(R22,R25:R30)</f>
        <v>1106096.96</v>
      </c>
    </row>
    <row r="32" ht="4.5" customHeight="1"/>
    <row r="33" ht="12.75">
      <c r="B33" s="1" t="s">
        <v>12</v>
      </c>
    </row>
    <row r="34" spans="2:18" ht="12.75">
      <c r="B34" s="1" t="s">
        <v>35</v>
      </c>
      <c r="C34" s="16">
        <v>0</v>
      </c>
      <c r="D34" s="16">
        <v>0</v>
      </c>
      <c r="E34" s="16">
        <v>78864</v>
      </c>
      <c r="F34" s="16">
        <v>51943</v>
      </c>
      <c r="G34" s="16">
        <v>53460</v>
      </c>
      <c r="H34" s="16">
        <v>45222</v>
      </c>
      <c r="I34" s="16">
        <v>52602</v>
      </c>
      <c r="J34" s="16">
        <v>53854</v>
      </c>
      <c r="K34" s="16">
        <v>52042</v>
      </c>
      <c r="L34" s="16">
        <v>51521</v>
      </c>
      <c r="M34" s="16">
        <v>51521</v>
      </c>
      <c r="N34" s="16">
        <v>51521</v>
      </c>
      <c r="O34" s="16">
        <v>12617</v>
      </c>
      <c r="P34" s="16"/>
      <c r="Q34" s="16"/>
      <c r="R34" s="5">
        <f>SUM(C34:Q34)</f>
        <v>555167</v>
      </c>
    </row>
    <row r="35" spans="2:18" ht="12.75">
      <c r="B35" s="1" t="s">
        <v>36</v>
      </c>
      <c r="C35" s="16">
        <v>0</v>
      </c>
      <c r="D35" s="16">
        <v>0</v>
      </c>
      <c r="E35" s="16">
        <v>26897</v>
      </c>
      <c r="F35" s="16">
        <v>10715</v>
      </c>
      <c r="G35" s="16">
        <v>10494</v>
      </c>
      <c r="H35" s="16">
        <v>10610</v>
      </c>
      <c r="I35" s="16">
        <v>11190</v>
      </c>
      <c r="J35" s="16">
        <v>12124</v>
      </c>
      <c r="K35" s="16">
        <v>12033</v>
      </c>
      <c r="L35" s="16">
        <v>13000</v>
      </c>
      <c r="M35" s="16">
        <v>13000</v>
      </c>
      <c r="N35" s="16">
        <v>13000</v>
      </c>
      <c r="O35" s="16">
        <v>8439</v>
      </c>
      <c r="P35" s="16"/>
      <c r="Q35" s="16"/>
      <c r="R35" s="5">
        <f aca="true" t="shared" si="7" ref="R35:R42">SUM(C35:Q35)</f>
        <v>141502</v>
      </c>
    </row>
    <row r="36" spans="2:18" ht="12.75">
      <c r="B36" s="1" t="s">
        <v>37</v>
      </c>
      <c r="C36" s="16">
        <v>0</v>
      </c>
      <c r="D36" s="16">
        <v>0</v>
      </c>
      <c r="E36" s="16">
        <v>29191</v>
      </c>
      <c r="F36" s="16">
        <v>11707</v>
      </c>
      <c r="G36" s="16">
        <v>10788</v>
      </c>
      <c r="H36" s="16">
        <v>9109</v>
      </c>
      <c r="I36" s="16">
        <v>9642</v>
      </c>
      <c r="J36" s="16">
        <v>12475</v>
      </c>
      <c r="K36" s="16">
        <v>9916</v>
      </c>
      <c r="L36" s="16">
        <v>11000</v>
      </c>
      <c r="M36" s="16">
        <v>11000</v>
      </c>
      <c r="N36" s="16">
        <v>11000</v>
      </c>
      <c r="O36" s="16">
        <v>7900</v>
      </c>
      <c r="P36" s="16"/>
      <c r="Q36" s="16"/>
      <c r="R36" s="5">
        <f t="shared" si="7"/>
        <v>133728</v>
      </c>
    </row>
    <row r="37" spans="2:18" ht="12.75">
      <c r="B37" s="1" t="s">
        <v>38</v>
      </c>
      <c r="C37" s="16">
        <v>0</v>
      </c>
      <c r="D37" s="16">
        <v>0</v>
      </c>
      <c r="E37" s="16">
        <v>25470</v>
      </c>
      <c r="F37" s="16">
        <v>7501</v>
      </c>
      <c r="G37" s="16">
        <v>5607</v>
      </c>
      <c r="H37" s="16">
        <v>8634</v>
      </c>
      <c r="I37" s="16">
        <v>5422</v>
      </c>
      <c r="J37" s="16">
        <v>3942</v>
      </c>
      <c r="K37" s="16">
        <v>10745</v>
      </c>
      <c r="L37" s="16">
        <v>9000</v>
      </c>
      <c r="M37" s="16">
        <v>9000</v>
      </c>
      <c r="N37" s="16">
        <v>9000</v>
      </c>
      <c r="O37" s="16">
        <v>965</v>
      </c>
      <c r="P37" s="16"/>
      <c r="Q37" s="16"/>
      <c r="R37" s="5">
        <f t="shared" si="7"/>
        <v>95286</v>
      </c>
    </row>
    <row r="38" spans="2:18" ht="12.75">
      <c r="B38" s="1" t="s">
        <v>39</v>
      </c>
      <c r="C38" s="16">
        <v>0</v>
      </c>
      <c r="D38" s="16">
        <v>0</v>
      </c>
      <c r="E38" s="16">
        <v>56409</v>
      </c>
      <c r="F38" s="16">
        <v>39981</v>
      </c>
      <c r="G38" s="16">
        <v>27202</v>
      </c>
      <c r="H38" s="16">
        <v>39698</v>
      </c>
      <c r="I38" s="16">
        <v>26338</v>
      </c>
      <c r="J38" s="16">
        <v>31375</v>
      </c>
      <c r="K38" s="16">
        <v>28012</v>
      </c>
      <c r="L38" s="16">
        <v>16000</v>
      </c>
      <c r="M38" s="16">
        <v>16000</v>
      </c>
      <c r="N38" s="16">
        <v>16000</v>
      </c>
      <c r="O38" s="16">
        <v>18190</v>
      </c>
      <c r="P38" s="16"/>
      <c r="Q38" s="16"/>
      <c r="R38" s="5">
        <f t="shared" si="7"/>
        <v>315205</v>
      </c>
    </row>
    <row r="39" spans="2:18" ht="12.75">
      <c r="B39" s="1" t="s">
        <v>40</v>
      </c>
      <c r="C39" s="16">
        <v>0</v>
      </c>
      <c r="D39" s="16">
        <v>0</v>
      </c>
      <c r="E39" s="16">
        <v>0</v>
      </c>
      <c r="F39" s="16">
        <v>0</v>
      </c>
      <c r="G39" s="16">
        <v>0</v>
      </c>
      <c r="H39" s="16">
        <v>0</v>
      </c>
      <c r="I39" s="16">
        <v>0</v>
      </c>
      <c r="J39" s="16">
        <v>0</v>
      </c>
      <c r="K39" s="16">
        <v>0</v>
      </c>
      <c r="L39" s="16">
        <v>0</v>
      </c>
      <c r="M39" s="16">
        <v>0</v>
      </c>
      <c r="N39" s="16">
        <v>0</v>
      </c>
      <c r="O39" s="16">
        <v>0</v>
      </c>
      <c r="P39" s="16"/>
      <c r="Q39" s="16"/>
      <c r="R39" s="5">
        <f t="shared" si="7"/>
        <v>0</v>
      </c>
    </row>
    <row r="40" spans="2:18" ht="12.75">
      <c r="B40" s="1" t="s">
        <v>41</v>
      </c>
      <c r="C40" s="16">
        <v>0</v>
      </c>
      <c r="D40" s="16">
        <v>0</v>
      </c>
      <c r="E40" s="16">
        <f>1231+569</f>
        <v>1800</v>
      </c>
      <c r="F40" s="16">
        <v>911</v>
      </c>
      <c r="G40" s="16">
        <v>495</v>
      </c>
      <c r="H40" s="16">
        <v>456</v>
      </c>
      <c r="I40" s="16">
        <v>456</v>
      </c>
      <c r="J40" s="16">
        <v>481</v>
      </c>
      <c r="K40" s="16">
        <v>1554</v>
      </c>
      <c r="L40" s="16">
        <v>500</v>
      </c>
      <c r="M40" s="16">
        <v>500</v>
      </c>
      <c r="N40" s="16">
        <v>500</v>
      </c>
      <c r="O40" s="16">
        <v>500</v>
      </c>
      <c r="P40" s="16"/>
      <c r="Q40" s="16"/>
      <c r="R40" s="5">
        <f t="shared" si="7"/>
        <v>8153</v>
      </c>
    </row>
    <row r="41" spans="2:18" ht="12.75">
      <c r="B41" s="1" t="s">
        <v>21</v>
      </c>
      <c r="C41" s="16">
        <v>0</v>
      </c>
      <c r="D41" s="16">
        <v>0</v>
      </c>
      <c r="E41" s="16">
        <v>0</v>
      </c>
      <c r="F41" s="16">
        <v>0</v>
      </c>
      <c r="G41" s="16">
        <v>0</v>
      </c>
      <c r="H41" s="16">
        <v>0</v>
      </c>
      <c r="I41" s="16">
        <v>0</v>
      </c>
      <c r="J41" s="16">
        <v>0</v>
      </c>
      <c r="K41" s="16">
        <v>0</v>
      </c>
      <c r="L41" s="16">
        <v>0</v>
      </c>
      <c r="M41" s="16">
        <v>0</v>
      </c>
      <c r="N41" s="16">
        <v>0</v>
      </c>
      <c r="O41" s="16">
        <v>0</v>
      </c>
      <c r="P41" s="16"/>
      <c r="Q41" s="16"/>
      <c r="R41" s="5">
        <f t="shared" si="7"/>
        <v>0</v>
      </c>
    </row>
    <row r="42" spans="2:18" ht="13.5" thickBot="1">
      <c r="B42" s="1" t="s">
        <v>20</v>
      </c>
      <c r="C42" s="16">
        <v>0</v>
      </c>
      <c r="D42" s="16">
        <v>0</v>
      </c>
      <c r="E42" s="16">
        <v>0</v>
      </c>
      <c r="F42" s="16">
        <v>0</v>
      </c>
      <c r="G42" s="16">
        <v>0</v>
      </c>
      <c r="H42" s="16">
        <v>0</v>
      </c>
      <c r="I42" s="16">
        <v>0</v>
      </c>
      <c r="J42" s="16">
        <v>0</v>
      </c>
      <c r="K42" s="16">
        <v>0</v>
      </c>
      <c r="L42" s="16">
        <v>0</v>
      </c>
      <c r="M42" s="16">
        <v>0</v>
      </c>
      <c r="N42" s="16">
        <v>0</v>
      </c>
      <c r="O42" s="16">
        <v>0</v>
      </c>
      <c r="P42" s="16"/>
      <c r="Q42" s="16"/>
      <c r="R42" s="5">
        <f t="shared" si="7"/>
        <v>0</v>
      </c>
    </row>
    <row r="43" spans="2:18" ht="12.75">
      <c r="B43" s="9" t="s">
        <v>13</v>
      </c>
      <c r="C43" s="8">
        <f>SUM(C34:C42)</f>
        <v>0</v>
      </c>
      <c r="D43" s="8">
        <f aca="true" t="shared" si="8" ref="D43:N43">SUM(D34:D42)</f>
        <v>0</v>
      </c>
      <c r="E43" s="8">
        <f t="shared" si="8"/>
        <v>218631</v>
      </c>
      <c r="F43" s="8">
        <f t="shared" si="8"/>
        <v>122758</v>
      </c>
      <c r="G43" s="8">
        <f t="shared" si="8"/>
        <v>108046</v>
      </c>
      <c r="H43" s="8">
        <f t="shared" si="8"/>
        <v>113729</v>
      </c>
      <c r="I43" s="8">
        <f t="shared" si="8"/>
        <v>105650</v>
      </c>
      <c r="J43" s="8">
        <f t="shared" si="8"/>
        <v>114251</v>
      </c>
      <c r="K43" s="8">
        <f t="shared" si="8"/>
        <v>114302</v>
      </c>
      <c r="L43" s="8">
        <f t="shared" si="8"/>
        <v>101021</v>
      </c>
      <c r="M43" s="8">
        <f t="shared" si="8"/>
        <v>101021</v>
      </c>
      <c r="N43" s="8">
        <f t="shared" si="8"/>
        <v>101021</v>
      </c>
      <c r="O43" s="8">
        <f>SUM(O34:O42)</f>
        <v>48611</v>
      </c>
      <c r="P43" s="8">
        <f>SUM(P34:P42)</f>
        <v>0</v>
      </c>
      <c r="Q43" s="8">
        <f>SUM(Q34:Q42)</f>
        <v>0</v>
      </c>
      <c r="R43" s="8">
        <f>SUM(R34:R42)</f>
        <v>1249041</v>
      </c>
    </row>
    <row r="44" ht="4.5" customHeight="1"/>
    <row r="45" spans="2:17" ht="12.75">
      <c r="B45" s="4" t="s">
        <v>15</v>
      </c>
      <c r="C45" s="7">
        <f>SUM(C8,C31,-C43)</f>
        <v>69786</v>
      </c>
      <c r="D45" s="7">
        <f aca="true" t="shared" si="9" ref="D45:O45">SUM(D8,D31,-D43)</f>
        <v>69786</v>
      </c>
      <c r="E45" s="7">
        <f t="shared" si="9"/>
        <v>102715.34999999998</v>
      </c>
      <c r="F45" s="7">
        <f t="shared" si="9"/>
        <v>64200.34999999998</v>
      </c>
      <c r="G45" s="7">
        <f t="shared" si="9"/>
        <v>63997.34999999998</v>
      </c>
      <c r="H45" s="7">
        <f t="shared" si="9"/>
        <v>42230.34999999998</v>
      </c>
      <c r="I45" s="7">
        <f t="shared" si="9"/>
        <v>-32886.65000000002</v>
      </c>
      <c r="J45" s="7">
        <f t="shared" si="9"/>
        <v>-78752.65000000002</v>
      </c>
      <c r="K45" s="7">
        <f t="shared" si="9"/>
        <v>-84016.23921499902</v>
      </c>
      <c r="L45" s="7">
        <f t="shared" si="9"/>
        <v>-57413.06921499902</v>
      </c>
      <c r="M45" s="7">
        <f t="shared" si="9"/>
        <v>-70672.88832701503</v>
      </c>
      <c r="N45" s="7">
        <f t="shared" si="9"/>
        <v>-94068.65355317603</v>
      </c>
      <c r="O45" s="7">
        <f t="shared" si="9"/>
        <v>131117.31</v>
      </c>
      <c r="P45" s="7"/>
      <c r="Q45" s="7"/>
    </row>
    <row r="46" ht="4.5" customHeight="1"/>
    <row r="49" spans="12:18" ht="12.75">
      <c r="L49" s="2" t="s">
        <v>31</v>
      </c>
      <c r="R49" s="23" t="s">
        <v>42</v>
      </c>
    </row>
    <row r="50" spans="12:18" ht="12.75">
      <c r="L50" s="2" t="s">
        <v>31</v>
      </c>
      <c r="R50" s="23" t="s">
        <v>43</v>
      </c>
    </row>
    <row r="52" ht="12.75">
      <c r="M52" s="2" t="s">
        <v>31</v>
      </c>
    </row>
  </sheetData>
  <sheetProtection/>
  <printOptions horizontalCentered="1"/>
  <pageMargins left="0.25" right="0.25" top="0.5" bottom="0.5" header="0.5" footer="0.25"/>
  <pageSetup fitToHeight="0" fitToWidth="1" horizontalDpi="600" verticalDpi="600" orientation="landscape" scale="74" r:id="rId1"/>
  <headerFooter alignWithMargins="0">
    <oddFooter>&amp;L&amp;D&amp;R&amp;"Tahoma,Regular"Page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2010 Waiver Item W40 Attachment 28 - Meeting Agendas (CA State Board of Education)</dc:title>
  <dc:subject>Request from various school districts and charter schools to waive for the 2010 calendar year California Education Code Section 14041.6, the requirement that substantial principal apportionment payments be deferred from February 2010 to July 2010, and from April and May 2010 to August 2010.</dc:subject>
  <dc:creator/>
  <cp:keywords>itemw40att28</cp:keywords>
  <dc:description/>
  <cp:lastModifiedBy> </cp:lastModifiedBy>
  <cp:lastPrinted>2010-04-12T15:11:35Z</cp:lastPrinted>
  <dcterms:created xsi:type="dcterms:W3CDTF">2009-03-30T23:30:00Z</dcterms:created>
  <dcterms:modified xsi:type="dcterms:W3CDTF">2010-04-21T18:08:04Z</dcterms:modified>
  <cp:category/>
  <cp:version/>
  <cp:contentType/>
  <cp:contentStatus/>
</cp:coreProperties>
</file>