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00" yWindow="408" windowWidth="15456" windowHeight="7200" activeTab="0"/>
  </bookViews>
  <sheets>
    <sheet name="Sheet1" sheetId="1" r:id="rId1"/>
    <sheet name="Sheet2" sheetId="2" r:id="rId2"/>
  </sheets>
  <externalReferences>
    <externalReference r:id="rId5"/>
    <externalReference r:id="rId6"/>
    <externalReference r:id="rId7"/>
    <externalReference r:id="rId8"/>
  </externalReferences>
  <definedNames>
    <definedName name="_xlnm.Print_Titles" localSheetId="0">'Sheet1'!$1:$1</definedName>
  </definedNames>
  <calcPr fullCalcOnLoad="1"/>
</workbook>
</file>

<file path=xl/sharedStrings.xml><?xml version="1.0" encoding="utf-8"?>
<sst xmlns="http://schemas.openxmlformats.org/spreadsheetml/2006/main" count="80" uniqueCount="62">
  <si>
    <t>REVENUES</t>
  </si>
  <si>
    <t>Special apportionment(s) for expanded grade</t>
  </si>
  <si>
    <t>Period ending</t>
  </si>
  <si>
    <t>TOTAL</t>
  </si>
  <si>
    <t>Other State revenues</t>
  </si>
  <si>
    <t>Other local revenues</t>
  </si>
  <si>
    <t>Federal revenues</t>
  </si>
  <si>
    <t>TOTAL REVENUES</t>
  </si>
  <si>
    <t>In-lieu property tax receipts</t>
  </si>
  <si>
    <t>Status</t>
  </si>
  <si>
    <t>Actual</t>
  </si>
  <si>
    <t>Projected</t>
  </si>
  <si>
    <t>EXPENDITURES</t>
  </si>
  <si>
    <t>Certificates salaries</t>
  </si>
  <si>
    <t>Classified salaries</t>
  </si>
  <si>
    <t>Employee benefits</t>
  </si>
  <si>
    <t>Books and supplies</t>
  </si>
  <si>
    <t>Services/other operating expenditures</t>
  </si>
  <si>
    <t>Capital outlay</t>
  </si>
  <si>
    <t>Direct support/indirect costs</t>
  </si>
  <si>
    <t>TOTAL EXPENDITURES</t>
  </si>
  <si>
    <t>Beginning cash balance</t>
  </si>
  <si>
    <t>Ending cash balance</t>
  </si>
  <si>
    <t>Monthly 2009-10 Cash Flow</t>
  </si>
  <si>
    <t>Total in-lieu property tax receipts</t>
  </si>
  <si>
    <t>Total categorical block grant</t>
  </si>
  <si>
    <t>Charter School Working Capital Program - Sample Cash Flow</t>
  </si>
  <si>
    <t>Extraordinary revenues (fundraising, etc.)</t>
  </si>
  <si>
    <t>Other debt service</t>
  </si>
  <si>
    <t>State revolving fund loan(s)</t>
  </si>
  <si>
    <t>2009-10 Principal Apportionment Monthly Payment Schedule</t>
  </si>
  <si>
    <t>Month</t>
  </si>
  <si>
    <t>July</t>
  </si>
  <si>
    <t>August</t>
  </si>
  <si>
    <t>September</t>
  </si>
  <si>
    <t>October</t>
  </si>
  <si>
    <t>November</t>
  </si>
  <si>
    <t>December</t>
  </si>
  <si>
    <t>January</t>
  </si>
  <si>
    <t>February</t>
  </si>
  <si>
    <t>March</t>
  </si>
  <si>
    <t>April</t>
  </si>
  <si>
    <t>May</t>
  </si>
  <si>
    <t>June</t>
  </si>
  <si>
    <t>Subsequent Year</t>
  </si>
  <si>
    <t>SBX4-16 Monthly Payment Schedule</t>
  </si>
  <si>
    <t>Monthly Payment Schedule with Deferrals</t>
  </si>
  <si>
    <t>Monthly % Shortfall/ Excess</t>
  </si>
  <si>
    <t>Cumulative % Shortfall/ Excess</t>
  </si>
  <si>
    <t>General purpose entitlement</t>
  </si>
  <si>
    <t>Categorical block grant (including impact aid)</t>
  </si>
  <si>
    <t>Less: deferred amounts</t>
  </si>
  <si>
    <t>Plus: amounts deferred from prior period</t>
  </si>
  <si>
    <t>Plus: special apportionment(s) for expanded grade</t>
  </si>
  <si>
    <t>Total general purpose entitlement</t>
  </si>
  <si>
    <t>Total principal apportionment</t>
  </si>
  <si>
    <t>Other state aid included in principal apportionment</t>
  </si>
  <si>
    <t>LEA: Animo South Los Angeles Charter High School</t>
  </si>
  <si>
    <t xml:space="preserve">Fiscal YTD </t>
  </si>
  <si>
    <t>7/1/09 - 12/31/09</t>
  </si>
  <si>
    <t>Attachment 9</t>
  </si>
  <si>
    <t>Page 1 of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</si>
</sst>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0000000"/>
    <numFmt numFmtId="167" formatCode="_(* #,##0.00000000_);_(* \(#,##0.00000000\);_(* &quot;-&quot;??_);_(@_)"/>
    <numFmt numFmtId="168" formatCode="_(* #,##0.00000000_);_(* \(#,##0.00000000\);_(* &quot;-&quot;????????_);_(@_)"/>
  </numFmts>
  <fonts count="28">
    <font>
      <sz val="10"/>
      <name val="Arial"/>
      <family val="0"/>
    </font>
    <font>
      <sz val="11"/>
      <color indexed="8"/>
      <name val="Calibri"/>
      <family val="2"/>
    </font>
    <font>
      <sz val="10"/>
      <name val="Tahoma"/>
      <family val="2"/>
    </font>
    <font>
      <sz val="8"/>
      <name val="Arial"/>
      <family val="2"/>
    </font>
    <font>
      <b/>
      <sz val="10"/>
      <name val="Tahoma"/>
      <family val="2"/>
    </font>
    <font>
      <sz val="14"/>
      <name val="Arial"/>
      <family val="2"/>
    </font>
    <font>
      <sz val="14"/>
      <name val="Tahoma"/>
      <family val="2"/>
    </font>
    <font>
      <sz val="10"/>
      <color indexed="30"/>
      <name val="Tahoma"/>
      <family val="2"/>
    </font>
    <font>
      <u val="single"/>
      <sz val="10"/>
      <name val="Tahoma"/>
      <family val="2"/>
    </font>
    <font>
      <sz val="14"/>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Tahoma"/>
      <family val="2"/>
    </font>
    <font>
      <b/>
      <sz val="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bottom/>
    </border>
    <border>
      <left style="thin"/>
      <right/>
      <top/>
      <bottom/>
    </border>
    <border>
      <left style="thin"/>
      <right/>
      <top/>
      <bottom style="thin"/>
    </border>
    <border>
      <left/>
      <right/>
      <top/>
      <bottom style="medium"/>
    </border>
    <border>
      <left/>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43">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4" fillId="0" borderId="0" xfId="0" applyFont="1" applyAlignment="1">
      <alignment/>
    </xf>
    <xf numFmtId="3" fontId="2" fillId="0" borderId="0" xfId="0" applyNumberFormat="1" applyFont="1" applyAlignment="1">
      <alignment horizontal="right"/>
    </xf>
    <xf numFmtId="165" fontId="2" fillId="0" borderId="0" xfId="0" applyNumberFormat="1" applyFont="1" applyAlignment="1">
      <alignment horizontal="right"/>
    </xf>
    <xf numFmtId="3" fontId="4" fillId="0" borderId="0" xfId="0" applyNumberFormat="1" applyFont="1" applyAlignment="1">
      <alignment horizontal="right"/>
    </xf>
    <xf numFmtId="3" fontId="4" fillId="0" borderId="10" xfId="0" applyNumberFormat="1" applyFont="1" applyBorder="1" applyAlignment="1">
      <alignment horizontal="right"/>
    </xf>
    <xf numFmtId="0" fontId="2" fillId="0" borderId="11" xfId="0" applyFont="1" applyBorder="1" applyAlignment="1">
      <alignment/>
    </xf>
    <xf numFmtId="0" fontId="2" fillId="0" borderId="12" xfId="0" applyFont="1" applyBorder="1" applyAlignment="1">
      <alignment/>
    </xf>
    <xf numFmtId="0" fontId="4" fillId="0" borderId="10" xfId="0" applyFont="1" applyBorder="1" applyAlignment="1">
      <alignment/>
    </xf>
    <xf numFmtId="0" fontId="2" fillId="0" borderId="0" xfId="0" applyFont="1" applyBorder="1" applyAlignment="1">
      <alignment horizontal="right"/>
    </xf>
    <xf numFmtId="0" fontId="4" fillId="0" borderId="13" xfId="0" applyFont="1" applyBorder="1" applyAlignment="1">
      <alignment/>
    </xf>
    <xf numFmtId="0" fontId="4" fillId="0" borderId="13" xfId="0" applyFont="1" applyBorder="1" applyAlignment="1">
      <alignment horizontal="right"/>
    </xf>
    <xf numFmtId="0" fontId="2" fillId="0" borderId="14" xfId="0" applyFont="1" applyBorder="1" applyAlignment="1">
      <alignment horizontal="right"/>
    </xf>
    <xf numFmtId="0" fontId="4" fillId="0" borderId="0" xfId="0" applyFont="1" applyAlignment="1">
      <alignment horizontal="left"/>
    </xf>
    <xf numFmtId="3" fontId="5" fillId="0" borderId="0" xfId="0" applyNumberFormat="1" applyFont="1" applyAlignment="1">
      <alignment/>
    </xf>
    <xf numFmtId="0" fontId="6" fillId="0" borderId="0" xfId="0" applyFont="1" applyAlignment="1">
      <alignment horizontal="right"/>
    </xf>
    <xf numFmtId="0" fontId="6" fillId="0" borderId="0" xfId="0" applyFont="1" applyAlignment="1">
      <alignment/>
    </xf>
    <xf numFmtId="3" fontId="7" fillId="0" borderId="0" xfId="0" applyNumberFormat="1" applyFont="1" applyAlignment="1">
      <alignment horizontal="right"/>
    </xf>
    <xf numFmtId="165" fontId="7" fillId="0" borderId="0" xfId="0" applyNumberFormat="1" applyFont="1" applyAlignment="1">
      <alignment horizontal="right"/>
    </xf>
    <xf numFmtId="0" fontId="2" fillId="0" borderId="15" xfId="0" applyFont="1" applyBorder="1" applyAlignment="1">
      <alignment horizontal="centerContinuous"/>
    </xf>
    <xf numFmtId="0" fontId="2" fillId="0" borderId="16" xfId="0" applyFont="1" applyBorder="1" applyAlignment="1">
      <alignment horizontal="centerContinuous"/>
    </xf>
    <xf numFmtId="0" fontId="2" fillId="0" borderId="17" xfId="0" applyFont="1" applyBorder="1" applyAlignment="1">
      <alignment horizontal="centerContinuous"/>
    </xf>
    <xf numFmtId="0" fontId="2" fillId="0" borderId="18" xfId="0" applyFont="1" applyBorder="1" applyAlignment="1">
      <alignment horizontal="right"/>
    </xf>
    <xf numFmtId="164" fontId="2" fillId="0" borderId="0" xfId="57" applyNumberFormat="1" applyFont="1" applyBorder="1" applyAlignment="1">
      <alignment horizontal="center"/>
    </xf>
    <xf numFmtId="164" fontId="2" fillId="0" borderId="18" xfId="57" applyNumberFormat="1" applyFont="1" applyBorder="1" applyAlignment="1">
      <alignment horizontal="center"/>
    </xf>
    <xf numFmtId="0" fontId="2" fillId="0" borderId="19" xfId="0" applyFont="1" applyBorder="1" applyAlignment="1">
      <alignment horizontal="right"/>
    </xf>
    <xf numFmtId="0" fontId="2" fillId="0" borderId="12" xfId="0" applyFont="1" applyBorder="1" applyAlignment="1">
      <alignment wrapText="1"/>
    </xf>
    <xf numFmtId="164" fontId="2" fillId="0" borderId="14" xfId="0" applyNumberFormat="1" applyFont="1" applyBorder="1" applyAlignment="1">
      <alignment horizontal="center" wrapText="1"/>
    </xf>
    <xf numFmtId="164" fontId="2" fillId="0" borderId="19" xfId="0" applyNumberFormat="1" applyFont="1" applyBorder="1" applyAlignment="1">
      <alignment horizontal="center" wrapText="1"/>
    </xf>
    <xf numFmtId="0" fontId="8" fillId="0" borderId="11" xfId="0" applyFont="1" applyBorder="1" applyAlignment="1">
      <alignment/>
    </xf>
    <xf numFmtId="0" fontId="2" fillId="0" borderId="0" xfId="0" applyFont="1" applyAlignment="1">
      <alignment horizontal="left"/>
    </xf>
    <xf numFmtId="3" fontId="9" fillId="0" borderId="0" xfId="0" applyNumberFormat="1" applyFont="1" applyAlignment="1">
      <alignment/>
    </xf>
    <xf numFmtId="3" fontId="2" fillId="0" borderId="0" xfId="0" applyNumberFormat="1" applyFont="1" applyAlignment="1">
      <alignment/>
    </xf>
    <xf numFmtId="0" fontId="8" fillId="0" borderId="0" xfId="0" applyFont="1" applyAlignment="1">
      <alignment horizontal="left"/>
    </xf>
    <xf numFmtId="3" fontId="26" fillId="0" borderId="0" xfId="0" applyNumberFormat="1" applyFont="1" applyAlignment="1">
      <alignment horizontal="right"/>
    </xf>
    <xf numFmtId="3" fontId="2" fillId="0" borderId="0" xfId="0" applyNumberFormat="1" applyFont="1" applyAlignment="1">
      <alignment horizontal="right"/>
    </xf>
    <xf numFmtId="3" fontId="8" fillId="0" borderId="0" xfId="0" applyNumberFormat="1" applyFont="1" applyAlignment="1">
      <alignment horizontal="right"/>
    </xf>
    <xf numFmtId="165" fontId="2" fillId="0" borderId="0" xfId="0" applyNumberFormat="1" applyFont="1" applyAlignment="1">
      <alignment horizontal="right"/>
    </xf>
    <xf numFmtId="3" fontId="2" fillId="0" borderId="0" xfId="0" applyNumberFormat="1" applyFont="1" applyFill="1" applyAlignment="1">
      <alignment horizontal="right"/>
    </xf>
    <xf numFmtId="0" fontId="27"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Users\Finance\Finance-GD\audit%2009-10\pasummary2009p1-gd%20on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q\Users\Finance\Finance-GD\audit%2009-10\payschedlea0910p1-gd%20onl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9-10%20cash%20deferral%20expenses%20v%2003-31-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9-10%20cash%20deferral%20ar%20receipts%20v%2003-3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ummary2009p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9-10 P-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0,#"/>
      <sheetName val="#,030,#"/>
      <sheetName val="#,040,#"/>
      <sheetName val="#,050,#"/>
      <sheetName val="#,060,#"/>
      <sheetName val="#,070,#"/>
      <sheetName val="#,080,#"/>
      <sheetName val="#,090,#"/>
      <sheetName val="#,100,#"/>
      <sheetName val="#,110,#"/>
      <sheetName val="#,120,#"/>
      <sheetName val="#,130,#"/>
      <sheetName val="#,140,#"/>
      <sheetName val="#,150,#"/>
      <sheetName val="#,160,#"/>
      <sheetName val="locke"/>
      <sheetName val="ac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lptls1.R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Z49"/>
  <sheetViews>
    <sheetView tabSelected="1" zoomScalePageLayoutView="0" workbookViewId="0" topLeftCell="L25">
      <selection activeCell="S51" sqref="S51"/>
    </sheetView>
  </sheetViews>
  <sheetFormatPr defaultColWidth="9.140625" defaultRowHeight="12.75" outlineLevelRow="1" outlineLevelCol="1"/>
  <cols>
    <col min="1" max="1" width="0.85546875" style="1" customWidth="1"/>
    <col min="2" max="2" width="45.7109375" style="1" customWidth="1"/>
    <col min="3" max="3" width="15.8515625" style="1" bestFit="1" customWidth="1"/>
    <col min="4" max="4" width="12.7109375" style="1" hidden="1" customWidth="1" outlineLevel="1"/>
    <col min="5" max="9" width="10.7109375" style="2" hidden="1" customWidth="1" outlineLevel="1"/>
    <col min="10" max="10" width="10.7109375" style="2" customWidth="1" collapsed="1"/>
    <col min="11" max="18" width="10.7109375" style="2" customWidth="1"/>
    <col min="19" max="19" width="14.28125" style="2" bestFit="1" customWidth="1"/>
    <col min="20" max="20" width="0.85546875" style="1" customWidth="1"/>
    <col min="21" max="16384" width="9.140625" style="1" customWidth="1"/>
  </cols>
  <sheetData>
    <row r="1" spans="2:19" s="19" customFormat="1" ht="17.25">
      <c r="B1" s="17" t="s">
        <v>26</v>
      </c>
      <c r="C1" s="17"/>
      <c r="D1" s="17"/>
      <c r="E1" s="18"/>
      <c r="F1" s="18"/>
      <c r="G1" s="18"/>
      <c r="H1" s="18"/>
      <c r="I1" s="18"/>
      <c r="J1" s="18"/>
      <c r="K1" s="18"/>
      <c r="L1" s="18"/>
      <c r="M1" s="18"/>
      <c r="N1" s="18"/>
      <c r="O1" s="18"/>
      <c r="P1" s="18"/>
      <c r="Q1" s="18"/>
      <c r="R1" s="18"/>
      <c r="S1" s="18"/>
    </row>
    <row r="2" spans="2:19" s="19" customFormat="1" ht="17.25">
      <c r="B2" s="34" t="s">
        <v>57</v>
      </c>
      <c r="C2" s="34"/>
      <c r="D2" s="34"/>
      <c r="E2" s="18"/>
      <c r="F2" s="18"/>
      <c r="G2" s="18"/>
      <c r="H2" s="18"/>
      <c r="I2" s="18"/>
      <c r="J2" s="18"/>
      <c r="K2" s="18"/>
      <c r="L2" s="18"/>
      <c r="M2" s="18"/>
      <c r="N2" s="18"/>
      <c r="O2" s="18"/>
      <c r="P2" s="18"/>
      <c r="Q2" s="18"/>
      <c r="R2" s="18"/>
      <c r="S2" s="18"/>
    </row>
    <row r="4" spans="2:19" ht="13.5" thickBot="1">
      <c r="B4" s="13" t="s">
        <v>23</v>
      </c>
      <c r="C4" s="13"/>
      <c r="D4" s="13"/>
      <c r="E4" s="14"/>
      <c r="F4" s="14"/>
      <c r="G4" s="14"/>
      <c r="H4" s="14"/>
      <c r="I4" s="14"/>
      <c r="J4" s="14"/>
      <c r="K4" s="14"/>
      <c r="L4" s="14"/>
      <c r="M4" s="14"/>
      <c r="N4" s="14"/>
      <c r="O4" s="14"/>
      <c r="P4" s="14"/>
      <c r="Q4" s="14"/>
      <c r="R4" s="14"/>
      <c r="S4" s="14"/>
    </row>
    <row r="5" spans="2:19" ht="12.75">
      <c r="B5" s="1" t="s">
        <v>2</v>
      </c>
      <c r="C5" s="1" t="s">
        <v>58</v>
      </c>
      <c r="D5" s="6">
        <v>40025</v>
      </c>
      <c r="E5" s="6">
        <v>40056</v>
      </c>
      <c r="F5" s="6">
        <v>40086</v>
      </c>
      <c r="G5" s="6">
        <v>40117</v>
      </c>
      <c r="H5" s="6">
        <v>40147</v>
      </c>
      <c r="I5" s="6">
        <v>40178</v>
      </c>
      <c r="J5" s="6">
        <v>40209</v>
      </c>
      <c r="K5" s="6">
        <v>40237</v>
      </c>
      <c r="L5" s="6">
        <v>40268</v>
      </c>
      <c r="M5" s="6">
        <v>40298</v>
      </c>
      <c r="N5" s="6">
        <v>40329</v>
      </c>
      <c r="O5" s="6">
        <v>40359</v>
      </c>
      <c r="P5" s="6">
        <v>40390</v>
      </c>
      <c r="Q5" s="6">
        <v>40421</v>
      </c>
      <c r="R5" s="6">
        <v>40451</v>
      </c>
      <c r="S5" s="2" t="s">
        <v>3</v>
      </c>
    </row>
    <row r="6" spans="2:18" ht="12.75">
      <c r="B6" s="1" t="s">
        <v>9</v>
      </c>
      <c r="C6" s="1" t="s">
        <v>59</v>
      </c>
      <c r="D6" s="21" t="s">
        <v>10</v>
      </c>
      <c r="E6" s="21" t="s">
        <v>10</v>
      </c>
      <c r="F6" s="21" t="s">
        <v>10</v>
      </c>
      <c r="G6" s="21" t="s">
        <v>10</v>
      </c>
      <c r="H6" s="21" t="s">
        <v>10</v>
      </c>
      <c r="I6" s="21" t="s">
        <v>10</v>
      </c>
      <c r="J6" s="40" t="s">
        <v>10</v>
      </c>
      <c r="K6" s="40" t="s">
        <v>10</v>
      </c>
      <c r="L6" s="40" t="s">
        <v>10</v>
      </c>
      <c r="M6" s="40" t="s">
        <v>11</v>
      </c>
      <c r="N6" s="40" t="s">
        <v>11</v>
      </c>
      <c r="O6" s="40" t="s">
        <v>11</v>
      </c>
      <c r="P6" s="40" t="s">
        <v>11</v>
      </c>
      <c r="Q6" s="40" t="s">
        <v>11</v>
      </c>
      <c r="R6" s="40" t="s">
        <v>11</v>
      </c>
    </row>
    <row r="7" ht="4.5" customHeight="1">
      <c r="E7" s="21"/>
    </row>
    <row r="8" spans="2:18" ht="12.75">
      <c r="B8" s="1" t="s">
        <v>21</v>
      </c>
      <c r="C8" s="35">
        <f>D8</f>
        <v>51000</v>
      </c>
      <c r="D8" s="20">
        <v>51000</v>
      </c>
      <c r="E8" s="5">
        <f>D44</f>
        <v>402642.3473999999</v>
      </c>
      <c r="F8" s="5">
        <f>E44</f>
        <v>98588.00402031682</v>
      </c>
      <c r="G8" s="5">
        <f aca="true" t="shared" si="0" ref="G8:R8">F44</f>
        <v>244014.08539999998</v>
      </c>
      <c r="H8" s="5">
        <f t="shared" si="0"/>
        <v>200669.4486</v>
      </c>
      <c r="I8" s="5">
        <f t="shared" si="0"/>
        <v>132442.04180000006</v>
      </c>
      <c r="J8" s="5">
        <f t="shared" si="0"/>
        <v>193035.58500000008</v>
      </c>
      <c r="K8" s="5">
        <f t="shared" si="0"/>
        <v>116645.79820000014</v>
      </c>
      <c r="L8" s="5">
        <f t="shared" si="0"/>
        <v>205045.67373333342</v>
      </c>
      <c r="M8" s="5">
        <f t="shared" si="0"/>
        <v>-83404.7015817439</v>
      </c>
      <c r="N8" s="5">
        <f t="shared" si="0"/>
        <v>-116026.12281507725</v>
      </c>
      <c r="O8" s="5">
        <f t="shared" si="0"/>
        <v>-170087.42103321146</v>
      </c>
      <c r="P8" s="5">
        <f t="shared" si="0"/>
        <v>-340218.3214815012</v>
      </c>
      <c r="Q8" s="5">
        <f t="shared" si="0"/>
        <v>-734909.2147535012</v>
      </c>
      <c r="R8" s="5">
        <f t="shared" si="0"/>
        <v>-615807.1943932001</v>
      </c>
    </row>
    <row r="9" ht="4.5" customHeight="1"/>
    <row r="10" ht="12.75">
      <c r="B10" s="1" t="s">
        <v>0</v>
      </c>
    </row>
    <row r="11" spans="2:19" ht="11.25" customHeight="1" hidden="1" outlineLevel="1">
      <c r="B11" s="3" t="s">
        <v>49</v>
      </c>
      <c r="C11" s="20">
        <f>SUM(D11:I11)</f>
        <v>839441.94</v>
      </c>
      <c r="D11" s="20">
        <v>0</v>
      </c>
      <c r="E11" s="20">
        <v>155547</v>
      </c>
      <c r="F11" s="20">
        <v>71329.2</v>
      </c>
      <c r="G11" s="20">
        <v>204188.58</v>
      </c>
      <c r="H11" s="20">
        <v>204188.58</v>
      </c>
      <c r="I11" s="20">
        <v>204188.58</v>
      </c>
      <c r="J11" s="38">
        <v>204188.58</v>
      </c>
      <c r="K11" s="38">
        <v>204188.58</v>
      </c>
      <c r="L11" s="38">
        <v>185691.98</v>
      </c>
      <c r="M11" s="38">
        <v>185691.98</v>
      </c>
      <c r="N11" s="38">
        <v>185691.98</v>
      </c>
      <c r="O11" s="38">
        <v>185691.98</v>
      </c>
      <c r="P11" s="38">
        <v>185691.98</v>
      </c>
      <c r="Q11" s="38">
        <v>108813.95</v>
      </c>
      <c r="R11" s="38">
        <v>108813.95</v>
      </c>
      <c r="S11" s="5">
        <f>SUM(D11:R11)</f>
        <v>2393906.9000000004</v>
      </c>
    </row>
    <row r="12" spans="2:26" ht="11.25" customHeight="1" hidden="1" outlineLevel="1">
      <c r="B12" s="3" t="s">
        <v>51</v>
      </c>
      <c r="C12" s="20">
        <f aca="true" t="shared" si="1" ref="C12:C42">SUM(D12:I12)</f>
        <v>-92704.176700947</v>
      </c>
      <c r="D12" s="20">
        <v>0</v>
      </c>
      <c r="E12" s="20">
        <v>-92704.176700947</v>
      </c>
      <c r="F12" s="20">
        <v>0</v>
      </c>
      <c r="G12" s="20">
        <v>0</v>
      </c>
      <c r="H12" s="20">
        <v>0</v>
      </c>
      <c r="I12" s="20">
        <v>0</v>
      </c>
      <c r="J12" s="38">
        <v>0</v>
      </c>
      <c r="K12" s="38">
        <v>0</v>
      </c>
      <c r="L12" s="38">
        <v>-182696.66268529423</v>
      </c>
      <c r="M12" s="38">
        <v>0</v>
      </c>
      <c r="N12" s="38">
        <v>-61989.9818148291</v>
      </c>
      <c r="O12" s="38">
        <v>-91348.33313457473</v>
      </c>
      <c r="P12" s="38">
        <v>-185691.98</v>
      </c>
      <c r="Q12" s="41"/>
      <c r="R12" s="41"/>
      <c r="S12" s="5">
        <f>SUM(D12:R12)</f>
        <v>-614431.134335645</v>
      </c>
      <c r="V12" s="35"/>
      <c r="W12" s="35"/>
      <c r="X12" s="35"/>
      <c r="Y12" s="35"/>
      <c r="Z12" s="35"/>
    </row>
    <row r="13" spans="2:26" ht="11.25" customHeight="1" hidden="1" outlineLevel="1">
      <c r="B13" s="3" t="s">
        <v>52</v>
      </c>
      <c r="C13" s="20">
        <f t="shared" si="1"/>
        <v>424869.51670094696</v>
      </c>
      <c r="D13" s="20">
        <v>332165.34</v>
      </c>
      <c r="E13" s="20">
        <v>0</v>
      </c>
      <c r="F13" s="20">
        <f>-E12</f>
        <v>92704.176700947</v>
      </c>
      <c r="G13" s="20">
        <v>0</v>
      </c>
      <c r="H13" s="20">
        <v>0</v>
      </c>
      <c r="I13" s="20">
        <v>0</v>
      </c>
      <c r="J13" s="38">
        <v>0</v>
      </c>
      <c r="K13" s="38">
        <v>0</v>
      </c>
      <c r="L13" s="38">
        <v>0</v>
      </c>
      <c r="M13" s="38">
        <v>0</v>
      </c>
      <c r="N13" s="38">
        <v>0</v>
      </c>
      <c r="O13" s="38">
        <v>0</v>
      </c>
      <c r="P13" s="38">
        <v>0</v>
      </c>
      <c r="Q13" s="38">
        <f>+(-SUM(L12:P12)*0.7)</f>
        <v>365208.87034428865</v>
      </c>
      <c r="R13" s="38">
        <f>+(-SUM(L12:P12)*0.3)</f>
        <v>156518.08729040943</v>
      </c>
      <c r="S13" s="5">
        <f>SUM(D13:R13)</f>
        <v>946596.4743356451</v>
      </c>
      <c r="V13" s="35"/>
      <c r="W13" s="35"/>
      <c r="X13" s="35"/>
      <c r="Y13" s="35"/>
      <c r="Z13" s="35"/>
    </row>
    <row r="14" spans="2:26" ht="11.25" customHeight="1" hidden="1" outlineLevel="1">
      <c r="B14" s="3" t="s">
        <v>53</v>
      </c>
      <c r="C14" s="20">
        <f t="shared" si="1"/>
        <v>0</v>
      </c>
      <c r="D14" s="20">
        <v>0</v>
      </c>
      <c r="E14" s="20">
        <v>0</v>
      </c>
      <c r="F14" s="20">
        <v>0</v>
      </c>
      <c r="G14" s="20">
        <v>0</v>
      </c>
      <c r="H14" s="20">
        <v>0</v>
      </c>
      <c r="I14" s="20">
        <v>0</v>
      </c>
      <c r="J14" s="38">
        <v>0</v>
      </c>
      <c r="K14" s="38">
        <v>0</v>
      </c>
      <c r="L14" s="38">
        <v>0</v>
      </c>
      <c r="M14" s="38">
        <v>0</v>
      </c>
      <c r="N14" s="38">
        <v>0</v>
      </c>
      <c r="O14" s="38">
        <v>0</v>
      </c>
      <c r="P14" s="38">
        <v>0</v>
      </c>
      <c r="Q14" s="38">
        <v>0</v>
      </c>
      <c r="R14" s="38">
        <v>0</v>
      </c>
      <c r="S14" s="5">
        <f>SUM(D14:R14)</f>
        <v>0</v>
      </c>
      <c r="V14" s="35"/>
      <c r="W14" s="35"/>
      <c r="X14" s="35"/>
      <c r="Y14" s="35"/>
      <c r="Z14" s="35"/>
    </row>
    <row r="15" spans="2:19" ht="11.25" customHeight="1" collapsed="1">
      <c r="B15" s="33" t="s">
        <v>54</v>
      </c>
      <c r="C15" s="5">
        <f t="shared" si="1"/>
        <v>1171607.28</v>
      </c>
      <c r="D15" s="5">
        <f>SUM(D11:D14)</f>
        <v>332165.33999999997</v>
      </c>
      <c r="E15" s="5">
        <f>SUM(E11:E14)</f>
        <v>62842.823299052994</v>
      </c>
      <c r="F15" s="5">
        <f aca="true" t="shared" si="2" ref="F15:S15">SUM(F11:F14)</f>
        <v>164033.376700947</v>
      </c>
      <c r="G15" s="5">
        <f t="shared" si="2"/>
        <v>204188.58</v>
      </c>
      <c r="H15" s="5">
        <f t="shared" si="2"/>
        <v>204188.58</v>
      </c>
      <c r="I15" s="5">
        <f t="shared" si="2"/>
        <v>204188.58</v>
      </c>
      <c r="J15" s="5">
        <f t="shared" si="2"/>
        <v>204188.58</v>
      </c>
      <c r="K15" s="5">
        <f t="shared" si="2"/>
        <v>204188.58</v>
      </c>
      <c r="L15" s="5">
        <f t="shared" si="2"/>
        <v>2995.3173147058114</v>
      </c>
      <c r="M15" s="5">
        <f t="shared" si="2"/>
        <v>185691.98000000004</v>
      </c>
      <c r="N15" s="5">
        <f t="shared" si="2"/>
        <v>123701.99818517093</v>
      </c>
      <c r="O15" s="5">
        <f t="shared" si="2"/>
        <v>94343.64686542531</v>
      </c>
      <c r="P15" s="5">
        <f t="shared" si="2"/>
        <v>0</v>
      </c>
      <c r="Q15" s="5">
        <f t="shared" si="2"/>
        <v>474022.82034428866</v>
      </c>
      <c r="R15" s="5">
        <f t="shared" si="2"/>
        <v>265332.03729040944</v>
      </c>
      <c r="S15" s="5">
        <f t="shared" si="2"/>
        <v>2726072.24</v>
      </c>
    </row>
    <row r="16" spans="2:19" ht="12.75" hidden="1" outlineLevel="1">
      <c r="B16" s="3" t="s">
        <v>50</v>
      </c>
      <c r="C16" s="38">
        <f t="shared" si="1"/>
        <v>143293.23</v>
      </c>
      <c r="D16" s="20">
        <v>0</v>
      </c>
      <c r="E16" s="20">
        <v>21831.96</v>
      </c>
      <c r="F16" s="20">
        <v>16895.94</v>
      </c>
      <c r="G16" s="20">
        <v>34855.11</v>
      </c>
      <c r="H16" s="20">
        <v>34855.11</v>
      </c>
      <c r="I16" s="20">
        <v>34855.11</v>
      </c>
      <c r="J16" s="38">
        <v>34855.11</v>
      </c>
      <c r="K16" s="38">
        <v>34855.11</v>
      </c>
      <c r="L16" s="38">
        <v>36863.11</v>
      </c>
      <c r="M16" s="38">
        <v>36863.11</v>
      </c>
      <c r="N16" s="38">
        <v>36863.11</v>
      </c>
      <c r="O16" s="38">
        <v>36863.11</v>
      </c>
      <c r="P16" s="38">
        <v>36863.11</v>
      </c>
      <c r="Q16" s="38">
        <v>19865.95</v>
      </c>
      <c r="R16" s="38">
        <v>19865.95</v>
      </c>
      <c r="S16" s="5">
        <f>SUM(D16:R16)</f>
        <v>437050.89999999997</v>
      </c>
    </row>
    <row r="17" spans="2:19" ht="12.75" hidden="1" outlineLevel="1">
      <c r="B17" s="3" t="s">
        <v>51</v>
      </c>
      <c r="C17" s="38">
        <f t="shared" si="1"/>
        <v>-13011.59056470396</v>
      </c>
      <c r="D17" s="20">
        <v>0</v>
      </c>
      <c r="E17" s="20">
        <v>-13011.59056470396</v>
      </c>
      <c r="F17" s="20">
        <v>0</v>
      </c>
      <c r="G17" s="20">
        <v>0</v>
      </c>
      <c r="H17" s="20">
        <v>0</v>
      </c>
      <c r="I17" s="20">
        <v>0</v>
      </c>
      <c r="J17" s="38">
        <v>0</v>
      </c>
      <c r="K17" s="38">
        <v>0</v>
      </c>
      <c r="L17" s="38">
        <v>-36268.4870569041</v>
      </c>
      <c r="M17" s="38">
        <v>0</v>
      </c>
      <c r="N17" s="38">
        <v>-12306.097002886416</v>
      </c>
      <c r="O17" s="38">
        <v>-18134.24388418106</v>
      </c>
      <c r="P17" s="38">
        <v>-36863.11</v>
      </c>
      <c r="Q17" s="41">
        <f>-Q16</f>
        <v>-19865.95</v>
      </c>
      <c r="R17" s="41">
        <f>-R16</f>
        <v>-19865.95</v>
      </c>
      <c r="S17" s="5">
        <f>SUM(D17:R17)</f>
        <v>-156315.42850867557</v>
      </c>
    </row>
    <row r="18" spans="2:19" ht="12.75" hidden="1" outlineLevel="1">
      <c r="B18" s="3" t="s">
        <v>52</v>
      </c>
      <c r="C18" s="38">
        <f t="shared" si="1"/>
        <v>61117.59056470396</v>
      </c>
      <c r="D18" s="20">
        <v>48106</v>
      </c>
      <c r="E18" s="20">
        <v>0</v>
      </c>
      <c r="F18" s="20">
        <f>-E17</f>
        <v>13011.59056470396</v>
      </c>
      <c r="G18" s="20">
        <v>0</v>
      </c>
      <c r="H18" s="20">
        <v>0</v>
      </c>
      <c r="I18" s="20">
        <v>0</v>
      </c>
      <c r="J18" s="38">
        <v>0</v>
      </c>
      <c r="K18" s="38">
        <v>0</v>
      </c>
      <c r="L18" s="38">
        <v>0</v>
      </c>
      <c r="M18" s="38">
        <v>0</v>
      </c>
      <c r="N18" s="38">
        <v>0</v>
      </c>
      <c r="O18" s="38">
        <v>0</v>
      </c>
      <c r="P18" s="38">
        <v>0</v>
      </c>
      <c r="Q18" s="38">
        <f>+(-SUM(L17:P17)*0.7)</f>
        <v>72500.3565607801</v>
      </c>
      <c r="R18" s="38">
        <f>+(-SUM(L17:P17)*0.3)</f>
        <v>31071.581383191475</v>
      </c>
      <c r="S18" s="5">
        <f>SUM(D18:R18)</f>
        <v>164689.52850867555</v>
      </c>
    </row>
    <row r="19" spans="2:19" ht="12.75" hidden="1" outlineLevel="1">
      <c r="B19" s="3" t="s">
        <v>53</v>
      </c>
      <c r="C19" s="38">
        <f t="shared" si="1"/>
        <v>0</v>
      </c>
      <c r="D19" s="20">
        <v>0</v>
      </c>
      <c r="E19" s="20">
        <v>0</v>
      </c>
      <c r="F19" s="20">
        <v>0</v>
      </c>
      <c r="G19" s="20">
        <v>0</v>
      </c>
      <c r="H19" s="20">
        <v>0</v>
      </c>
      <c r="I19" s="20">
        <v>0</v>
      </c>
      <c r="J19" s="38">
        <v>0</v>
      </c>
      <c r="K19" s="38">
        <v>0</v>
      </c>
      <c r="L19" s="38">
        <v>0</v>
      </c>
      <c r="M19" s="38">
        <v>0</v>
      </c>
      <c r="N19" s="38">
        <v>0</v>
      </c>
      <c r="O19" s="38">
        <v>0</v>
      </c>
      <c r="P19" s="38">
        <v>0</v>
      </c>
      <c r="Q19" s="38">
        <v>0</v>
      </c>
      <c r="R19" s="38">
        <v>0</v>
      </c>
      <c r="S19" s="5">
        <f>SUM(D19:R19)</f>
        <v>0</v>
      </c>
    </row>
    <row r="20" spans="2:19" ht="12.75" collapsed="1">
      <c r="B20" s="33" t="s">
        <v>25</v>
      </c>
      <c r="C20" s="5">
        <f t="shared" si="1"/>
        <v>191399.22999999998</v>
      </c>
      <c r="D20" s="5">
        <f>SUM(D16:D19)</f>
        <v>48106</v>
      </c>
      <c r="E20" s="5">
        <f>SUM(E16:E19)</f>
        <v>8820.36943529604</v>
      </c>
      <c r="F20" s="5">
        <f aca="true" t="shared" si="3" ref="F20:S20">SUM(F16:F19)</f>
        <v>29907.530564703964</v>
      </c>
      <c r="G20" s="5">
        <f t="shared" si="3"/>
        <v>34855.11</v>
      </c>
      <c r="H20" s="5">
        <f t="shared" si="3"/>
        <v>34855.11</v>
      </c>
      <c r="I20" s="5">
        <f t="shared" si="3"/>
        <v>34855.11</v>
      </c>
      <c r="J20" s="5">
        <f t="shared" si="3"/>
        <v>34855.11</v>
      </c>
      <c r="K20" s="5">
        <f t="shared" si="3"/>
        <v>34855.11</v>
      </c>
      <c r="L20" s="5">
        <f t="shared" si="3"/>
        <v>594.6229430958992</v>
      </c>
      <c r="M20" s="5">
        <f t="shared" si="3"/>
        <v>36863.11</v>
      </c>
      <c r="N20" s="5">
        <f t="shared" si="3"/>
        <v>24557.012997113583</v>
      </c>
      <c r="O20" s="5">
        <f t="shared" si="3"/>
        <v>18728.86611581894</v>
      </c>
      <c r="P20" s="5">
        <f t="shared" si="3"/>
        <v>0</v>
      </c>
      <c r="Q20" s="5">
        <f t="shared" si="3"/>
        <v>72500.3565607801</v>
      </c>
      <c r="R20" s="5">
        <f t="shared" si="3"/>
        <v>31071.581383191475</v>
      </c>
      <c r="S20" s="5">
        <f t="shared" si="3"/>
        <v>445424.9999999999</v>
      </c>
    </row>
    <row r="21" spans="2:19" ht="12.75">
      <c r="B21" s="36" t="s">
        <v>56</v>
      </c>
      <c r="C21" s="39">
        <f t="shared" si="1"/>
        <v>42452.39000000001</v>
      </c>
      <c r="D21" s="37">
        <v>31076</v>
      </c>
      <c r="E21" s="37">
        <v>746.6622859678798</v>
      </c>
      <c r="F21" s="37">
        <v>2328.0377140321207</v>
      </c>
      <c r="G21" s="37">
        <v>2767.23</v>
      </c>
      <c r="H21" s="37">
        <v>2767.23</v>
      </c>
      <c r="I21" s="37">
        <v>2767.23</v>
      </c>
      <c r="J21" s="39">
        <v>2767.23</v>
      </c>
      <c r="K21" s="39">
        <v>2767.23</v>
      </c>
      <c r="L21" s="39">
        <v>44.17566045433298</v>
      </c>
      <c r="M21" s="39">
        <v>2738.63</v>
      </c>
      <c r="N21" s="39">
        <v>1824.3868329146721</v>
      </c>
      <c r="O21" s="39">
        <v>1391.402803799387</v>
      </c>
      <c r="P21" s="39">
        <v>0</v>
      </c>
      <c r="Q21" s="39">
        <v>5386.188291982125</v>
      </c>
      <c r="R21" s="39">
        <v>2308.366410849482</v>
      </c>
      <c r="S21" s="5">
        <f>SUM(D21:R21)</f>
        <v>61680.00000000001</v>
      </c>
    </row>
    <row r="22" spans="2:19" ht="12.75">
      <c r="B22" s="16" t="s">
        <v>55</v>
      </c>
      <c r="C22" s="7">
        <f t="shared" si="1"/>
        <v>1405458.9</v>
      </c>
      <c r="D22" s="7">
        <f>SUM(D15,D20:D21)</f>
        <v>411347.33999999997</v>
      </c>
      <c r="E22" s="7">
        <f>SUM(E15,E20:E21)</f>
        <v>72409.85502031691</v>
      </c>
      <c r="F22" s="7">
        <f aca="true" t="shared" si="4" ref="F22:R22">SUM(F15,F20:F21)</f>
        <v>196268.9449796831</v>
      </c>
      <c r="G22" s="7">
        <f t="shared" si="4"/>
        <v>241810.92</v>
      </c>
      <c r="H22" s="7">
        <f t="shared" si="4"/>
        <v>241810.92</v>
      </c>
      <c r="I22" s="7">
        <f t="shared" si="4"/>
        <v>241810.92</v>
      </c>
      <c r="J22" s="7">
        <f t="shared" si="4"/>
        <v>241810.92</v>
      </c>
      <c r="K22" s="7">
        <f t="shared" si="4"/>
        <v>241810.92</v>
      </c>
      <c r="L22" s="7">
        <f t="shared" si="4"/>
        <v>3634.1159182560436</v>
      </c>
      <c r="M22" s="7">
        <f t="shared" si="4"/>
        <v>225293.72000000003</v>
      </c>
      <c r="N22" s="7">
        <f t="shared" si="4"/>
        <v>150083.39801519917</v>
      </c>
      <c r="O22" s="7">
        <f t="shared" si="4"/>
        <v>114463.91578504363</v>
      </c>
      <c r="P22" s="7">
        <f t="shared" si="4"/>
        <v>0</v>
      </c>
      <c r="Q22" s="7">
        <f t="shared" si="4"/>
        <v>551909.365197051</v>
      </c>
      <c r="R22" s="7">
        <f t="shared" si="4"/>
        <v>298711.9850844504</v>
      </c>
      <c r="S22" s="7">
        <f>SUM(S15,S20:S21)</f>
        <v>3233177.24</v>
      </c>
    </row>
    <row r="23" spans="2:19" ht="12.75" hidden="1" outlineLevel="1">
      <c r="B23" s="3" t="s">
        <v>8</v>
      </c>
      <c r="C23" s="38">
        <f t="shared" si="1"/>
        <v>329338.5</v>
      </c>
      <c r="D23" s="20">
        <v>39520.62</v>
      </c>
      <c r="E23" s="20">
        <v>26347.08</v>
      </c>
      <c r="F23" s="20">
        <v>105388.32</v>
      </c>
      <c r="G23" s="20">
        <v>52694.16</v>
      </c>
      <c r="H23" s="20">
        <v>52694.16</v>
      </c>
      <c r="I23" s="20">
        <v>52694.16</v>
      </c>
      <c r="J23" s="38">
        <v>52694.16</v>
      </c>
      <c r="K23" s="38">
        <v>131970.78</v>
      </c>
      <c r="L23" s="38">
        <v>65985.39</v>
      </c>
      <c r="M23" s="38">
        <v>65985.39</v>
      </c>
      <c r="N23" s="38">
        <v>65985.39</v>
      </c>
      <c r="O23" s="38">
        <v>65985.39</v>
      </c>
      <c r="P23" s="38">
        <v>46676.7</v>
      </c>
      <c r="Q23" s="38">
        <v>31117.8</v>
      </c>
      <c r="R23" s="38">
        <v>124471.2</v>
      </c>
      <c r="S23" s="5">
        <f>SUM(D23:R23)</f>
        <v>980210.7000000002</v>
      </c>
    </row>
    <row r="24" spans="2:19" ht="12.75" hidden="1" outlineLevel="1">
      <c r="B24" s="3" t="s">
        <v>1</v>
      </c>
      <c r="C24" s="38">
        <f t="shared" si="1"/>
        <v>0</v>
      </c>
      <c r="D24" s="20">
        <v>0</v>
      </c>
      <c r="E24" s="20">
        <v>0</v>
      </c>
      <c r="F24" s="20">
        <v>0</v>
      </c>
      <c r="G24" s="20">
        <v>0</v>
      </c>
      <c r="H24" s="20">
        <v>0</v>
      </c>
      <c r="I24" s="20">
        <v>0</v>
      </c>
      <c r="J24" s="38">
        <v>0</v>
      </c>
      <c r="K24" s="38">
        <v>0</v>
      </c>
      <c r="L24" s="38">
        <v>0</v>
      </c>
      <c r="M24" s="38">
        <v>0</v>
      </c>
      <c r="N24" s="38">
        <v>0</v>
      </c>
      <c r="O24" s="38">
        <v>0</v>
      </c>
      <c r="P24" s="38">
        <v>0</v>
      </c>
      <c r="Q24" s="38">
        <v>0</v>
      </c>
      <c r="R24" s="38">
        <v>0</v>
      </c>
      <c r="S24" s="5">
        <f>SUM(D24:R24)</f>
        <v>0</v>
      </c>
    </row>
    <row r="25" spans="2:19" ht="12.75" collapsed="1">
      <c r="B25" s="33" t="s">
        <v>24</v>
      </c>
      <c r="C25" s="5">
        <f t="shared" si="1"/>
        <v>329338.5</v>
      </c>
      <c r="D25" s="5">
        <f>SUM(D23:D24)</f>
        <v>39520.62</v>
      </c>
      <c r="E25" s="5">
        <f>SUM(E23:E24)</f>
        <v>26347.08</v>
      </c>
      <c r="F25" s="5">
        <f aca="true" t="shared" si="5" ref="F25:R25">SUM(F23:F24)</f>
        <v>105388.32</v>
      </c>
      <c r="G25" s="5">
        <f t="shared" si="5"/>
        <v>52694.16</v>
      </c>
      <c r="H25" s="5">
        <f t="shared" si="5"/>
        <v>52694.16</v>
      </c>
      <c r="I25" s="5">
        <f t="shared" si="5"/>
        <v>52694.16</v>
      </c>
      <c r="J25" s="5">
        <f t="shared" si="5"/>
        <v>52694.16</v>
      </c>
      <c r="K25" s="5">
        <f t="shared" si="5"/>
        <v>131970.77999999997</v>
      </c>
      <c r="L25" s="5">
        <f t="shared" si="5"/>
        <v>65985.39000000001</v>
      </c>
      <c r="M25" s="5">
        <f t="shared" si="5"/>
        <v>65985.39000000001</v>
      </c>
      <c r="N25" s="5">
        <f t="shared" si="5"/>
        <v>65985.39000000001</v>
      </c>
      <c r="O25" s="5">
        <f t="shared" si="5"/>
        <v>65985.39000000001</v>
      </c>
      <c r="P25" s="5">
        <f t="shared" si="5"/>
        <v>46676.700000000004</v>
      </c>
      <c r="Q25" s="5">
        <f t="shared" si="5"/>
        <v>31117.800000000007</v>
      </c>
      <c r="R25" s="5">
        <f t="shared" si="5"/>
        <v>124471.20000000003</v>
      </c>
      <c r="S25" s="5">
        <f>SUM(S23:S24)</f>
        <v>980210.7000000002</v>
      </c>
    </row>
    <row r="26" spans="2:19" ht="12.75">
      <c r="B26" s="1" t="s">
        <v>4</v>
      </c>
      <c r="C26" s="38">
        <f t="shared" si="1"/>
        <v>119284.06</v>
      </c>
      <c r="D26" s="20">
        <v>74503.83</v>
      </c>
      <c r="E26" s="20">
        <v>9480</v>
      </c>
      <c r="F26" s="20">
        <v>3212.46</v>
      </c>
      <c r="G26" s="20">
        <v>18172.15</v>
      </c>
      <c r="H26" s="20">
        <v>0</v>
      </c>
      <c r="I26" s="20">
        <v>13915.62</v>
      </c>
      <c r="J26" s="38">
        <v>20630.45</v>
      </c>
      <c r="K26" s="38">
        <v>6438</v>
      </c>
      <c r="L26" s="38">
        <v>0</v>
      </c>
      <c r="M26" s="38">
        <v>895</v>
      </c>
      <c r="N26" s="38">
        <f>+J26</f>
        <v>20630.45</v>
      </c>
      <c r="O26" s="38">
        <v>0</v>
      </c>
      <c r="P26" s="38">
        <v>895</v>
      </c>
      <c r="Q26" s="38">
        <v>0</v>
      </c>
      <c r="R26" s="38">
        <f>+J26+850</f>
        <v>21480.45</v>
      </c>
      <c r="S26" s="5">
        <f>SUM(D26:R26)</f>
        <v>190253.41000000003</v>
      </c>
    </row>
    <row r="27" spans="2:19" ht="12.75">
      <c r="B27" s="1" t="s">
        <v>5</v>
      </c>
      <c r="C27" s="38">
        <f t="shared" si="1"/>
        <v>208166.64500000002</v>
      </c>
      <c r="D27" s="20">
        <v>24979.9974</v>
      </c>
      <c r="E27" s="20">
        <v>16653.3316</v>
      </c>
      <c r="F27" s="20">
        <v>66613.3264</v>
      </c>
      <c r="G27" s="20">
        <v>33306.6632</v>
      </c>
      <c r="H27" s="20">
        <v>33306.6632</v>
      </c>
      <c r="I27" s="20">
        <v>33306.6632</v>
      </c>
      <c r="J27" s="38">
        <v>33306.6632</v>
      </c>
      <c r="K27" s="38">
        <v>63853.45553333335</v>
      </c>
      <c r="L27" s="38">
        <v>38628.24876666664</v>
      </c>
      <c r="M27" s="38">
        <v>38628.24876666664</v>
      </c>
      <c r="N27" s="38">
        <v>38628.24876666664</v>
      </c>
      <c r="O27" s="38">
        <v>38628.24876666664</v>
      </c>
      <c r="P27" s="38">
        <v>27590.38552799999</v>
      </c>
      <c r="Q27" s="38">
        <v>18393.590351999996</v>
      </c>
      <c r="R27" s="38">
        <v>73574.36140799998</v>
      </c>
      <c r="S27" s="5">
        <f>SUM(D27:R27)</f>
        <v>579398.0960879999</v>
      </c>
    </row>
    <row r="28" spans="2:19" ht="12.75">
      <c r="B28" s="1" t="s">
        <v>6</v>
      </c>
      <c r="C28" s="38">
        <f t="shared" si="1"/>
        <v>197214.72</v>
      </c>
      <c r="D28" s="20">
        <v>17200.75</v>
      </c>
      <c r="E28" s="20">
        <v>0</v>
      </c>
      <c r="F28" s="20">
        <v>58632</v>
      </c>
      <c r="G28" s="20">
        <v>45085.84</v>
      </c>
      <c r="H28" s="20">
        <v>0</v>
      </c>
      <c r="I28" s="20">
        <v>76296.13</v>
      </c>
      <c r="J28" s="38">
        <v>20000</v>
      </c>
      <c r="K28" s="38">
        <v>0</v>
      </c>
      <c r="L28" s="38">
        <v>0</v>
      </c>
      <c r="M28" s="38">
        <v>21000</v>
      </c>
      <c r="N28" s="38">
        <f>+I28/2</f>
        <v>38148.065</v>
      </c>
      <c r="O28" s="38">
        <v>0</v>
      </c>
      <c r="P28" s="38">
        <v>19500</v>
      </c>
      <c r="Q28" s="38">
        <v>0</v>
      </c>
      <c r="R28" s="38">
        <f>+(I28/3)+18000</f>
        <v>43432.043333333335</v>
      </c>
      <c r="S28" s="5">
        <f>SUM(D28:R28)</f>
        <v>339294.82833333337</v>
      </c>
    </row>
    <row r="29" spans="2:19" ht="13.5" thickBot="1">
      <c r="B29" s="1" t="s">
        <v>27</v>
      </c>
      <c r="C29" s="38">
        <f t="shared" si="1"/>
        <v>13055.330000000002</v>
      </c>
      <c r="D29" s="20">
        <v>0</v>
      </c>
      <c r="E29" s="20">
        <v>856.2</v>
      </c>
      <c r="F29" s="20">
        <v>7718.26</v>
      </c>
      <c r="G29" s="20">
        <v>3423.87</v>
      </c>
      <c r="H29" s="20">
        <v>0</v>
      </c>
      <c r="I29" s="20">
        <v>1057</v>
      </c>
      <c r="J29" s="38">
        <v>767.2</v>
      </c>
      <c r="K29" s="38">
        <v>5513</v>
      </c>
      <c r="L29" s="38">
        <v>0</v>
      </c>
      <c r="M29" s="38">
        <v>1000</v>
      </c>
      <c r="N29" s="38">
        <v>1000</v>
      </c>
      <c r="O29" s="38">
        <v>1000</v>
      </c>
      <c r="P29" s="38">
        <v>1000</v>
      </c>
      <c r="Q29" s="38">
        <v>1000</v>
      </c>
      <c r="R29" s="38">
        <v>1000</v>
      </c>
      <c r="S29" s="5">
        <f>SUM(D29:R29)</f>
        <v>25335.530000000002</v>
      </c>
    </row>
    <row r="30" spans="2:19" ht="12.75">
      <c r="B30" s="11" t="s">
        <v>7</v>
      </c>
      <c r="C30" s="8">
        <f t="shared" si="1"/>
        <v>2272518.155</v>
      </c>
      <c r="D30" s="8">
        <f>SUM(D22,D25:D29)</f>
        <v>567552.5373999999</v>
      </c>
      <c r="E30" s="8">
        <f>SUM(E22,E25:E29)</f>
        <v>125746.46662031692</v>
      </c>
      <c r="F30" s="8">
        <f aca="true" t="shared" si="6" ref="F30:R30">SUM(F22,F25:F29)</f>
        <v>437833.31137968315</v>
      </c>
      <c r="G30" s="8">
        <f t="shared" si="6"/>
        <v>394493.6032</v>
      </c>
      <c r="H30" s="8">
        <f t="shared" si="6"/>
        <v>327811.7432</v>
      </c>
      <c r="I30" s="8">
        <f t="shared" si="6"/>
        <v>419080.4932</v>
      </c>
      <c r="J30" s="8">
        <f t="shared" si="6"/>
        <v>369209.39320000005</v>
      </c>
      <c r="K30" s="8">
        <f t="shared" si="6"/>
        <v>449586.1555333333</v>
      </c>
      <c r="L30" s="8">
        <f t="shared" si="6"/>
        <v>108247.7546849227</v>
      </c>
      <c r="M30" s="8">
        <f t="shared" si="6"/>
        <v>352802.3587666667</v>
      </c>
      <c r="N30" s="8">
        <f t="shared" si="6"/>
        <v>314475.5517818658</v>
      </c>
      <c r="O30" s="8">
        <f t="shared" si="6"/>
        <v>220077.55455171026</v>
      </c>
      <c r="P30" s="8">
        <f t="shared" si="6"/>
        <v>95662.085528</v>
      </c>
      <c r="Q30" s="8">
        <f t="shared" si="6"/>
        <v>602420.755549051</v>
      </c>
      <c r="R30" s="8">
        <f t="shared" si="6"/>
        <v>562670.0398257838</v>
      </c>
      <c r="S30" s="8">
        <f>SUM(S22,S25:S29)</f>
        <v>5347669.804421334</v>
      </c>
    </row>
    <row r="31" spans="3:4" ht="4.5" customHeight="1">
      <c r="C31" s="2"/>
      <c r="D31" s="2"/>
    </row>
    <row r="32" spans="2:4" ht="12.75">
      <c r="B32" s="1" t="s">
        <v>12</v>
      </c>
      <c r="C32" s="2"/>
      <c r="D32" s="2"/>
    </row>
    <row r="33" spans="2:19" ht="12.75">
      <c r="B33" s="1" t="s">
        <v>13</v>
      </c>
      <c r="C33" s="38">
        <f t="shared" si="1"/>
        <v>921521.5999999999</v>
      </c>
      <c r="D33" s="20">
        <v>80198.34</v>
      </c>
      <c r="E33" s="20">
        <v>164873.83</v>
      </c>
      <c r="F33" s="20">
        <v>163682.68</v>
      </c>
      <c r="G33" s="20">
        <v>166815.56</v>
      </c>
      <c r="H33" s="20">
        <v>173790.84</v>
      </c>
      <c r="I33" s="20">
        <v>172160.35</v>
      </c>
      <c r="J33" s="38">
        <v>162889.81</v>
      </c>
      <c r="K33" s="38">
        <v>189554.13</v>
      </c>
      <c r="L33" s="38">
        <v>165527.54</v>
      </c>
      <c r="M33" s="38">
        <v>165527.54</v>
      </c>
      <c r="N33" s="38">
        <v>165527.54</v>
      </c>
      <c r="O33" s="38">
        <v>153713.595</v>
      </c>
      <c r="P33" s="38">
        <v>235114.91009999998</v>
      </c>
      <c r="Q33" s="38">
        <f>+(E33*1.015)</f>
        <v>167346.93744999997</v>
      </c>
      <c r="R33" s="38">
        <f>+(F33*1.015)</f>
        <v>166137.92019999996</v>
      </c>
      <c r="S33" s="5">
        <f aca="true" t="shared" si="7" ref="S33:S41">SUM(D33:R33)</f>
        <v>2492861.52275</v>
      </c>
    </row>
    <row r="34" spans="2:19" ht="12.75">
      <c r="B34" s="1" t="s">
        <v>14</v>
      </c>
      <c r="C34" s="38">
        <f t="shared" si="1"/>
        <v>103542.85999999999</v>
      </c>
      <c r="D34" s="20">
        <v>9064.87</v>
      </c>
      <c r="E34" s="20">
        <v>22756.42</v>
      </c>
      <c r="F34" s="20">
        <v>13410.42</v>
      </c>
      <c r="G34" s="20">
        <v>25065.19</v>
      </c>
      <c r="H34" s="20">
        <v>15669.46</v>
      </c>
      <c r="I34" s="20">
        <v>17576.5</v>
      </c>
      <c r="J34" s="38">
        <v>23543</v>
      </c>
      <c r="K34" s="38">
        <v>14326.82</v>
      </c>
      <c r="L34" s="38">
        <v>36418.32</v>
      </c>
      <c r="M34" s="38">
        <v>15760.86</v>
      </c>
      <c r="N34" s="38">
        <v>15760.86</v>
      </c>
      <c r="O34" s="38">
        <v>36418.32</v>
      </c>
      <c r="P34" s="38">
        <f aca="true" t="shared" si="8" ref="P34:P41">+(D34*1.015)</f>
        <v>9200.84305</v>
      </c>
      <c r="Q34" s="38">
        <f aca="true" t="shared" si="9" ref="Q34:Q40">+(E34*1.015)</f>
        <v>23097.766299999996</v>
      </c>
      <c r="R34" s="38">
        <f aca="true" t="shared" si="10" ref="R34:R41">+(F34*1.015)</f>
        <v>13611.576299999999</v>
      </c>
      <c r="S34" s="5">
        <f t="shared" si="7"/>
        <v>291681.22565</v>
      </c>
    </row>
    <row r="35" spans="2:19" ht="12.75">
      <c r="B35" s="1" t="s">
        <v>15</v>
      </c>
      <c r="C35" s="38">
        <f t="shared" si="1"/>
        <v>242890.91</v>
      </c>
      <c r="D35" s="20">
        <v>28391.52</v>
      </c>
      <c r="E35" s="20">
        <v>41327.21</v>
      </c>
      <c r="F35" s="20">
        <v>36025.91</v>
      </c>
      <c r="G35" s="20">
        <v>37312.97</v>
      </c>
      <c r="H35" s="20">
        <v>50575.73</v>
      </c>
      <c r="I35" s="20">
        <v>49257.57</v>
      </c>
      <c r="J35" s="38">
        <v>50503.24</v>
      </c>
      <c r="K35" s="38">
        <v>40717.04</v>
      </c>
      <c r="L35" s="38">
        <v>41188.65</v>
      </c>
      <c r="M35" s="38">
        <v>41188.65</v>
      </c>
      <c r="N35" s="38">
        <v>41188.65</v>
      </c>
      <c r="O35" s="38">
        <v>41188.65</v>
      </c>
      <c r="P35" s="38">
        <f>+(D35*1.55)</f>
        <v>44006.856</v>
      </c>
      <c r="Q35" s="38">
        <f>+(E35*1.25)</f>
        <v>51659.0125</v>
      </c>
      <c r="R35" s="38">
        <f>+(F35*1.45)</f>
        <v>52237.569500000005</v>
      </c>
      <c r="S35" s="5">
        <f t="shared" si="7"/>
        <v>646769.228</v>
      </c>
    </row>
    <row r="36" spans="2:19" ht="12.75">
      <c r="B36" s="1" t="s">
        <v>16</v>
      </c>
      <c r="C36" s="38">
        <f t="shared" si="1"/>
        <v>168058.40999999997</v>
      </c>
      <c r="D36" s="20">
        <v>18036.86</v>
      </c>
      <c r="E36" s="20">
        <v>47781.2</v>
      </c>
      <c r="F36" s="20">
        <v>24001.91</v>
      </c>
      <c r="G36" s="20">
        <v>56037.14</v>
      </c>
      <c r="H36" s="20">
        <v>6977.99</v>
      </c>
      <c r="I36" s="20">
        <v>15223.31</v>
      </c>
      <c r="J36" s="38">
        <v>27079.64</v>
      </c>
      <c r="K36" s="38">
        <v>22957.26</v>
      </c>
      <c r="L36" s="38">
        <v>21972.99</v>
      </c>
      <c r="M36" s="38">
        <v>41236.1</v>
      </c>
      <c r="N36" s="38">
        <v>24349.17</v>
      </c>
      <c r="O36" s="38">
        <v>19088.37</v>
      </c>
      <c r="P36" s="38">
        <f t="shared" si="8"/>
        <v>18307.4129</v>
      </c>
      <c r="Q36" s="38">
        <f t="shared" si="9"/>
        <v>48497.91799999999</v>
      </c>
      <c r="R36" s="38">
        <f t="shared" si="10"/>
        <v>24361.938649999996</v>
      </c>
      <c r="S36" s="5">
        <f t="shared" si="7"/>
        <v>415909.2095499999</v>
      </c>
    </row>
    <row r="37" spans="2:19" ht="12.75">
      <c r="B37" s="1" t="s">
        <v>17</v>
      </c>
      <c r="C37" s="38">
        <f t="shared" si="1"/>
        <v>468347.34</v>
      </c>
      <c r="D37" s="20">
        <v>26348.15</v>
      </c>
      <c r="E37" s="20">
        <v>133937</v>
      </c>
      <c r="F37" s="20">
        <v>34722.59</v>
      </c>
      <c r="G37" s="20">
        <v>94040.03</v>
      </c>
      <c r="H37" s="20">
        <v>116775.64</v>
      </c>
      <c r="I37" s="20">
        <v>62523.93</v>
      </c>
      <c r="J37" s="38">
        <v>140825.18</v>
      </c>
      <c r="K37" s="38">
        <v>54704.47</v>
      </c>
      <c r="L37" s="38">
        <v>90755.21</v>
      </c>
      <c r="M37" s="38">
        <v>89555.21</v>
      </c>
      <c r="N37" s="38">
        <v>89555.21</v>
      </c>
      <c r="O37" s="38">
        <v>107644.1</v>
      </c>
      <c r="P37" s="38">
        <f>+(D37*3)</f>
        <v>79044.45000000001</v>
      </c>
      <c r="Q37" s="38">
        <f t="shared" si="9"/>
        <v>135946.055</v>
      </c>
      <c r="R37" s="38">
        <f>+(F37*2)</f>
        <v>69445.18</v>
      </c>
      <c r="S37" s="5">
        <f t="shared" si="7"/>
        <v>1325822.4049999998</v>
      </c>
    </row>
    <row r="38" spans="2:19" ht="12.75">
      <c r="B38" s="1" t="s">
        <v>18</v>
      </c>
      <c r="C38" s="38">
        <f t="shared" si="1"/>
        <v>17680</v>
      </c>
      <c r="D38" s="20">
        <v>0</v>
      </c>
      <c r="E38" s="20">
        <v>0</v>
      </c>
      <c r="F38" s="20">
        <v>0</v>
      </c>
      <c r="G38" s="20">
        <v>17680</v>
      </c>
      <c r="H38" s="20">
        <v>0</v>
      </c>
      <c r="I38" s="20">
        <v>0</v>
      </c>
      <c r="J38" s="38">
        <v>0</v>
      </c>
      <c r="K38" s="38">
        <v>0</v>
      </c>
      <c r="L38" s="38">
        <v>0</v>
      </c>
      <c r="M38" s="38">
        <v>0</v>
      </c>
      <c r="N38" s="38">
        <v>0</v>
      </c>
      <c r="O38" s="38">
        <v>0</v>
      </c>
      <c r="P38" s="38">
        <v>50000</v>
      </c>
      <c r="Q38" s="38">
        <f t="shared" si="9"/>
        <v>0</v>
      </c>
      <c r="R38" s="38">
        <f t="shared" si="10"/>
        <v>0</v>
      </c>
      <c r="S38" s="5">
        <f t="shared" si="7"/>
        <v>67680</v>
      </c>
    </row>
    <row r="39" spans="2:19" ht="12.75">
      <c r="B39" s="1" t="s">
        <v>19</v>
      </c>
      <c r="C39" s="38">
        <f t="shared" si="1"/>
        <v>180121.09</v>
      </c>
      <c r="D39" s="20">
        <v>53721.95</v>
      </c>
      <c r="E39" s="20">
        <v>18546.31</v>
      </c>
      <c r="F39" s="20">
        <v>20432.1</v>
      </c>
      <c r="G39" s="20">
        <v>32085.69</v>
      </c>
      <c r="H39" s="20">
        <v>22764.51</v>
      </c>
      <c r="I39" s="20">
        <v>32570.53</v>
      </c>
      <c r="J39" s="38">
        <v>30652.96</v>
      </c>
      <c r="K39" s="38">
        <v>28911.99</v>
      </c>
      <c r="L39" s="38">
        <v>31765.74</v>
      </c>
      <c r="M39" s="38">
        <v>31765.74</v>
      </c>
      <c r="N39" s="38">
        <v>31765.74</v>
      </c>
      <c r="O39" s="38">
        <v>31765.74</v>
      </c>
      <c r="P39" s="38">
        <f t="shared" si="8"/>
        <v>54527.77924999999</v>
      </c>
      <c r="Q39" s="38">
        <f>+P39*1.015</f>
        <v>55345.69593874999</v>
      </c>
      <c r="R39" s="38">
        <f>+P39*1.015</f>
        <v>55345.69593874999</v>
      </c>
      <c r="S39" s="5">
        <f t="shared" si="7"/>
        <v>531968.1711274999</v>
      </c>
    </row>
    <row r="40" spans="2:19" ht="12.75">
      <c r="B40" s="1" t="s">
        <v>29</v>
      </c>
      <c r="C40" s="38">
        <f t="shared" si="1"/>
        <v>26040</v>
      </c>
      <c r="D40" s="20">
        <v>0</v>
      </c>
      <c r="E40" s="20">
        <v>0</v>
      </c>
      <c r="F40" s="20">
        <v>0</v>
      </c>
      <c r="G40" s="20">
        <v>8680</v>
      </c>
      <c r="H40" s="20">
        <v>8680</v>
      </c>
      <c r="I40" s="20">
        <v>8680</v>
      </c>
      <c r="J40" s="38">
        <v>8680</v>
      </c>
      <c r="K40" s="38">
        <v>8680</v>
      </c>
      <c r="L40" s="38">
        <v>8680</v>
      </c>
      <c r="M40" s="38">
        <v>0</v>
      </c>
      <c r="N40" s="38">
        <v>0</v>
      </c>
      <c r="O40" s="38">
        <v>0</v>
      </c>
      <c r="P40" s="38">
        <f t="shared" si="8"/>
        <v>0</v>
      </c>
      <c r="Q40" s="38">
        <f t="shared" si="9"/>
        <v>0</v>
      </c>
      <c r="R40" s="38">
        <f t="shared" si="10"/>
        <v>0</v>
      </c>
      <c r="S40" s="5">
        <f t="shared" si="7"/>
        <v>52080</v>
      </c>
    </row>
    <row r="41" spans="2:19" ht="13.5" thickBot="1">
      <c r="B41" s="1" t="s">
        <v>28</v>
      </c>
      <c r="C41" s="38">
        <f t="shared" si="1"/>
        <v>2280.3599999999997</v>
      </c>
      <c r="D41" s="20">
        <v>148.5</v>
      </c>
      <c r="E41" s="20">
        <v>578.84</v>
      </c>
      <c r="F41" s="20">
        <v>131.62</v>
      </c>
      <c r="G41" s="20">
        <v>121.66</v>
      </c>
      <c r="H41" s="20">
        <v>804.98</v>
      </c>
      <c r="I41" s="20">
        <v>494.76</v>
      </c>
      <c r="J41" s="38">
        <v>1425.35</v>
      </c>
      <c r="K41" s="38">
        <v>1334.57</v>
      </c>
      <c r="L41" s="38">
        <v>389.68</v>
      </c>
      <c r="M41" s="38">
        <v>389.68</v>
      </c>
      <c r="N41" s="38">
        <v>389.68</v>
      </c>
      <c r="O41" s="38">
        <v>389.68</v>
      </c>
      <c r="P41" s="38">
        <f t="shared" si="8"/>
        <v>150.7275</v>
      </c>
      <c r="Q41" s="38">
        <f>+J41</f>
        <v>1425.35</v>
      </c>
      <c r="R41" s="38">
        <f t="shared" si="10"/>
        <v>133.5943</v>
      </c>
      <c r="S41" s="5">
        <f t="shared" si="7"/>
        <v>8308.671800000002</v>
      </c>
    </row>
    <row r="42" spans="2:19" ht="12.75">
      <c r="B42" s="11" t="s">
        <v>20</v>
      </c>
      <c r="C42" s="8">
        <f t="shared" si="1"/>
        <v>2130482.57</v>
      </c>
      <c r="D42" s="8">
        <f>SUM(D33:D41)</f>
        <v>215910.19</v>
      </c>
      <c r="E42" s="8">
        <f>SUM(E33:E41)</f>
        <v>429800.81</v>
      </c>
      <c r="F42" s="8">
        <f aca="true" t="shared" si="11" ref="F42:P42">SUM(F33:F41)</f>
        <v>292407.23</v>
      </c>
      <c r="G42" s="8">
        <f t="shared" si="11"/>
        <v>437838.24</v>
      </c>
      <c r="H42" s="8">
        <f t="shared" si="11"/>
        <v>396039.14999999997</v>
      </c>
      <c r="I42" s="8">
        <f t="shared" si="11"/>
        <v>358486.95000000007</v>
      </c>
      <c r="J42" s="8">
        <f t="shared" si="11"/>
        <v>445599.18</v>
      </c>
      <c r="K42" s="8">
        <f t="shared" si="11"/>
        <v>361186.27999999997</v>
      </c>
      <c r="L42" s="8">
        <f t="shared" si="11"/>
        <v>396698.13</v>
      </c>
      <c r="M42" s="8">
        <f t="shared" si="11"/>
        <v>385423.78</v>
      </c>
      <c r="N42" s="8">
        <f t="shared" si="11"/>
        <v>368536.85000000003</v>
      </c>
      <c r="O42" s="8">
        <f t="shared" si="11"/>
        <v>390208.455</v>
      </c>
      <c r="P42" s="8">
        <f t="shared" si="11"/>
        <v>490352.9788</v>
      </c>
      <c r="Q42" s="8">
        <f>SUM(Q33:Q41)</f>
        <v>483318.7351887499</v>
      </c>
      <c r="R42" s="8">
        <f>SUM(R33:R41)</f>
        <v>381273.47488874994</v>
      </c>
      <c r="S42" s="8">
        <f>SUM(S33:S41)</f>
        <v>5833080.433877499</v>
      </c>
    </row>
    <row r="43" spans="3:4" ht="4.5" customHeight="1">
      <c r="C43" s="2"/>
      <c r="D43" s="2"/>
    </row>
    <row r="44" spans="2:19" ht="12.75">
      <c r="B44" s="4" t="s">
        <v>22</v>
      </c>
      <c r="C44" s="7">
        <f>C30-C42+C8</f>
        <v>193035.58499999996</v>
      </c>
      <c r="D44" s="7">
        <f>SUM(D8,D30,-D42)</f>
        <v>402642.3473999999</v>
      </c>
      <c r="E44" s="7">
        <f>SUM(E8,E30,-E42)</f>
        <v>98588.00402031682</v>
      </c>
      <c r="F44" s="7">
        <f aca="true" t="shared" si="12" ref="F44:R44">SUM(F8,F30,-F42)</f>
        <v>244014.08539999998</v>
      </c>
      <c r="G44" s="7">
        <f t="shared" si="12"/>
        <v>200669.4486</v>
      </c>
      <c r="H44" s="7">
        <f t="shared" si="12"/>
        <v>132442.04180000006</v>
      </c>
      <c r="I44" s="7">
        <f t="shared" si="12"/>
        <v>193035.58500000008</v>
      </c>
      <c r="J44" s="7">
        <f t="shared" si="12"/>
        <v>116645.79820000014</v>
      </c>
      <c r="K44" s="7">
        <f t="shared" si="12"/>
        <v>205045.67373333342</v>
      </c>
      <c r="L44" s="7">
        <f t="shared" si="12"/>
        <v>-83404.7015817439</v>
      </c>
      <c r="M44" s="7">
        <f t="shared" si="12"/>
        <v>-116026.12281507725</v>
      </c>
      <c r="N44" s="7">
        <f t="shared" si="12"/>
        <v>-170087.42103321146</v>
      </c>
      <c r="O44" s="7">
        <f t="shared" si="12"/>
        <v>-340218.3214815012</v>
      </c>
      <c r="P44" s="7">
        <f t="shared" si="12"/>
        <v>-734909.2147535012</v>
      </c>
      <c r="Q44" s="7">
        <f t="shared" si="12"/>
        <v>-615807.1943932001</v>
      </c>
      <c r="R44" s="7">
        <f t="shared" si="12"/>
        <v>-434410.62945616624</v>
      </c>
      <c r="S44" s="5">
        <f>+S30-S42</f>
        <v>-485410.62945616525</v>
      </c>
    </row>
    <row r="45" ht="4.5" customHeight="1"/>
    <row r="48" ht="12.75">
      <c r="S48" s="42" t="s">
        <v>60</v>
      </c>
    </row>
    <row r="49" ht="12.75">
      <c r="S49" s="42" t="s">
        <v>61</v>
      </c>
    </row>
  </sheetData>
  <sheetProtection/>
  <printOptions horizontalCentered="1"/>
  <pageMargins left="0.25" right="0.25" top="0.5" bottom="0.5" header="0.5" footer="0.25"/>
  <pageSetup fitToHeight="0" fitToWidth="1" horizontalDpi="600" verticalDpi="600" orientation="landscape" scale="61" r:id="rId1"/>
  <headerFooter alignWithMargins="0">
    <oddFooter>&amp;L&amp;D&amp;R&amp;"Tahoma,Regular"Page &amp;P</oddFooter>
  </headerFooter>
</worksheet>
</file>

<file path=xl/worksheets/sheet2.xml><?xml version="1.0" encoding="utf-8"?>
<worksheet xmlns="http://schemas.openxmlformats.org/spreadsheetml/2006/main" xmlns:r="http://schemas.openxmlformats.org/officeDocument/2006/relationships">
  <dimension ref="C2:G21"/>
  <sheetViews>
    <sheetView zoomScalePageLayoutView="0" workbookViewId="0" topLeftCell="B19">
      <selection activeCell="C43" sqref="C43"/>
    </sheetView>
  </sheetViews>
  <sheetFormatPr defaultColWidth="9.140625" defaultRowHeight="12.75"/>
  <cols>
    <col min="1" max="1" width="9.140625" style="1" customWidth="1"/>
    <col min="2" max="2" width="0.85546875" style="1" customWidth="1"/>
    <col min="3" max="3" width="13.28125" style="1" customWidth="1"/>
    <col min="4" max="7" width="13.28125" style="2" customWidth="1"/>
    <col min="8" max="8" width="0.85546875" style="2" customWidth="1"/>
    <col min="9" max="16" width="9.140625" style="2" customWidth="1"/>
    <col min="17" max="16384" width="9.140625" style="1" customWidth="1"/>
  </cols>
  <sheetData>
    <row r="2" spans="3:7" ht="12.75">
      <c r="C2" s="22" t="s">
        <v>30</v>
      </c>
      <c r="D2" s="23"/>
      <c r="E2" s="23"/>
      <c r="F2" s="23"/>
      <c r="G2" s="24"/>
    </row>
    <row r="3" spans="3:7" ht="12.75">
      <c r="C3" s="9"/>
      <c r="D3" s="12"/>
      <c r="E3" s="12"/>
      <c r="F3" s="12"/>
      <c r="G3" s="25"/>
    </row>
    <row r="4" spans="3:7" ht="52.5">
      <c r="C4" s="29" t="s">
        <v>31</v>
      </c>
      <c r="D4" s="30" t="s">
        <v>45</v>
      </c>
      <c r="E4" s="30" t="s">
        <v>46</v>
      </c>
      <c r="F4" s="30" t="s">
        <v>47</v>
      </c>
      <c r="G4" s="31" t="s">
        <v>48</v>
      </c>
    </row>
    <row r="5" spans="3:7" ht="12.75">
      <c r="C5" s="9" t="s">
        <v>32</v>
      </c>
      <c r="D5" s="26">
        <v>0.05</v>
      </c>
      <c r="E5" s="26">
        <v>0.01</v>
      </c>
      <c r="F5" s="26">
        <f>E5-D5</f>
        <v>-0.04</v>
      </c>
      <c r="G5" s="27">
        <f>SUM($F$5:F5)</f>
        <v>-0.04</v>
      </c>
    </row>
    <row r="6" spans="3:7" ht="12.75">
      <c r="C6" s="9" t="s">
        <v>33</v>
      </c>
      <c r="D6" s="26">
        <v>0.05</v>
      </c>
      <c r="E6" s="26">
        <v>0</v>
      </c>
      <c r="F6" s="26">
        <f aca="true" t="shared" si="0" ref="F6:F16">E6-D6</f>
        <v>-0.05</v>
      </c>
      <c r="G6" s="27">
        <f>SUM($F$5:F6)</f>
        <v>-0.09</v>
      </c>
    </row>
    <row r="7" spans="3:7" ht="12.75">
      <c r="C7" s="9" t="s">
        <v>34</v>
      </c>
      <c r="D7" s="26">
        <v>0.09</v>
      </c>
      <c r="E7" s="26">
        <v>0.09</v>
      </c>
      <c r="F7" s="26">
        <f t="shared" si="0"/>
        <v>0</v>
      </c>
      <c r="G7" s="27">
        <f>SUM($F$5:F7)</f>
        <v>-0.09</v>
      </c>
    </row>
    <row r="8" spans="3:7" ht="12.75">
      <c r="C8" s="9" t="s">
        <v>35</v>
      </c>
      <c r="D8" s="26">
        <v>0.09</v>
      </c>
      <c r="E8" s="26">
        <v>0.14</v>
      </c>
      <c r="F8" s="26">
        <f t="shared" si="0"/>
        <v>0.05000000000000002</v>
      </c>
      <c r="G8" s="27">
        <f>SUM($F$5:F8)</f>
        <v>-0.03999999999999998</v>
      </c>
    </row>
    <row r="9" spans="3:7" ht="12.75">
      <c r="C9" s="9" t="s">
        <v>36</v>
      </c>
      <c r="D9" s="26">
        <v>0.09</v>
      </c>
      <c r="E9" s="26">
        <v>0.045</v>
      </c>
      <c r="F9" s="26">
        <f t="shared" si="0"/>
        <v>-0.045</v>
      </c>
      <c r="G9" s="27">
        <f>SUM($F$5:F9)</f>
        <v>-0.08499999999999998</v>
      </c>
    </row>
    <row r="10" spans="3:7" ht="12.75">
      <c r="C10" s="9" t="s">
        <v>37</v>
      </c>
      <c r="D10" s="26">
        <v>0.09</v>
      </c>
      <c r="E10" s="26">
        <v>0.13</v>
      </c>
      <c r="F10" s="26">
        <f t="shared" si="0"/>
        <v>0.04000000000000001</v>
      </c>
      <c r="G10" s="27">
        <f>SUM($F$5:F10)</f>
        <v>-0.04499999999999997</v>
      </c>
    </row>
    <row r="11" spans="3:7" ht="12.75">
      <c r="C11" s="9" t="s">
        <v>38</v>
      </c>
      <c r="D11" s="26">
        <v>0.09</v>
      </c>
      <c r="E11" s="26">
        <v>0.135</v>
      </c>
      <c r="F11" s="26">
        <f t="shared" si="0"/>
        <v>0.04500000000000001</v>
      </c>
      <c r="G11" s="27">
        <f>SUM($F$5:F11)</f>
        <v>0</v>
      </c>
    </row>
    <row r="12" spans="3:7" ht="12.75">
      <c r="C12" s="9" t="s">
        <v>39</v>
      </c>
      <c r="D12" s="26">
        <f>0.45*0.2</f>
        <v>0.09000000000000001</v>
      </c>
      <c r="E12" s="26">
        <v>0.005</v>
      </c>
      <c r="F12" s="26">
        <f t="shared" si="0"/>
        <v>-0.085</v>
      </c>
      <c r="G12" s="27">
        <f>SUM($F$5:F12)</f>
        <v>-0.08499999999999996</v>
      </c>
    </row>
    <row r="13" spans="3:7" ht="12.75">
      <c r="C13" s="9" t="s">
        <v>40</v>
      </c>
      <c r="D13" s="26">
        <f>0.45*0.2</f>
        <v>0.09000000000000001</v>
      </c>
      <c r="E13" s="26">
        <v>0.09</v>
      </c>
      <c r="F13" s="26">
        <f t="shared" si="0"/>
        <v>0</v>
      </c>
      <c r="G13" s="27">
        <f>SUM($F$5:F13)</f>
        <v>-0.08499999999999996</v>
      </c>
    </row>
    <row r="14" spans="3:7" ht="12.75">
      <c r="C14" s="9" t="s">
        <v>41</v>
      </c>
      <c r="D14" s="26">
        <f>0.45*0.2</f>
        <v>0.09000000000000001</v>
      </c>
      <c r="E14" s="26">
        <v>0.06</v>
      </c>
      <c r="F14" s="26">
        <f t="shared" si="0"/>
        <v>-0.030000000000000013</v>
      </c>
      <c r="G14" s="27">
        <f>SUM($F$5:F14)</f>
        <v>-0.11499999999999998</v>
      </c>
    </row>
    <row r="15" spans="3:7" ht="12.75">
      <c r="C15" s="9" t="s">
        <v>42</v>
      </c>
      <c r="D15" s="26">
        <f>0.45*0.2</f>
        <v>0.09000000000000001</v>
      </c>
      <c r="E15" s="26">
        <v>0.045</v>
      </c>
      <c r="F15" s="26">
        <f t="shared" si="0"/>
        <v>-0.04500000000000001</v>
      </c>
      <c r="G15" s="27">
        <f>SUM($F$5:F15)</f>
        <v>-0.15999999999999998</v>
      </c>
    </row>
    <row r="16" spans="3:7" ht="12.75">
      <c r="C16" s="9" t="s">
        <v>43</v>
      </c>
      <c r="D16" s="26">
        <f>0.45*0.2</f>
        <v>0.09000000000000001</v>
      </c>
      <c r="E16" s="26">
        <v>0</v>
      </c>
      <c r="F16" s="26">
        <f t="shared" si="0"/>
        <v>-0.09000000000000001</v>
      </c>
      <c r="G16" s="27">
        <f>SUM($F$5:F16)</f>
        <v>-0.25</v>
      </c>
    </row>
    <row r="17" spans="3:7" ht="4.5" customHeight="1">
      <c r="C17" s="9"/>
      <c r="D17" s="26"/>
      <c r="E17" s="26"/>
      <c r="F17" s="26"/>
      <c r="G17" s="27"/>
    </row>
    <row r="18" spans="3:7" ht="12.75">
      <c r="C18" s="32" t="s">
        <v>44</v>
      </c>
      <c r="D18" s="26"/>
      <c r="E18" s="26"/>
      <c r="F18" s="26"/>
      <c r="G18" s="27"/>
    </row>
    <row r="19" spans="3:7" ht="12.75">
      <c r="C19" s="9" t="s">
        <v>32</v>
      </c>
      <c r="D19" s="26"/>
      <c r="E19" s="26">
        <v>0.175</v>
      </c>
      <c r="F19" s="26"/>
      <c r="G19" s="27">
        <f>SUM($F$5:F19)+SUM($E$19:E19)</f>
        <v>-0.07500000000000001</v>
      </c>
    </row>
    <row r="20" spans="3:7" ht="12.75">
      <c r="C20" s="9" t="s">
        <v>33</v>
      </c>
      <c r="D20" s="26"/>
      <c r="E20" s="26">
        <v>0.075</v>
      </c>
      <c r="F20" s="26"/>
      <c r="G20" s="27">
        <f>SUM($F$5:F20)+SUM($E$19:E20)</f>
        <v>0</v>
      </c>
    </row>
    <row r="21" spans="3:7" ht="12.75">
      <c r="C21" s="10"/>
      <c r="D21" s="15"/>
      <c r="E21" s="15"/>
      <c r="F21" s="15"/>
      <c r="G21" s="28"/>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2010 Waiver Item W40 Attachment 9 - Meeting Agendas (CA State Board of Education)</dc:title>
  <dc:subject>Request from various school districts and charter schools to waive for the 2010 calendar year California Education Code Section 14041.6, the requirement that substantial principal apportionment payments be deferred from February 2010 to July 2010, and from April and May 2010 to August 2010.</dc:subject>
  <dc:creator/>
  <cp:keywords>itemw40att9</cp:keywords>
  <dc:description/>
  <cp:lastModifiedBy> </cp:lastModifiedBy>
  <cp:lastPrinted>2010-03-15T15:58:33Z</cp:lastPrinted>
  <dcterms:created xsi:type="dcterms:W3CDTF">2009-03-30T23:30:00Z</dcterms:created>
  <dcterms:modified xsi:type="dcterms:W3CDTF">2010-04-22T21:25:03Z</dcterms:modified>
  <cp:category/>
  <cp:version/>
  <cp:contentType/>
  <cp:contentStatus/>
</cp:coreProperties>
</file>