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53222"/>
  <mc:AlternateContent xmlns:mc="http://schemas.openxmlformats.org/markup-compatibility/2006">
    <mc:Choice Requires="x15">
      <x15ac:absPath xmlns:x15ac="http://schemas.microsoft.com/office/spreadsheetml/2010/11/ac" url="C:\Users\puclaray\Desktop\SBE Items\"/>
    </mc:Choice>
  </mc:AlternateContent>
  <bookViews>
    <workbookView xWindow="0" yWindow="0" windowWidth="28800" windowHeight="12555"/>
  </bookViews>
  <sheets>
    <sheet name="Budget Summary By Task" sheetId="3" r:id="rId1"/>
    <sheet name="18-19 Budget Detail" sheetId="5" r:id="rId2"/>
    <sheet name="19-20 Budget Detail" sheetId="9" r:id="rId3"/>
    <sheet name="20-21 Budget Detail" sheetId="7" r:id="rId4"/>
    <sheet name="21-22 Budget Detail" sheetId="8" r:id="rId5"/>
  </sheets>
  <definedNames>
    <definedName name="_xlnm.Print_Area" localSheetId="1">'18-19 Budget Detail'!$A$1:$L$33</definedName>
    <definedName name="_xlnm.Print_Area" localSheetId="2">'19-20 Budget Detail'!$A$1:$F$32</definedName>
    <definedName name="_xlnm.Print_Area" localSheetId="3">'20-21 Budget Detail'!$A$1:$F$32</definedName>
    <definedName name="_xlnm.Print_Area" localSheetId="4">'21-22 Budget Detail'!$A$1:$F$32</definedName>
    <definedName name="_xlnm.Print_Area" localSheetId="0">'Budget Summary By Task'!$A$1:$P$14</definedName>
  </definedNames>
  <calcPr calcId="15251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7" i="5" l="1"/>
  <c r="J18" i="5" s="1"/>
  <c r="I18" i="5"/>
  <c r="J15" i="5"/>
  <c r="J14" i="5"/>
  <c r="J13" i="5"/>
  <c r="J12" i="5"/>
  <c r="J10" i="5"/>
  <c r="J8" i="5"/>
  <c r="J7" i="5"/>
  <c r="J9" i="5"/>
  <c r="I29" i="5"/>
  <c r="I16" i="5"/>
  <c r="I11" i="5"/>
  <c r="J11" i="5" l="1"/>
  <c r="J16" i="5"/>
  <c r="F31" i="8" l="1"/>
  <c r="F31" i="7"/>
  <c r="F31" i="9"/>
  <c r="J27" i="5"/>
  <c r="J30" i="5" s="1"/>
  <c r="G33" i="5"/>
  <c r="K28" i="5" l="1"/>
  <c r="K18" i="5"/>
  <c r="K16" i="5"/>
  <c r="K11" i="5"/>
  <c r="B27" i="5"/>
  <c r="H7" i="5"/>
  <c r="H8" i="5"/>
  <c r="H9" i="5"/>
  <c r="H10" i="5"/>
  <c r="H12" i="5"/>
  <c r="H13" i="5"/>
  <c r="H14" i="5"/>
  <c r="H15" i="5"/>
  <c r="H17" i="5"/>
  <c r="H19" i="5"/>
  <c r="H20" i="5"/>
  <c r="H21" i="5"/>
  <c r="H22" i="5"/>
  <c r="H23" i="5"/>
  <c r="H24" i="5"/>
  <c r="H25" i="5"/>
  <c r="H26" i="5"/>
  <c r="H28" i="5"/>
  <c r="H32" i="5"/>
  <c r="L32" i="5" s="1"/>
  <c r="E7" i="5"/>
  <c r="E8" i="5"/>
  <c r="E9" i="5"/>
  <c r="E10" i="5"/>
  <c r="L10" i="5" s="1"/>
  <c r="E12" i="5"/>
  <c r="E13" i="5"/>
  <c r="E14" i="5"/>
  <c r="E15" i="5"/>
  <c r="E17" i="5"/>
  <c r="E19" i="5"/>
  <c r="E20" i="5"/>
  <c r="E21" i="5"/>
  <c r="L21" i="5" s="1"/>
  <c r="E22" i="5"/>
  <c r="E23" i="5"/>
  <c r="E24" i="5"/>
  <c r="L24" i="5" s="1"/>
  <c r="E25" i="5"/>
  <c r="E26" i="5"/>
  <c r="E28" i="5"/>
  <c r="C27" i="5"/>
  <c r="C18" i="5"/>
  <c r="C16" i="5"/>
  <c r="C11" i="5"/>
  <c r="L9" i="5" l="1"/>
  <c r="L20" i="5"/>
  <c r="L14" i="5"/>
  <c r="L22" i="5"/>
  <c r="L23" i="5"/>
  <c r="L8" i="5"/>
  <c r="L12" i="5"/>
  <c r="L26" i="5"/>
  <c r="L17" i="5"/>
  <c r="L7" i="5"/>
  <c r="L19" i="5"/>
  <c r="L25" i="5"/>
  <c r="L15" i="5"/>
  <c r="C30" i="5"/>
  <c r="C33" i="5" s="1"/>
  <c r="L13" i="5"/>
  <c r="K27" i="5"/>
  <c r="L28" i="5"/>
  <c r="C29" i="5"/>
  <c r="I30" i="5"/>
  <c r="J31" i="5"/>
  <c r="J33" i="5" s="1"/>
  <c r="J29" i="5"/>
  <c r="K29" i="5" s="1"/>
  <c r="K30" i="5" l="1"/>
  <c r="I31" i="5"/>
  <c r="I33" i="5" s="1"/>
  <c r="K31" i="5" l="1"/>
  <c r="K33" i="5" s="1"/>
  <c r="M7" i="3" l="1"/>
  <c r="N7" i="3"/>
  <c r="H7" i="3"/>
  <c r="O7" i="3" l="1"/>
  <c r="M9" i="3" l="1"/>
  <c r="J11" i="3"/>
  <c r="I11" i="3"/>
  <c r="I12" i="3" s="1"/>
  <c r="I13" i="3" s="1"/>
  <c r="G11" i="3"/>
  <c r="G13" i="3" s="1"/>
  <c r="F11" i="3"/>
  <c r="F13" i="3" s="1"/>
  <c r="D11" i="3"/>
  <c r="C11" i="3"/>
  <c r="C12" i="3" s="1"/>
  <c r="B11" i="3"/>
  <c r="B12" i="3" s="1"/>
  <c r="N6" i="3"/>
  <c r="O6" i="3" s="1"/>
  <c r="N10" i="3"/>
  <c r="N9" i="3"/>
  <c r="N8" i="3"/>
  <c r="M10" i="3"/>
  <c r="M8" i="3"/>
  <c r="K6" i="3"/>
  <c r="K7" i="3"/>
  <c r="K8" i="3"/>
  <c r="K9" i="3"/>
  <c r="K10" i="3"/>
  <c r="H6" i="3"/>
  <c r="H8" i="3"/>
  <c r="H9" i="3"/>
  <c r="H10" i="3"/>
  <c r="E6" i="3"/>
  <c r="E7" i="3"/>
  <c r="E8" i="3"/>
  <c r="E9" i="3"/>
  <c r="E10" i="3"/>
  <c r="L7" i="3" l="1"/>
  <c r="O8" i="3"/>
  <c r="M11" i="3"/>
  <c r="C13" i="3"/>
  <c r="N11" i="3"/>
  <c r="D12" i="3"/>
  <c r="D13" i="3" s="1"/>
  <c r="L6" i="3"/>
  <c r="P6" i="3" s="1"/>
  <c r="E11" i="3"/>
  <c r="E12" i="3" s="1"/>
  <c r="P7" i="3"/>
  <c r="K11" i="3"/>
  <c r="K12" i="3" s="1"/>
  <c r="K13" i="3" s="1"/>
  <c r="H11" i="3"/>
  <c r="H13" i="3" s="1"/>
  <c r="O10" i="3"/>
  <c r="L8" i="3"/>
  <c r="P8" i="3" s="1"/>
  <c r="O9" i="3"/>
  <c r="L9" i="3"/>
  <c r="P9" i="3" s="1"/>
  <c r="L10" i="3"/>
  <c r="O11" i="3" l="1"/>
  <c r="E13" i="3"/>
  <c r="L11" i="3"/>
  <c r="L12" i="3"/>
  <c r="J12" i="3"/>
  <c r="J13" i="3" s="1"/>
  <c r="P10" i="3"/>
  <c r="L13" i="3" l="1"/>
  <c r="P11" i="3"/>
  <c r="B13" i="3"/>
  <c r="B26" i="8" l="1"/>
  <c r="B26" i="7"/>
  <c r="E10" i="9" l="1"/>
  <c r="D18" i="5"/>
  <c r="E18" i="5" s="1"/>
  <c r="C10" i="8" l="1"/>
  <c r="B10" i="8"/>
  <c r="D10" i="9"/>
  <c r="B15" i="8" l="1"/>
  <c r="B17" i="8"/>
  <c r="B28" i="8" s="1"/>
  <c r="E10" i="8"/>
  <c r="E15" i="8"/>
  <c r="E17" i="8"/>
  <c r="E26" i="8"/>
  <c r="E28" i="8" s="1"/>
  <c r="D10" i="8"/>
  <c r="F10" i="8" s="1"/>
  <c r="D15" i="8"/>
  <c r="D17" i="8"/>
  <c r="D26" i="8"/>
  <c r="C15" i="8"/>
  <c r="C17" i="8"/>
  <c r="C26" i="8"/>
  <c r="E10" i="7"/>
  <c r="E15" i="7"/>
  <c r="E17" i="7"/>
  <c r="E26" i="7"/>
  <c r="D10" i="7"/>
  <c r="D15" i="7"/>
  <c r="D17" i="7"/>
  <c r="D26" i="7"/>
  <c r="C10" i="7"/>
  <c r="C15" i="7"/>
  <c r="C17" i="7"/>
  <c r="C26" i="7"/>
  <c r="B10" i="7"/>
  <c r="B15" i="7"/>
  <c r="B17" i="7"/>
  <c r="C10" i="9"/>
  <c r="C15" i="9"/>
  <c r="C17" i="9"/>
  <c r="C26" i="9"/>
  <c r="D15" i="9"/>
  <c r="D17" i="9"/>
  <c r="D26" i="9"/>
  <c r="D28" i="9" s="1"/>
  <c r="E15" i="9"/>
  <c r="E17" i="9"/>
  <c r="E26" i="9"/>
  <c r="B10" i="9"/>
  <c r="B15" i="9"/>
  <c r="B17" i="9"/>
  <c r="B26" i="9"/>
  <c r="F11" i="5"/>
  <c r="F16" i="5"/>
  <c r="H16" i="5" s="1"/>
  <c r="F18" i="5"/>
  <c r="H18" i="5" s="1"/>
  <c r="F27" i="5"/>
  <c r="H27" i="5" s="1"/>
  <c r="F9" i="8"/>
  <c r="F13" i="8"/>
  <c r="F7" i="8"/>
  <c r="F8" i="8"/>
  <c r="F12" i="8"/>
  <c r="F14" i="8"/>
  <c r="F6" i="8"/>
  <c r="F11" i="8"/>
  <c r="B11" i="5"/>
  <c r="B16" i="5"/>
  <c r="B18" i="5"/>
  <c r="D11" i="5"/>
  <c r="D16" i="5"/>
  <c r="E16" i="5" s="1"/>
  <c r="D27" i="5"/>
  <c r="F12" i="7"/>
  <c r="F13" i="7"/>
  <c r="F11" i="7"/>
  <c r="F8" i="7"/>
  <c r="F9" i="7"/>
  <c r="F13" i="9"/>
  <c r="F14" i="9"/>
  <c r="F8" i="9"/>
  <c r="F9" i="9"/>
  <c r="F22" i="9"/>
  <c r="F23" i="9"/>
  <c r="F24" i="9"/>
  <c r="F25" i="9"/>
  <c r="F18" i="8"/>
  <c r="F22" i="8"/>
  <c r="F23" i="8"/>
  <c r="F24" i="8"/>
  <c r="F25" i="8"/>
  <c r="F18" i="7"/>
  <c r="F22" i="7"/>
  <c r="F23" i="7"/>
  <c r="F24" i="7"/>
  <c r="F25" i="7"/>
  <c r="F7" i="9"/>
  <c r="F11" i="9"/>
  <c r="F12" i="9"/>
  <c r="F16" i="9"/>
  <c r="F18" i="9"/>
  <c r="F19" i="9"/>
  <c r="F20" i="9"/>
  <c r="F21" i="9"/>
  <c r="F27" i="9"/>
  <c r="F6" i="9"/>
  <c r="F27" i="8"/>
  <c r="F21" i="8"/>
  <c r="F20" i="8"/>
  <c r="F19" i="8"/>
  <c r="F16" i="8"/>
  <c r="F27" i="7"/>
  <c r="F21" i="7"/>
  <c r="F20" i="7"/>
  <c r="F19" i="7"/>
  <c r="F16" i="7"/>
  <c r="F6" i="7"/>
  <c r="F14" i="7"/>
  <c r="F7" i="7"/>
  <c r="F15" i="7" l="1"/>
  <c r="L18" i="5"/>
  <c r="C28" i="7"/>
  <c r="E28" i="7"/>
  <c r="B29" i="8"/>
  <c r="B30" i="8" s="1"/>
  <c r="B32" i="8" s="1"/>
  <c r="C28" i="9"/>
  <c r="C28" i="8"/>
  <c r="F15" i="8"/>
  <c r="D28" i="8"/>
  <c r="C29" i="7"/>
  <c r="D28" i="7"/>
  <c r="F17" i="7"/>
  <c r="B28" i="7"/>
  <c r="B29" i="7"/>
  <c r="B30" i="7" s="1"/>
  <c r="B28" i="9"/>
  <c r="D29" i="5"/>
  <c r="E29" i="5" s="1"/>
  <c r="E27" i="5"/>
  <c r="L27" i="5" s="1"/>
  <c r="F30" i="5"/>
  <c r="H11" i="5"/>
  <c r="B29" i="5"/>
  <c r="L16" i="5"/>
  <c r="D30" i="5"/>
  <c r="E11" i="5"/>
  <c r="B30" i="5"/>
  <c r="F29" i="5"/>
  <c r="H29" i="5" s="1"/>
  <c r="F26" i="7"/>
  <c r="F26" i="8"/>
  <c r="F10" i="7"/>
  <c r="F15" i="9"/>
  <c r="F10" i="9"/>
  <c r="B29" i="9"/>
  <c r="D29" i="8"/>
  <c r="E29" i="8"/>
  <c r="F17" i="9"/>
  <c r="E28" i="9"/>
  <c r="D29" i="9"/>
  <c r="D29" i="7"/>
  <c r="E29" i="7"/>
  <c r="F26" i="9"/>
  <c r="F17" i="8"/>
  <c r="C29" i="8"/>
  <c r="E29" i="9"/>
  <c r="C29" i="9"/>
  <c r="D30" i="9" l="1"/>
  <c r="D32" i="9"/>
  <c r="D30" i="7"/>
  <c r="D32" i="7"/>
  <c r="L29" i="5"/>
  <c r="C30" i="9"/>
  <c r="C32" i="9"/>
  <c r="E32" i="9"/>
  <c r="H30" i="5"/>
  <c r="C30" i="7"/>
  <c r="C32" i="7"/>
  <c r="E32" i="7"/>
  <c r="B32" i="7"/>
  <c r="B32" i="9"/>
  <c r="E30" i="8"/>
  <c r="E32" i="8"/>
  <c r="F29" i="8"/>
  <c r="D30" i="8"/>
  <c r="D32" i="8" s="1"/>
  <c r="F28" i="8"/>
  <c r="F28" i="7"/>
  <c r="L11" i="5"/>
  <c r="D31" i="5"/>
  <c r="E31" i="5" s="1"/>
  <c r="E30" i="5"/>
  <c r="B31" i="5"/>
  <c r="B33" i="5" s="1"/>
  <c r="F31" i="5"/>
  <c r="F33" i="5" s="1"/>
  <c r="C30" i="8"/>
  <c r="E30" i="7"/>
  <c r="E30" i="9"/>
  <c r="B30" i="9"/>
  <c r="F29" i="7"/>
  <c r="F28" i="9"/>
  <c r="F29" i="9"/>
  <c r="H33" i="5" l="1"/>
  <c r="L30" i="5"/>
  <c r="E33" i="5"/>
  <c r="D33" i="5"/>
  <c r="F30" i="8"/>
  <c r="F32" i="8" s="1"/>
  <c r="C32" i="8"/>
  <c r="H31" i="5"/>
  <c r="L31" i="5"/>
  <c r="F30" i="9"/>
  <c r="F32" i="9" s="1"/>
  <c r="F30" i="7"/>
  <c r="F32" i="7" s="1"/>
  <c r="L33" i="5" l="1"/>
</calcChain>
</file>

<file path=xl/sharedStrings.xml><?xml version="1.0" encoding="utf-8"?>
<sst xmlns="http://schemas.openxmlformats.org/spreadsheetml/2006/main" count="185" uniqueCount="70">
  <si>
    <t>UC REGENTS ON BEHALF OF THE SANTA CRUZ CAMPUS</t>
  </si>
  <si>
    <t>July 1, 2018 to June 30, 2022</t>
  </si>
  <si>
    <t>DESCRIPTION</t>
  </si>
  <si>
    <t>TOTAL</t>
  </si>
  <si>
    <t>Program Manager / Team Lead</t>
  </si>
  <si>
    <t>Project Manager</t>
  </si>
  <si>
    <t>Document Specialist / Admin</t>
  </si>
  <si>
    <t>Data Systems Analyst</t>
  </si>
  <si>
    <t>TOTAL Labor</t>
  </si>
  <si>
    <t>TOTAL Benefits</t>
  </si>
  <si>
    <t>Office Equipment</t>
  </si>
  <si>
    <t>SUBTOTAL Operations</t>
  </si>
  <si>
    <t>Enhance responsive design of reporting system (new feature)</t>
  </si>
  <si>
    <t>Deploy read-replica of datamart for analytics</t>
  </si>
  <si>
    <t>ELPAC Reporting Hosting</t>
  </si>
  <si>
    <t>ELPAC Startup Cost</t>
  </si>
  <si>
    <t>Science Reporting Hosting</t>
  </si>
  <si>
    <t>CSA (Spanish) Eporting Hosting</t>
  </si>
  <si>
    <t>Alternate Assessment Hosting (ELA, Math, Science)</t>
  </si>
  <si>
    <t>Startup Costs (Science, CSA, 4 Alternates)</t>
  </si>
  <si>
    <t>SUBTOTAL Subcontractors</t>
  </si>
  <si>
    <t>Travel</t>
  </si>
  <si>
    <t>TOTAL Operations</t>
  </si>
  <si>
    <t>SUBTOTALS</t>
  </si>
  <si>
    <t>Indirect Costs (26%)</t>
  </si>
  <si>
    <t>BUDGET SUMMARY BY TASK</t>
  </si>
  <si>
    <t>Fiscal Year</t>
  </si>
  <si>
    <t>Task 1</t>
  </si>
  <si>
    <t>Task 2</t>
  </si>
  <si>
    <t>Task 3*</t>
  </si>
  <si>
    <t>Task 4</t>
  </si>
  <si>
    <t>Subtotals</t>
  </si>
  <si>
    <t xml:space="preserve">Total </t>
  </si>
  <si>
    <t>2018–19</t>
  </si>
  <si>
    <t>2019–20</t>
  </si>
  <si>
    <t>2020–21</t>
  </si>
  <si>
    <t>2021–22</t>
  </si>
  <si>
    <t>Subtotal</t>
  </si>
  <si>
    <t>Total Cost</t>
  </si>
  <si>
    <t>BUDGET DETAIL</t>
  </si>
  <si>
    <t>July 1, 2018 to June 30, 2019</t>
  </si>
  <si>
    <t>TASK 1</t>
  </si>
  <si>
    <t>TASK 2</t>
  </si>
  <si>
    <t>TASK 3</t>
  </si>
  <si>
    <t>TASK 4</t>
  </si>
  <si>
    <t>Startup Costs (Science, CSA, 3 Alternates)</t>
  </si>
  <si>
    <t>July 1, 2019 to June 30, 2020</t>
  </si>
  <si>
    <t>July 1, 2020 to June 30, 2021</t>
  </si>
  <si>
    <t>July 1, 2021 to June 30, 2022</t>
  </si>
  <si>
    <t>2017-18</t>
  </si>
  <si>
    <t>Task 2 Credit</t>
  </si>
  <si>
    <t>Task 4 Credit</t>
  </si>
  <si>
    <t>Task 3 Credit</t>
  </si>
  <si>
    <t>Indirect Costs Credit</t>
  </si>
  <si>
    <t>Task 2 Total</t>
  </si>
  <si>
    <t>Task 3 Total</t>
  </si>
  <si>
    <t>Task 4 Total</t>
  </si>
  <si>
    <t>Indirect Costs Total</t>
  </si>
  <si>
    <t> Indirect Costs (26%)**</t>
  </si>
  <si>
    <t>**no indirect cost applied to Task 3</t>
  </si>
  <si>
    <t>TASK 2 Credit</t>
  </si>
  <si>
    <t>TASK 3 Credit</t>
  </si>
  <si>
    <t>TASK 4 Credit</t>
  </si>
  <si>
    <t>Task 2 TOTAL</t>
  </si>
  <si>
    <t>Task 3 TOTAL</t>
  </si>
  <si>
    <t>Task 4 TOTAL</t>
  </si>
  <si>
    <t>*see Attachment B for membership fee invoice schedule</t>
  </si>
  <si>
    <t>Smarter Balanced Member Services</t>
  </si>
  <si>
    <t>CDE-UCSC Proposed Budget</t>
  </si>
  <si>
    <t>(SBE Agenda Item Attachment 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</si>
</sst>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quot;$&quot;#,##0.00"/>
  </numFmts>
  <fonts count="27" x14ac:knownFonts="1">
    <font>
      <sz val="11"/>
      <color theme="1"/>
      <name val="Calibri"/>
      <family val="2"/>
      <scheme val="minor"/>
    </font>
    <font>
      <sz val="12"/>
      <color theme="1"/>
      <name val="Arial"/>
      <family val="2"/>
    </font>
    <font>
      <sz val="11"/>
      <color theme="1"/>
      <name val="Arial"/>
      <family val="2"/>
    </font>
    <font>
      <sz val="12"/>
      <color theme="1"/>
      <name val="Arial"/>
      <family val="2"/>
    </font>
    <font>
      <b/>
      <sz val="12"/>
      <color theme="1"/>
      <name val="Arial"/>
      <family val="2"/>
    </font>
    <font>
      <sz val="12"/>
      <name val="Arial"/>
      <family val="2"/>
    </font>
    <font>
      <b/>
      <sz val="12"/>
      <name val="Arial"/>
      <family val="2"/>
    </font>
    <font>
      <b/>
      <sz val="11"/>
      <color theme="1"/>
      <name val="Arial"/>
      <family val="2"/>
    </font>
    <font>
      <sz val="11"/>
      <color theme="1"/>
      <name val="Calibri"/>
      <family val="2"/>
      <scheme val="minor"/>
    </font>
    <font>
      <b/>
      <i/>
      <sz val="11"/>
      <color theme="1"/>
      <name val="Arial"/>
      <family val="2"/>
    </font>
    <font>
      <sz val="10"/>
      <name val="Arial"/>
      <family val="2"/>
    </font>
    <font>
      <b/>
      <u/>
      <sz val="12"/>
      <color theme="1"/>
      <name val="Arial"/>
      <family val="2"/>
    </font>
    <font>
      <b/>
      <i/>
      <sz val="12"/>
      <color theme="1"/>
      <name val="Arial"/>
      <family val="2"/>
    </font>
    <font>
      <b/>
      <sz val="16"/>
      <name val="Arial"/>
      <family val="2"/>
    </font>
    <font>
      <sz val="14"/>
      <name val="Arial"/>
      <family val="2"/>
    </font>
    <font>
      <i/>
      <sz val="12"/>
      <color theme="1"/>
      <name val="Arial"/>
      <family val="2"/>
    </font>
    <font>
      <i/>
      <sz val="10"/>
      <color theme="1"/>
      <name val="Arial"/>
      <family val="2"/>
    </font>
    <font>
      <i/>
      <sz val="11"/>
      <color theme="1"/>
      <name val="Arial"/>
      <family val="2"/>
    </font>
    <font>
      <i/>
      <sz val="14"/>
      <color theme="1"/>
      <name val="Arial"/>
      <family val="2"/>
    </font>
    <font>
      <b/>
      <sz val="16"/>
      <color theme="1"/>
      <name val="Arial"/>
      <family val="2"/>
    </font>
    <font>
      <b/>
      <sz val="20"/>
      <name val="Arial"/>
      <family val="2"/>
    </font>
    <font>
      <b/>
      <sz val="18"/>
      <name val="Arial"/>
      <family val="2"/>
    </font>
    <font>
      <b/>
      <i/>
      <sz val="14"/>
      <name val="Arial"/>
      <family val="2"/>
    </font>
    <font>
      <b/>
      <i/>
      <u/>
      <sz val="14"/>
      <color theme="1"/>
      <name val="Arial"/>
      <family val="2"/>
    </font>
    <font>
      <i/>
      <sz val="14"/>
      <color theme="1"/>
      <name val="Calibri"/>
      <family val="2"/>
      <scheme val="minor"/>
    </font>
    <font>
      <b/>
      <i/>
      <sz val="14"/>
      <color theme="1"/>
      <name val="Arial"/>
      <family val="2"/>
    </font>
    <font>
      <b/>
      <u/>
      <sz val="12"/>
      <name val="Arial"/>
      <family val="2"/>
    </font>
  </fonts>
  <fills count="5">
    <fill>
      <patternFill patternType="none"/>
    </fill>
    <fill>
      <patternFill patternType="gray125"/>
    </fill>
    <fill>
      <patternFill patternType="solid">
        <fgColor theme="0" tint="-0.14999847407452621"/>
        <bgColor theme="0" tint="-0.14999847407452621"/>
      </patternFill>
    </fill>
    <fill>
      <patternFill patternType="solid">
        <fgColor theme="0" tint="-0.14999847407452621"/>
        <bgColor indexed="64"/>
      </patternFill>
    </fill>
    <fill>
      <patternFill patternType="solid">
        <fgColor theme="0"/>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medium">
        <color indexed="64"/>
      </bottom>
      <diagonal/>
    </border>
    <border>
      <left/>
      <right/>
      <top style="thin">
        <color theme="4"/>
      </top>
      <bottom style="double">
        <color theme="4"/>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double">
        <color theme="4"/>
      </bottom>
      <diagonal/>
    </border>
    <border>
      <left/>
      <right/>
      <top style="thin">
        <color theme="4"/>
      </top>
      <bottom/>
      <diagonal/>
    </border>
    <border>
      <left style="thin">
        <color auto="1"/>
      </left>
      <right/>
      <top style="thin">
        <color theme="4"/>
      </top>
      <bottom style="double">
        <color theme="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s>
  <cellStyleXfs count="8">
    <xf numFmtId="0" fontId="0" fillId="0" borderId="0"/>
    <xf numFmtId="44" fontId="8" fillId="0" borderId="0" applyFont="0" applyFill="0" applyBorder="0" applyAlignment="0" applyProtection="0"/>
    <xf numFmtId="0" fontId="13" fillId="0" borderId="0" applyNumberFormat="0" applyFill="0" applyAlignment="0" applyProtection="0"/>
    <xf numFmtId="0" fontId="4" fillId="0" borderId="5" applyNumberFormat="0" applyFill="0" applyAlignment="0" applyProtection="0"/>
    <xf numFmtId="0" fontId="10" fillId="0" borderId="0"/>
    <xf numFmtId="0" fontId="14" fillId="0" borderId="0" applyNumberFormat="0" applyFill="0" applyAlignment="0" applyProtection="0"/>
    <xf numFmtId="43" fontId="8" fillId="0" borderId="0" applyFont="0" applyFill="0" applyBorder="0" applyAlignment="0" applyProtection="0"/>
    <xf numFmtId="9" fontId="8" fillId="0" borderId="0" applyFont="0" applyFill="0" applyBorder="0" applyAlignment="0" applyProtection="0"/>
  </cellStyleXfs>
  <cellXfs count="130">
    <xf numFmtId="0" fontId="0" fillId="0" borderId="0" xfId="0"/>
    <xf numFmtId="0" fontId="2" fillId="0" borderId="0" xfId="0" applyFont="1"/>
    <xf numFmtId="0" fontId="7" fillId="0" borderId="0" xfId="0" applyFont="1"/>
    <xf numFmtId="164" fontId="2" fillId="0" borderId="0" xfId="0" applyNumberFormat="1" applyFont="1" applyAlignment="1">
      <alignment horizontal="right"/>
    </xf>
    <xf numFmtId="164" fontId="9" fillId="0" borderId="0" xfId="0" applyNumberFormat="1" applyFont="1" applyAlignment="1">
      <alignment horizontal="right"/>
    </xf>
    <xf numFmtId="164" fontId="11" fillId="0" borderId="0" xfId="0" applyNumberFormat="1" applyFont="1" applyAlignment="1">
      <alignment horizontal="center"/>
    </xf>
    <xf numFmtId="164" fontId="4" fillId="0" borderId="0" xfId="0" applyNumberFormat="1" applyFont="1" applyAlignment="1">
      <alignment horizontal="center"/>
    </xf>
    <xf numFmtId="0" fontId="4" fillId="0" borderId="3" xfId="0" applyFont="1" applyBorder="1" applyAlignment="1">
      <alignment horizontal="left" vertical="center" wrapText="1"/>
    </xf>
    <xf numFmtId="0" fontId="4" fillId="0" borderId="3" xfId="0" applyFont="1" applyBorder="1" applyAlignment="1">
      <alignment horizontal="right" vertical="center" wrapText="1"/>
    </xf>
    <xf numFmtId="0" fontId="4" fillId="0" borderId="6" xfId="0" applyFont="1" applyBorder="1" applyAlignment="1">
      <alignment horizontal="center" vertical="center" wrapText="1"/>
    </xf>
    <xf numFmtId="164" fontId="4" fillId="0" borderId="8" xfId="0" applyNumberFormat="1" applyFont="1" applyBorder="1" applyAlignment="1">
      <alignment horizontal="center" vertical="center" wrapText="1"/>
    </xf>
    <xf numFmtId="0" fontId="4" fillId="0" borderId="0" xfId="0" applyFont="1" applyAlignment="1">
      <alignment horizontal="right" vertical="center" wrapText="1"/>
    </xf>
    <xf numFmtId="0" fontId="4" fillId="0" borderId="0" xfId="0" applyFont="1"/>
    <xf numFmtId="164" fontId="12" fillId="0" borderId="0" xfId="0" applyNumberFormat="1" applyFont="1" applyAlignment="1">
      <alignment horizontal="right"/>
    </xf>
    <xf numFmtId="0" fontId="3" fillId="0" borderId="0" xfId="0" applyFont="1"/>
    <xf numFmtId="164" fontId="3" fillId="0" borderId="0" xfId="0" applyNumberFormat="1" applyFont="1" applyAlignment="1">
      <alignment horizontal="right"/>
    </xf>
    <xf numFmtId="0" fontId="14" fillId="0" borderId="0" xfId="5" applyAlignment="1">
      <alignment horizontal="left" vertical="top" wrapText="1"/>
    </xf>
    <xf numFmtId="164" fontId="13" fillId="0" borderId="0" xfId="2" applyNumberFormat="1" applyAlignment="1">
      <alignment horizontal="left"/>
    </xf>
    <xf numFmtId="164" fontId="11" fillId="0" borderId="7" xfId="0" applyNumberFormat="1" applyFont="1" applyBorder="1" applyAlignment="1">
      <alignment horizontal="center" vertical="center" wrapText="1"/>
    </xf>
    <xf numFmtId="0" fontId="4" fillId="0" borderId="1" xfId="3" applyBorder="1" applyAlignment="1">
      <alignment horizontal="left"/>
    </xf>
    <xf numFmtId="0" fontId="15" fillId="0" borderId="3" xfId="0" applyFont="1" applyBorder="1" applyAlignment="1">
      <alignment vertical="center" wrapText="1"/>
    </xf>
    <xf numFmtId="44" fontId="4" fillId="0" borderId="9" xfId="3" applyNumberFormat="1" applyBorder="1" applyAlignment="1">
      <alignment horizontal="center" vertical="center"/>
    </xf>
    <xf numFmtId="10" fontId="7" fillId="0" borderId="0" xfId="7" applyNumberFormat="1" applyFont="1"/>
    <xf numFmtId="10" fontId="2" fillId="0" borderId="0" xfId="7" applyNumberFormat="1" applyFont="1"/>
    <xf numFmtId="43" fontId="2" fillId="0" borderId="0" xfId="6" applyFont="1"/>
    <xf numFmtId="0" fontId="15" fillId="0" borderId="3" xfId="0" applyFont="1" applyBorder="1" applyAlignment="1">
      <alignment horizontal="left" vertical="center" wrapText="1"/>
    </xf>
    <xf numFmtId="0" fontId="1" fillId="0" borderId="0" xfId="0" applyFont="1" applyAlignment="1">
      <alignment horizontal="center" vertical="center"/>
    </xf>
    <xf numFmtId="0" fontId="1" fillId="0" borderId="0" xfId="0" applyFont="1"/>
    <xf numFmtId="164" fontId="1" fillId="0" borderId="0" xfId="0" applyNumberFormat="1" applyFont="1" applyAlignment="1">
      <alignment horizontal="right"/>
    </xf>
    <xf numFmtId="0" fontId="1" fillId="0" borderId="0" xfId="0" applyFont="1" applyAlignment="1">
      <alignment horizontal="left" vertical="center"/>
    </xf>
    <xf numFmtId="44" fontId="4" fillId="0" borderId="0" xfId="1" applyFont="1" applyAlignment="1">
      <alignment horizontal="center" vertical="center"/>
    </xf>
    <xf numFmtId="0" fontId="16" fillId="0" borderId="0" xfId="0" applyFont="1"/>
    <xf numFmtId="44" fontId="1" fillId="0" borderId="10" xfId="3" applyNumberFormat="1" applyFont="1" applyBorder="1" applyAlignment="1">
      <alignment horizontal="center" vertical="center"/>
    </xf>
    <xf numFmtId="44" fontId="4" fillId="0" borderId="0" xfId="0" applyNumberFormat="1" applyFont="1"/>
    <xf numFmtId="44" fontId="4" fillId="0" borderId="10" xfId="3" applyNumberFormat="1" applyBorder="1" applyAlignment="1">
      <alignment horizontal="center" vertical="center"/>
    </xf>
    <xf numFmtId="9" fontId="1" fillId="0" borderId="0" xfId="7" applyFont="1" applyAlignment="1">
      <alignment horizontal="center" vertical="center"/>
    </xf>
    <xf numFmtId="0" fontId="4" fillId="0" borderId="3" xfId="0" applyFont="1" applyFill="1" applyBorder="1" applyAlignment="1">
      <alignment horizontal="right" vertical="center" wrapText="1"/>
    </xf>
    <xf numFmtId="44" fontId="1" fillId="0" borderId="0" xfId="1" applyFont="1"/>
    <xf numFmtId="44" fontId="1" fillId="0" borderId="0" xfId="0" applyNumberFormat="1" applyFont="1"/>
    <xf numFmtId="44" fontId="1" fillId="0" borderId="0" xfId="0" applyNumberFormat="1" applyFont="1" applyAlignment="1">
      <alignment horizontal="center" vertical="center"/>
    </xf>
    <xf numFmtId="0" fontId="14" fillId="0" borderId="0" xfId="5" applyAlignment="1">
      <alignment horizontal="left" vertical="top"/>
    </xf>
    <xf numFmtId="44" fontId="4" fillId="3" borderId="9" xfId="3" applyNumberFormat="1" applyFill="1" applyBorder="1" applyAlignment="1">
      <alignment horizontal="center" vertical="center"/>
    </xf>
    <xf numFmtId="0" fontId="1" fillId="0" borderId="13" xfId="0" applyFont="1" applyBorder="1" applyAlignment="1">
      <alignment horizontal="center" vertical="center"/>
    </xf>
    <xf numFmtId="0" fontId="4" fillId="0" borderId="12" xfId="0" applyFont="1" applyBorder="1" applyAlignment="1">
      <alignment horizontal="center" vertical="center"/>
    </xf>
    <xf numFmtId="0" fontId="4" fillId="0" borderId="12" xfId="0" applyFont="1" applyBorder="1" applyAlignment="1">
      <alignment horizontal="center" vertical="center" wrapText="1"/>
    </xf>
    <xf numFmtId="0" fontId="4" fillId="0" borderId="14" xfId="0" applyFont="1" applyBorder="1" applyAlignment="1">
      <alignment horizontal="center" vertical="center"/>
    </xf>
    <xf numFmtId="44" fontId="1" fillId="0" borderId="15" xfId="1" applyFont="1" applyBorder="1" applyAlignment="1">
      <alignment horizontal="center" vertical="center"/>
    </xf>
    <xf numFmtId="44" fontId="1" fillId="0" borderId="17" xfId="1" applyFont="1" applyBorder="1" applyAlignment="1">
      <alignment horizontal="center" vertical="center"/>
    </xf>
    <xf numFmtId="44" fontId="1" fillId="0" borderId="9" xfId="3" applyNumberFormat="1" applyFont="1" applyBorder="1" applyAlignment="1">
      <alignment horizontal="center" vertical="center"/>
    </xf>
    <xf numFmtId="164" fontId="17" fillId="0" borderId="0" xfId="0" applyNumberFormat="1" applyFont="1" applyAlignment="1">
      <alignment horizontal="right"/>
    </xf>
    <xf numFmtId="164" fontId="11" fillId="0" borderId="8" xfId="0" applyNumberFormat="1" applyFont="1" applyBorder="1" applyAlignment="1">
      <alignment horizontal="center" vertical="center" wrapText="1"/>
    </xf>
    <xf numFmtId="44" fontId="2" fillId="0" borderId="0" xfId="1" applyFont="1"/>
    <xf numFmtId="9" fontId="2" fillId="0" borderId="0" xfId="7" applyFont="1"/>
    <xf numFmtId="10" fontId="7" fillId="0" borderId="0" xfId="0" applyNumberFormat="1" applyFont="1"/>
    <xf numFmtId="44" fontId="7" fillId="0" borderId="0" xfId="0" applyNumberFormat="1" applyFont="1"/>
    <xf numFmtId="44" fontId="1" fillId="0" borderId="0" xfId="1" applyNumberFormat="1" applyFont="1" applyBorder="1" applyAlignment="1">
      <alignment horizontal="center" vertical="center"/>
    </xf>
    <xf numFmtId="44" fontId="1" fillId="0" borderId="16" xfId="1" applyNumberFormat="1" applyFont="1" applyBorder="1" applyAlignment="1">
      <alignment horizontal="center" vertical="center"/>
    </xf>
    <xf numFmtId="44" fontId="1" fillId="0" borderId="0" xfId="1" applyNumberFormat="1" applyFont="1" applyFill="1" applyBorder="1" applyAlignment="1">
      <alignment horizontal="center" vertical="center"/>
    </xf>
    <xf numFmtId="44" fontId="1" fillId="0" borderId="16" xfId="1" applyNumberFormat="1" applyFont="1" applyFill="1" applyBorder="1" applyAlignment="1">
      <alignment horizontal="center" vertical="center"/>
    </xf>
    <xf numFmtId="44" fontId="1" fillId="0" borderId="4" xfId="1" applyNumberFormat="1" applyFont="1" applyFill="1" applyBorder="1" applyAlignment="1">
      <alignment horizontal="center" vertical="center"/>
    </xf>
    <xf numFmtId="44" fontId="1" fillId="0" borderId="4" xfId="1" applyNumberFormat="1" applyFont="1" applyBorder="1" applyAlignment="1">
      <alignment horizontal="center" vertical="center"/>
    </xf>
    <xf numFmtId="44" fontId="1" fillId="0" borderId="18" xfId="1" applyNumberFormat="1" applyFont="1" applyFill="1" applyBorder="1" applyAlignment="1">
      <alignment horizontal="center" vertical="center"/>
    </xf>
    <xf numFmtId="44" fontId="1" fillId="0" borderId="1" xfId="0" applyNumberFormat="1" applyFont="1" applyBorder="1" applyAlignment="1">
      <alignment horizontal="right" wrapText="1"/>
    </xf>
    <xf numFmtId="44" fontId="1" fillId="0" borderId="2" xfId="0" applyNumberFormat="1" applyFont="1" applyBorder="1" applyAlignment="1">
      <alignment horizontal="right" wrapText="1"/>
    </xf>
    <xf numFmtId="44" fontId="4" fillId="0" borderId="2" xfId="0" applyNumberFormat="1" applyFont="1" applyBorder="1" applyAlignment="1">
      <alignment horizontal="right" wrapText="1"/>
    </xf>
    <xf numFmtId="44" fontId="6" fillId="0" borderId="1" xfId="0" applyNumberFormat="1" applyFont="1" applyBorder="1" applyAlignment="1">
      <alignment horizontal="right" wrapText="1"/>
    </xf>
    <xf numFmtId="44" fontId="4" fillId="0" borderId="1" xfId="0" applyNumberFormat="1" applyFont="1" applyBorder="1" applyAlignment="1">
      <alignment horizontal="right" wrapText="1"/>
    </xf>
    <xf numFmtId="44" fontId="5" fillId="0" borderId="1" xfId="0" applyNumberFormat="1" applyFont="1" applyBorder="1" applyAlignment="1">
      <alignment horizontal="right" wrapText="1"/>
    </xf>
    <xf numFmtId="44" fontId="4" fillId="0" borderId="1" xfId="0" applyNumberFormat="1" applyFont="1" applyBorder="1" applyAlignment="1">
      <alignment horizontal="right" vertical="center" wrapText="1"/>
    </xf>
    <xf numFmtId="44" fontId="4" fillId="2" borderId="1" xfId="0" applyNumberFormat="1" applyFont="1" applyFill="1" applyBorder="1" applyAlignment="1">
      <alignment horizontal="right" wrapText="1"/>
    </xf>
    <xf numFmtId="44" fontId="1" fillId="2" borderId="1" xfId="0" applyNumberFormat="1" applyFont="1" applyFill="1" applyBorder="1" applyAlignment="1">
      <alignment horizontal="right" wrapText="1"/>
    </xf>
    <xf numFmtId="44" fontId="5" fillId="2" borderId="1" xfId="0" applyNumberFormat="1" applyFont="1" applyFill="1" applyBorder="1" applyAlignment="1">
      <alignment horizontal="right" wrapText="1"/>
    </xf>
    <xf numFmtId="44" fontId="1" fillId="0" borderId="1" xfId="0" applyNumberFormat="1" applyFont="1" applyBorder="1" applyAlignment="1">
      <alignment horizontal="center" wrapText="1"/>
    </xf>
    <xf numFmtId="44" fontId="2" fillId="0" borderId="1" xfId="0" applyNumberFormat="1" applyFont="1" applyBorder="1" applyAlignment="1">
      <alignment horizontal="center"/>
    </xf>
    <xf numFmtId="44" fontId="1" fillId="0" borderId="2" xfId="0" applyNumberFormat="1" applyFont="1" applyBorder="1" applyAlignment="1">
      <alignment horizontal="center" wrapText="1"/>
    </xf>
    <xf numFmtId="44" fontId="4" fillId="0" borderId="2" xfId="0" applyNumberFormat="1" applyFont="1" applyBorder="1" applyAlignment="1">
      <alignment horizontal="center" wrapText="1"/>
    </xf>
    <xf numFmtId="44" fontId="6" fillId="0" borderId="1" xfId="0" applyNumberFormat="1" applyFont="1" applyBorder="1" applyAlignment="1">
      <alignment horizontal="center" wrapText="1"/>
    </xf>
    <xf numFmtId="44" fontId="7" fillId="0" borderId="1" xfId="0" applyNumberFormat="1" applyFont="1" applyBorder="1" applyAlignment="1">
      <alignment horizontal="center"/>
    </xf>
    <xf numFmtId="44" fontId="4" fillId="0" borderId="1" xfId="0" applyNumberFormat="1" applyFont="1" applyBorder="1" applyAlignment="1">
      <alignment horizontal="center" wrapText="1"/>
    </xf>
    <xf numFmtId="44" fontId="6" fillId="0" borderId="2" xfId="0" applyNumberFormat="1" applyFont="1" applyBorder="1" applyAlignment="1">
      <alignment horizontal="center" wrapText="1"/>
    </xf>
    <xf numFmtId="44" fontId="5" fillId="0" borderId="1" xfId="0" applyNumberFormat="1" applyFont="1" applyBorder="1" applyAlignment="1">
      <alignment horizontal="center" wrapText="1"/>
    </xf>
    <xf numFmtId="44" fontId="5" fillId="0" borderId="2" xfId="0" applyNumberFormat="1" applyFont="1" applyBorder="1" applyAlignment="1">
      <alignment horizontal="center" wrapText="1"/>
    </xf>
    <xf numFmtId="44" fontId="4" fillId="0" borderId="1" xfId="0" applyNumberFormat="1" applyFont="1" applyBorder="1" applyAlignment="1">
      <alignment horizontal="center" vertical="center" wrapText="1"/>
    </xf>
    <xf numFmtId="44" fontId="4" fillId="0" borderId="2" xfId="0" applyNumberFormat="1" applyFont="1" applyBorder="1" applyAlignment="1">
      <alignment horizontal="center" vertical="center" wrapText="1"/>
    </xf>
    <xf numFmtId="44" fontId="4" fillId="0" borderId="1" xfId="3" applyNumberFormat="1" applyFont="1" applyBorder="1" applyAlignment="1">
      <alignment horizontal="center" wrapText="1"/>
    </xf>
    <xf numFmtId="44" fontId="4" fillId="0" borderId="1" xfId="3" applyNumberFormat="1" applyBorder="1" applyAlignment="1">
      <alignment horizontal="center" wrapText="1"/>
    </xf>
    <xf numFmtId="44" fontId="1" fillId="0" borderId="1" xfId="3" applyNumberFormat="1" applyFont="1" applyBorder="1" applyAlignment="1">
      <alignment horizontal="center" wrapText="1"/>
    </xf>
    <xf numFmtId="44" fontId="4" fillId="0" borderId="2" xfId="3" applyNumberFormat="1" applyBorder="1" applyAlignment="1">
      <alignment horizontal="center" wrapText="1"/>
    </xf>
    <xf numFmtId="44" fontId="4" fillId="0" borderId="1" xfId="3" applyNumberFormat="1" applyFont="1" applyFill="1" applyBorder="1" applyAlignment="1">
      <alignment horizontal="center" wrapText="1"/>
    </xf>
    <xf numFmtId="44" fontId="6" fillId="0" borderId="1" xfId="0" applyNumberFormat="1" applyFont="1" applyFill="1" applyBorder="1" applyAlignment="1">
      <alignment horizontal="right" wrapText="1"/>
    </xf>
    <xf numFmtId="44" fontId="4" fillId="0" borderId="1" xfId="0" applyNumberFormat="1" applyFont="1" applyFill="1" applyBorder="1" applyAlignment="1">
      <alignment horizontal="right" wrapText="1"/>
    </xf>
    <xf numFmtId="44" fontId="4" fillId="0" borderId="1" xfId="3" applyNumberFormat="1" applyFill="1" applyBorder="1" applyAlignment="1">
      <alignment horizontal="right" wrapText="1"/>
    </xf>
    <xf numFmtId="44" fontId="4" fillId="0" borderId="2" xfId="0" applyNumberFormat="1" applyFont="1" applyFill="1" applyBorder="1" applyAlignment="1">
      <alignment horizontal="right" wrapText="1"/>
    </xf>
    <xf numFmtId="44" fontId="4" fillId="0" borderId="1" xfId="0" applyNumberFormat="1" applyFont="1" applyFill="1" applyBorder="1" applyAlignment="1">
      <alignment horizontal="right" vertical="center" wrapText="1"/>
    </xf>
    <xf numFmtId="44" fontId="4" fillId="3" borderId="2" xfId="0" applyNumberFormat="1" applyFont="1" applyFill="1" applyBorder="1" applyAlignment="1">
      <alignment horizontal="right" wrapText="1"/>
    </xf>
    <xf numFmtId="44" fontId="4" fillId="3" borderId="1" xfId="0" applyNumberFormat="1" applyFont="1" applyFill="1" applyBorder="1" applyAlignment="1">
      <alignment horizontal="right" wrapText="1"/>
    </xf>
    <xf numFmtId="0" fontId="18" fillId="0" borderId="0" xfId="0" applyFont="1"/>
    <xf numFmtId="164" fontId="19" fillId="0" borderId="0" xfId="0" applyNumberFormat="1" applyFont="1" applyAlignment="1">
      <alignment horizontal="left"/>
    </xf>
    <xf numFmtId="9" fontId="1" fillId="0" borderId="0" xfId="7" applyFont="1" applyFill="1" applyAlignment="1">
      <alignment horizontal="center" vertical="center"/>
    </xf>
    <xf numFmtId="0" fontId="7" fillId="0" borderId="0" xfId="0" applyFont="1" applyFill="1"/>
    <xf numFmtId="164" fontId="13" fillId="0" borderId="0" xfId="0" applyNumberFormat="1" applyFont="1" applyAlignment="1">
      <alignment horizontal="left"/>
    </xf>
    <xf numFmtId="44" fontId="1" fillId="0" borderId="1" xfId="3" applyNumberFormat="1" applyFont="1" applyFill="1" applyBorder="1" applyAlignment="1">
      <alignment horizontal="center" wrapText="1"/>
    </xf>
    <xf numFmtId="44" fontId="1" fillId="0" borderId="2" xfId="3" applyNumberFormat="1" applyFont="1" applyBorder="1" applyAlignment="1">
      <alignment horizontal="center" wrapText="1"/>
    </xf>
    <xf numFmtId="44" fontId="4" fillId="0" borderId="1" xfId="0" applyNumberFormat="1" applyFont="1" applyFill="1" applyBorder="1" applyAlignment="1">
      <alignment horizontal="center" vertical="center" wrapText="1"/>
    </xf>
    <xf numFmtId="0" fontId="1" fillId="0" borderId="0" xfId="0" applyFont="1" applyFill="1" applyAlignment="1">
      <alignment horizontal="center" vertical="center"/>
    </xf>
    <xf numFmtId="164" fontId="9" fillId="0" borderId="0" xfId="0" applyNumberFormat="1" applyFont="1" applyFill="1" applyAlignment="1">
      <alignment horizontal="right"/>
    </xf>
    <xf numFmtId="0" fontId="1" fillId="0" borderId="11" xfId="3" applyFont="1" applyFill="1" applyBorder="1" applyAlignment="1">
      <alignment horizontal="left"/>
    </xf>
    <xf numFmtId="44" fontId="1" fillId="0" borderId="1" xfId="3" applyNumberFormat="1" applyFont="1" applyFill="1" applyBorder="1" applyAlignment="1">
      <alignment horizontal="right" wrapText="1"/>
    </xf>
    <xf numFmtId="44" fontId="1" fillId="0" borderId="1" xfId="0" applyNumberFormat="1" applyFont="1" applyFill="1" applyBorder="1" applyAlignment="1">
      <alignment horizontal="center" wrapText="1"/>
    </xf>
    <xf numFmtId="44" fontId="6" fillId="0" borderId="1" xfId="0" applyNumberFormat="1" applyFont="1" applyFill="1" applyBorder="1" applyAlignment="1">
      <alignment horizontal="center" vertical="center" wrapText="1"/>
    </xf>
    <xf numFmtId="0" fontId="15" fillId="2" borderId="3" xfId="0" applyFont="1" applyFill="1" applyBorder="1" applyAlignment="1">
      <alignment vertical="center" wrapText="1"/>
    </xf>
    <xf numFmtId="44" fontId="4" fillId="2" borderId="2" xfId="0" applyNumberFormat="1" applyFont="1" applyFill="1" applyBorder="1" applyAlignment="1">
      <alignment horizontal="right" wrapText="1"/>
    </xf>
    <xf numFmtId="0" fontId="4" fillId="2" borderId="3" xfId="0" applyFont="1" applyFill="1" applyBorder="1" applyAlignment="1">
      <alignment horizontal="right" vertical="center" wrapText="1"/>
    </xf>
    <xf numFmtId="0" fontId="20" fillId="0" borderId="0" xfId="2" applyFont="1" applyAlignment="1">
      <alignment horizontal="left"/>
    </xf>
    <xf numFmtId="0" fontId="4" fillId="2" borderId="3" xfId="0" applyFont="1" applyFill="1" applyBorder="1" applyAlignment="1">
      <alignment horizontal="left" vertical="center" wrapText="1"/>
    </xf>
    <xf numFmtId="164" fontId="20" fillId="0" borderId="0" xfId="2" applyNumberFormat="1" applyFont="1" applyAlignment="1">
      <alignment horizontal="left"/>
    </xf>
    <xf numFmtId="164" fontId="21" fillId="0" borderId="0" xfId="5" applyNumberFormat="1" applyFont="1" applyAlignment="1">
      <alignment horizontal="left"/>
    </xf>
    <xf numFmtId="164" fontId="22" fillId="0" borderId="0" xfId="5" applyNumberFormat="1" applyFont="1" applyAlignment="1">
      <alignment horizontal="left"/>
    </xf>
    <xf numFmtId="164" fontId="23" fillId="0" borderId="0" xfId="0" applyNumberFormat="1" applyFont="1" applyAlignment="1">
      <alignment horizontal="center"/>
    </xf>
    <xf numFmtId="0" fontId="24" fillId="0" borderId="0" xfId="0" applyFont="1"/>
    <xf numFmtId="164" fontId="22" fillId="0" borderId="0" xfId="2" applyNumberFormat="1" applyFont="1" applyAlignment="1">
      <alignment horizontal="left"/>
    </xf>
    <xf numFmtId="0" fontId="25" fillId="0" borderId="0" xfId="0" applyFont="1"/>
    <xf numFmtId="0" fontId="4" fillId="2" borderId="0" xfId="0" applyFont="1" applyFill="1" applyBorder="1" applyAlignment="1">
      <alignment horizontal="right" vertical="center" wrapText="1"/>
    </xf>
    <xf numFmtId="0" fontId="1" fillId="0" borderId="5" xfId="3" applyFont="1" applyFill="1" applyBorder="1" applyAlignment="1">
      <alignment horizontal="left"/>
    </xf>
    <xf numFmtId="0" fontId="6" fillId="4" borderId="6" xfId="0" applyFont="1" applyFill="1" applyBorder="1" applyAlignment="1">
      <alignment horizontal="center" vertical="center" wrapText="1"/>
    </xf>
    <xf numFmtId="164" fontId="26" fillId="4" borderId="7" xfId="0" applyNumberFormat="1" applyFont="1" applyFill="1" applyBorder="1" applyAlignment="1">
      <alignment horizontal="center" vertical="center" wrapText="1"/>
    </xf>
    <xf numFmtId="164" fontId="6" fillId="4" borderId="8" xfId="0" applyNumberFormat="1" applyFont="1" applyFill="1" applyBorder="1" applyAlignment="1">
      <alignment horizontal="center" vertical="center" wrapText="1"/>
    </xf>
    <xf numFmtId="0" fontId="4" fillId="4" borderId="20" xfId="3" applyFill="1" applyBorder="1" applyAlignment="1">
      <alignment horizontal="left"/>
    </xf>
    <xf numFmtId="44" fontId="4" fillId="4" borderId="21" xfId="3" applyNumberFormat="1" applyFill="1" applyBorder="1" applyAlignment="1">
      <alignment horizontal="right" wrapText="1"/>
    </xf>
    <xf numFmtId="44" fontId="4" fillId="4" borderId="19" xfId="0" applyNumberFormat="1" applyFont="1" applyFill="1" applyBorder="1" applyAlignment="1">
      <alignment horizontal="right" wrapText="1"/>
    </xf>
  </cellXfs>
  <cellStyles count="8">
    <cellStyle name="Comma" xfId="6" builtinId="3"/>
    <cellStyle name="Currency" xfId="1" builtinId="4"/>
    <cellStyle name="Heading 1" xfId="2" builtinId="16" customBuiltin="1"/>
    <cellStyle name="Heading 2" xfId="5" builtinId="17" customBuiltin="1"/>
    <cellStyle name="Normal" xfId="0" builtinId="0"/>
    <cellStyle name="Normal 3" xfId="4"/>
    <cellStyle name="Percent" xfId="7" builtinId="5"/>
    <cellStyle name="Total" xfId="3" builtinId="25" customBuiltin="1"/>
  </cellStyles>
  <dxfs count="56">
    <dxf>
      <numFmt numFmtId="34" formatCode="_(&quot;$&quot;* #,##0.00_);_(&quot;$&quot;* \(#,##0.00\);_(&quot;$&quot;* &quot;-&quot;??_);_(@_)"/>
    </dxf>
    <dxf>
      <numFmt numFmtId="34" formatCode="_(&quot;$&quot;* #,##0.00_);_(&quot;$&quot;* \(#,##0.00\);_(&quot;$&quot;* &quot;-&quot;??_);_(@_)"/>
      <border outline="0">
        <right style="thin">
          <color auto="1"/>
        </right>
      </border>
    </dxf>
    <dxf>
      <numFmt numFmtId="34" formatCode="_(&quot;$&quot;* #,##0.00_);_(&quot;$&quot;* \(#,##0.00\);_(&quot;$&quot;* &quot;-&quot;??_);_(@_)"/>
      <border outline="0">
        <right style="thin">
          <color auto="1"/>
        </right>
      </border>
    </dxf>
    <dxf>
      <numFmt numFmtId="34" formatCode="_(&quot;$&quot;* #,##0.00_);_(&quot;$&quot;* \(#,##0.00\);_(&quot;$&quot;* &quot;-&quot;??_);_(@_)"/>
      <border outline="0">
        <right style="thin">
          <color auto="1"/>
        </right>
      </border>
    </dxf>
    <dxf>
      <numFmt numFmtId="34" formatCode="_(&quot;$&quot;* #,##0.00_);_(&quot;$&quot;* \(#,##0.00\);_(&quot;$&quot;* &quot;-&quot;??_);_(@_)"/>
      <border outline="0">
        <right style="thin">
          <color auto="1"/>
        </right>
      </border>
    </dxf>
    <dxf>
      <border outline="0">
        <right style="thin">
          <color auto="1"/>
        </right>
      </border>
    </dxf>
    <dxf>
      <border outline="0">
        <top style="thin">
          <color auto="1"/>
        </top>
      </border>
    </dxf>
    <dxf>
      <border outline="0">
        <left style="thin">
          <color auto="1"/>
        </left>
        <right style="thin">
          <color auto="1"/>
        </right>
        <top style="thin">
          <color auto="1"/>
        </top>
        <bottom style="thin">
          <color auto="1"/>
        </bottom>
      </border>
    </dxf>
    <dxf>
      <border outline="0">
        <bottom style="thin">
          <color auto="1"/>
        </bottom>
      </border>
    </dxf>
    <dxf>
      <numFmt numFmtId="164" formatCode="&quot;$&quot;#,##0.00"/>
      <alignment horizontal="center" vertical="center" textRotation="0" wrapText="1" indent="0" justifyLastLine="0" shrinkToFit="0" readingOrder="0"/>
      <border diagonalUp="0" diagonalDown="0">
        <left style="thin">
          <color auto="1"/>
        </left>
        <right style="thin">
          <color auto="1"/>
        </right>
        <top/>
        <bottom/>
      </border>
    </dxf>
    <dxf>
      <numFmt numFmtId="34" formatCode="_(&quot;$&quot;* #,##0.00_);_(&quot;$&quot;* \(#,##0.00\);_(&quot;$&quot;* &quot;-&quot;??_);_(@_)"/>
    </dxf>
    <dxf>
      <numFmt numFmtId="34" formatCode="_(&quot;$&quot;* #,##0.00_);_(&quot;$&quot;* \(#,##0.00\);_(&quot;$&quot;* &quot;-&quot;??_);_(@_)"/>
      <border outline="0">
        <right style="thin">
          <color auto="1"/>
        </right>
      </border>
    </dxf>
    <dxf>
      <numFmt numFmtId="34" formatCode="_(&quot;$&quot;* #,##0.00_);_(&quot;$&quot;* \(#,##0.00\);_(&quot;$&quot;* &quot;-&quot;??_);_(@_)"/>
      <border outline="0">
        <right style="thin">
          <color auto="1"/>
        </right>
      </border>
    </dxf>
    <dxf>
      <numFmt numFmtId="34" formatCode="_(&quot;$&quot;* #,##0.00_);_(&quot;$&quot;* \(#,##0.00\);_(&quot;$&quot;* &quot;-&quot;??_);_(@_)"/>
      <border outline="0">
        <right style="thin">
          <color auto="1"/>
        </right>
      </border>
    </dxf>
    <dxf>
      <numFmt numFmtId="34" formatCode="_(&quot;$&quot;* #,##0.00_);_(&quot;$&quot;* \(#,##0.00\);_(&quot;$&quot;* &quot;-&quot;??_);_(@_)"/>
      <border outline="0">
        <right style="thin">
          <color auto="1"/>
        </right>
      </border>
    </dxf>
    <dxf>
      <border outline="0">
        <right style="thin">
          <color auto="1"/>
        </right>
      </border>
    </dxf>
    <dxf>
      <border outline="0">
        <top style="thin">
          <color auto="1"/>
        </top>
      </border>
    </dxf>
    <dxf>
      <border outline="0">
        <left style="thin">
          <color auto="1"/>
        </left>
        <right style="thin">
          <color auto="1"/>
        </right>
        <top style="thin">
          <color auto="1"/>
        </top>
        <bottom style="thin">
          <color auto="1"/>
        </bottom>
      </border>
    </dxf>
    <dxf>
      <border outline="0">
        <bottom style="thin">
          <color auto="1"/>
        </bottom>
      </border>
    </dxf>
    <dxf>
      <numFmt numFmtId="164" formatCode="&quot;$&quot;#,##0.00"/>
      <alignment horizontal="center" vertical="center" textRotation="0" wrapText="1" indent="0" justifyLastLine="0" shrinkToFit="0" readingOrder="0"/>
      <border diagonalUp="0" diagonalDown="0">
        <left style="thin">
          <color auto="1"/>
        </left>
        <right style="thin">
          <color auto="1"/>
        </right>
        <top/>
        <bottom/>
      </border>
    </dxf>
    <dxf>
      <border outline="0">
        <left style="thin">
          <color auto="1"/>
        </left>
        <right style="thin">
          <color auto="1"/>
        </right>
        <top style="thin">
          <color auto="1"/>
        </top>
        <bottom style="thin">
          <color auto="1"/>
        </bottom>
      </border>
    </dxf>
    <dxf>
      <border outline="0">
        <bottom style="thin">
          <color auto="1"/>
        </bottom>
      </border>
    </dxf>
    <dxf>
      <font>
        <b/>
        <i val="0"/>
        <strike val="0"/>
        <condense val="0"/>
        <extend val="0"/>
        <outline val="0"/>
        <shadow val="0"/>
        <u/>
        <vertAlign val="baseline"/>
        <sz val="12"/>
        <color auto="1"/>
        <name val="Arial"/>
        <scheme val="none"/>
      </font>
      <numFmt numFmtId="164" formatCode="&quot;$&quot;#,##0.00"/>
      <fill>
        <patternFill patternType="solid">
          <fgColor indexed="64"/>
          <bgColor theme="0"/>
        </patternFill>
      </fill>
      <alignment horizontal="center" vertical="center" textRotation="0" wrapText="1" indent="0" justifyLastLine="0" shrinkToFit="0" readingOrder="0"/>
      <border diagonalUp="0" diagonalDown="0" outline="0">
        <left style="thin">
          <color auto="1"/>
        </left>
        <right style="thin">
          <color auto="1"/>
        </right>
        <top/>
        <bottom/>
      </border>
    </dxf>
    <dxf>
      <numFmt numFmtId="34" formatCode="_(&quot;$&quot;* #,##0.00_);_(&quot;$&quot;* \(#,##0.00\);_(&quot;$&quot;* &quot;-&quot;??_);_(@_)"/>
      <alignment horizontal="center" textRotation="0" indent="0" justifyLastLine="0" shrinkToFit="0" readingOrder="0"/>
    </dxf>
    <dxf>
      <numFmt numFmtId="34" formatCode="_(&quot;$&quot;* #,##0.00_);_(&quot;$&quot;* \(#,##0.00\);_(&quot;$&quot;* &quot;-&quot;??_);_(@_)"/>
      <alignment horizontal="center" textRotation="0" indent="0" justifyLastLine="0" shrinkToFit="0" readingOrder="0"/>
      <border outline="0">
        <right style="thin">
          <color auto="1"/>
        </right>
      </border>
    </dxf>
    <dxf>
      <numFmt numFmtId="34" formatCode="_(&quot;$&quot;* #,##0.00_);_(&quot;$&quot;* \(#,##0.00\);_(&quot;$&quot;* &quot;-&quot;??_);_(@_)"/>
      <alignment horizontal="center" textRotation="0" indent="0" justifyLastLine="0" shrinkToFit="0" readingOrder="0"/>
      <border outline="0">
        <right style="thin">
          <color auto="1"/>
        </right>
      </border>
    </dxf>
    <dxf>
      <numFmt numFmtId="34" formatCode="_(&quot;$&quot;* #,##0.00_);_(&quot;$&quot;* \(#,##0.00\);_(&quot;$&quot;* &quot;-&quot;??_);_(@_)"/>
      <alignment horizontal="center" textRotation="0" indent="0" justifyLastLine="0" shrinkToFit="0" readingOrder="0"/>
      <border outline="0">
        <right style="thin">
          <color auto="1"/>
        </right>
      </border>
    </dxf>
    <dxf>
      <numFmt numFmtId="34" formatCode="_(&quot;$&quot;* #,##0.00_);_(&quot;$&quot;* \(#,##0.00\);_(&quot;$&quot;* &quot;-&quot;??_);_(@_)"/>
      <alignment horizontal="center" textRotation="0" indent="0" justifyLastLine="0" shrinkToFit="0" readingOrder="0"/>
      <border outline="0">
        <right style="thin">
          <color auto="1"/>
        </right>
      </border>
    </dxf>
    <dxf>
      <numFmt numFmtId="34" formatCode="_(&quot;$&quot;* #,##0.00_);_(&quot;$&quot;* \(#,##0.00\);_(&quot;$&quot;* &quot;-&quot;??_);_(@_)"/>
      <alignment horizontal="center" textRotation="0" indent="0" justifyLastLine="0" shrinkToFit="0" readingOrder="0"/>
      <border outline="0">
        <right style="thin">
          <color auto="1"/>
        </right>
      </border>
    </dxf>
    <dxf>
      <numFmt numFmtId="34" formatCode="_(&quot;$&quot;* #,##0.00_);_(&quot;$&quot;* \(#,##0.00\);_(&quot;$&quot;* &quot;-&quot;??_);_(@_)"/>
      <alignment horizontal="center" textRotation="0" indent="0" justifyLastLine="0" shrinkToFit="0" readingOrder="0"/>
      <border outline="0">
        <right style="thin">
          <color auto="1"/>
        </right>
      </border>
    </dxf>
    <dxf>
      <numFmt numFmtId="34" formatCode="_(&quot;$&quot;* #,##0.00_);_(&quot;$&quot;* \(#,##0.00\);_(&quot;$&quot;* &quot;-&quot;??_);_(@_)"/>
      <alignment horizontal="center" textRotation="0" indent="0" justifyLastLine="0" shrinkToFit="0" readingOrder="0"/>
      <border outline="0">
        <right style="thin">
          <color auto="1"/>
        </right>
      </border>
    </dxf>
    <dxf>
      <numFmt numFmtId="34" formatCode="_(&quot;$&quot;* #,##0.00_);_(&quot;$&quot;* \(#,##0.00\);_(&quot;$&quot;* &quot;-&quot;??_);_(@_)"/>
      <alignment horizontal="center" textRotation="0" indent="0" justifyLastLine="0" shrinkToFit="0" readingOrder="0"/>
      <border outline="0">
        <right style="thin">
          <color auto="1"/>
        </right>
      </border>
    </dxf>
    <dxf>
      <numFmt numFmtId="34" formatCode="_(&quot;$&quot;* #,##0.00_);_(&quot;$&quot;* \(#,##0.00\);_(&quot;$&quot;* &quot;-&quot;??_);_(@_)"/>
      <alignment horizontal="center" textRotation="0" indent="0" justifyLastLine="0" shrinkToFit="0" readingOrder="0"/>
      <border outline="0">
        <right style="thin">
          <color auto="1"/>
        </right>
      </border>
    </dxf>
    <dxf>
      <numFmt numFmtId="34" formatCode="_(&quot;$&quot;* #,##0.00_);_(&quot;$&quot;* \(#,##0.00\);_(&quot;$&quot;* &quot;-&quot;??_);_(@_)"/>
      <alignment horizontal="center" textRotation="0" indent="0" justifyLastLine="0" shrinkToFit="0" readingOrder="0"/>
      <border outline="0">
        <right style="thin">
          <color auto="1"/>
        </right>
      </border>
    </dxf>
    <dxf>
      <border outline="0">
        <right style="thin">
          <color auto="1"/>
        </right>
      </border>
    </dxf>
    <dxf>
      <border outline="0">
        <top style="thin">
          <color auto="1"/>
        </top>
      </border>
    </dxf>
    <dxf>
      <border outline="0">
        <left style="thin">
          <color auto="1"/>
        </left>
        <right style="thin">
          <color auto="1"/>
        </right>
        <top style="thin">
          <color auto="1"/>
        </top>
        <bottom style="thin">
          <color auto="1"/>
        </bottom>
      </border>
    </dxf>
    <dxf>
      <border outline="0">
        <bottom style="thin">
          <color auto="1"/>
        </bottom>
      </border>
    </dxf>
    <dxf>
      <numFmt numFmtId="164" formatCode="&quot;$&quot;#,##0.00"/>
      <alignment horizontal="center" vertical="center" textRotation="0" wrapText="1" indent="0" justifyLastLine="0" shrinkToFit="0" readingOrder="0"/>
      <border diagonalUp="0" diagonalDown="0">
        <left style="thin">
          <color auto="1"/>
        </left>
        <right style="thin">
          <color auto="1"/>
        </right>
        <top/>
        <bottom/>
      </border>
    </dxf>
    <dxf>
      <font>
        <b val="0"/>
        <i val="0"/>
        <strike val="0"/>
        <condense val="0"/>
        <extend val="0"/>
        <outline val="0"/>
        <shadow val="0"/>
        <u val="none"/>
        <vertAlign val="baseline"/>
        <sz val="12"/>
        <color theme="1"/>
        <name val="Arial"/>
        <scheme val="none"/>
      </font>
      <numFmt numFmtId="34" formatCode="_(&quot;$&quot;* #,##0.00_);_(&quot;$&quot;* \(#,##0.00\);_(&quot;$&quot;* &quot;-&quot;??_);_(@_)"/>
      <alignment horizontal="center" vertical="center" textRotation="0" wrapText="0" indent="0" justifyLastLine="0" shrinkToFit="0" readingOrder="0"/>
    </dxf>
    <dxf>
      <numFmt numFmtId="34" formatCode="_(&quot;$&quot;* #,##0.00_);_(&quot;$&quot;* \(#,##0.00\);_(&quot;$&quot;* &quot;-&quot;??_);_(@_)"/>
    </dxf>
    <dxf>
      <numFmt numFmtId="34" formatCode="_(&quot;$&quot;* #,##0.00_);_(&quot;$&quot;* \(#,##0.00\);_(&quot;$&quot;* &quot;-&quot;??_);_(@_)"/>
    </dxf>
    <dxf>
      <font>
        <b val="0"/>
        <i val="0"/>
        <strike val="0"/>
        <condense val="0"/>
        <extend val="0"/>
        <outline val="0"/>
        <shadow val="0"/>
        <u val="none"/>
        <vertAlign val="baseline"/>
        <sz val="12"/>
        <color theme="1"/>
        <name val="Arial"/>
        <scheme val="none"/>
      </font>
      <numFmt numFmtId="34" formatCode="_(&quot;$&quot;* #,##0.00_);_(&quot;$&quot;* \(#,##0.00\);_(&quot;$&quot;* &quot;-&quot;??_);_(@_)"/>
      <alignment horizontal="center" vertical="center" textRotation="0" wrapText="0" indent="0" justifyLastLine="0" shrinkToFit="0" readingOrder="0"/>
    </dxf>
    <dxf>
      <numFmt numFmtId="34" formatCode="_(&quot;$&quot;* #,##0.00_);_(&quot;$&quot;* \(#,##0.00\);_(&quot;$&quot;* &quot;-&quot;??_);_(@_)"/>
    </dxf>
    <dxf>
      <numFmt numFmtId="34" formatCode="_(&quot;$&quot;* #,##0.00_);_(&quot;$&quot;* \(#,##0.00\);_(&quot;$&quot;* &quot;-&quot;??_);_(@_)"/>
    </dxf>
    <dxf>
      <font>
        <b val="0"/>
        <i val="0"/>
        <strike val="0"/>
        <condense val="0"/>
        <extend val="0"/>
        <outline val="0"/>
        <shadow val="0"/>
        <u val="none"/>
        <vertAlign val="baseline"/>
        <sz val="12"/>
        <color theme="1"/>
        <name val="Arial"/>
        <scheme val="none"/>
      </font>
      <numFmt numFmtId="34" formatCode="_(&quot;$&quot;* #,##0.00_);_(&quot;$&quot;* \(#,##0.00\);_(&quot;$&quot;* &quot;-&quot;??_);_(@_)"/>
      <alignment horizontal="center" vertical="center" textRotation="0" wrapText="0" indent="0" justifyLastLine="0" shrinkToFit="0" readingOrder="0"/>
    </dxf>
    <dxf>
      <numFmt numFmtId="34" formatCode="_(&quot;$&quot;* #,##0.00_);_(&quot;$&quot;* \(#,##0.00\);_(&quot;$&quot;* &quot;-&quot;??_);_(@_)"/>
    </dxf>
    <dxf>
      <numFmt numFmtId="34" formatCode="_(&quot;$&quot;* #,##0.00_);_(&quot;$&quot;* \(#,##0.00\);_(&quot;$&quot;* &quot;-&quot;??_);_(@_)"/>
    </dxf>
    <dxf>
      <numFmt numFmtId="34" formatCode="_(&quot;$&quot;* #,##0.00_);_(&quot;$&quot;* \(#,##0.00\);_(&quot;$&quot;* &quot;-&quot;??_);_(@_)"/>
    </dxf>
    <dxf>
      <font>
        <b val="0"/>
        <i val="0"/>
        <strike val="0"/>
        <condense val="0"/>
        <extend val="0"/>
        <outline val="0"/>
        <shadow val="0"/>
        <u val="none"/>
        <vertAlign val="baseline"/>
        <sz val="12"/>
        <color theme="1"/>
        <name val="Arial"/>
        <scheme val="none"/>
      </font>
      <numFmt numFmtId="34" formatCode="_(&quot;$&quot;* #,##0.00_);_(&quot;$&quot;* \(#,##0.00\);_(&quot;$&quot;* &quot;-&quot;??_);_(@_)"/>
      <alignment horizontal="center" vertical="center" textRotation="0" wrapText="0" indent="0" justifyLastLine="0" shrinkToFit="0" readingOrder="0"/>
    </dxf>
    <dxf>
      <font>
        <b val="0"/>
        <i val="0"/>
        <strike val="0"/>
        <condense val="0"/>
        <extend val="0"/>
        <outline val="0"/>
        <shadow val="0"/>
        <u val="none"/>
        <vertAlign val="baseline"/>
        <sz val="12"/>
        <color theme="1"/>
        <name val="Arial"/>
        <scheme val="none"/>
      </font>
      <numFmt numFmtId="34" formatCode="_(&quot;$&quot;* #,##0.00_);_(&quot;$&quot;* \(#,##0.00\);_(&quot;$&quot;* &quot;-&quot;??_);_(@_)"/>
      <alignment horizontal="center" vertical="center" textRotation="0" wrapText="0" indent="0" justifyLastLine="0" shrinkToFit="0" readingOrder="0"/>
    </dxf>
    <dxf>
      <font>
        <b val="0"/>
        <i val="0"/>
        <strike val="0"/>
        <condense val="0"/>
        <extend val="0"/>
        <outline val="0"/>
        <shadow val="0"/>
        <u val="none"/>
        <vertAlign val="baseline"/>
        <sz val="12"/>
        <color theme="1"/>
        <name val="Arial"/>
        <scheme val="none"/>
      </font>
      <alignment horizontal="center" vertical="center" textRotation="0" wrapText="0" indent="0" justifyLastLine="0" shrinkToFit="0" readingOrder="0"/>
    </dxf>
    <dxf>
      <border outline="0">
        <top style="medium">
          <color indexed="64"/>
        </top>
      </border>
    </dxf>
    <dxf>
      <font>
        <b val="0"/>
        <i val="0"/>
        <strike val="0"/>
        <condense val="0"/>
        <extend val="0"/>
        <outline val="0"/>
        <shadow val="0"/>
        <u val="none"/>
        <vertAlign val="baseline"/>
        <sz val="12"/>
        <color theme="1"/>
        <name val="Arial"/>
        <scheme val="none"/>
      </font>
      <alignment horizontal="center"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theme="1"/>
        <name val="Arial"/>
        <scheme val="none"/>
      </font>
      <fill>
        <patternFill patternType="solid">
          <fgColor indexed="64"/>
          <bgColor rgb="FF21C5FF"/>
        </patternFill>
      </fill>
      <alignment horizontal="center" vertical="center" textRotation="0" wrapText="0" indent="0" justifyLastLine="0" shrinkToFit="0" readingOrder="0"/>
    </dxf>
  </dxfs>
  <tableStyles count="0" defaultTableStyle="TableStyleMedium2" defaultPivotStyle="PivotStyleLight16"/>
  <colors>
    <mruColors>
      <color rgb="FF21C5FF"/>
      <color rgb="FF87C5FD"/>
      <color rgb="FFC5FBC5"/>
      <color rgb="FFE2CF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4" name="Table15" displayName="Table15" ref="A5:P13" totalsRowShown="0" headerRowDxfId="55" dataDxfId="53" headerRowBorderDxfId="54" tableBorderDxfId="52" dataCellStyle="Currency">
  <autoFilter ref="A5:P1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name="Fiscal Year" dataDxfId="51" dataCellStyle="Currency"/>
    <tableColumn id="3" name="Task 1" dataDxfId="50" dataCellStyle="Currency"/>
    <tableColumn id="4" name="Task 2" dataDxfId="49" dataCellStyle="Currency"/>
    <tableColumn id="2" name="Task 2 Credit"/>
    <tableColumn id="10" name="Task 2 Total" dataDxfId="48">
      <calculatedColumnFormula>SUM(Table15[[#This Row],[Task 2]:[Task 2 Credit]])</calculatedColumnFormula>
    </tableColumn>
    <tableColumn id="7" name="Task 3*" dataDxfId="47"/>
    <tableColumn id="13" name="Task 3 Credit"/>
    <tableColumn id="12" name="Task 3 Total" dataDxfId="46">
      <calculatedColumnFormula>SUM(Table15[[#This Row],[Task 3*]:[Task 3 Credit]])</calculatedColumnFormula>
    </tableColumn>
    <tableColumn id="5" name="Task 4" dataDxfId="45" dataCellStyle="Currency"/>
    <tableColumn id="11" name="Task 4 Credit"/>
    <tableColumn id="15" name="Task 4 Total" dataDxfId="44">
      <calculatedColumnFormula>SUM(Table15[[#This Row],[Task 4]:[Task 4 Credit]])</calculatedColumnFormula>
    </tableColumn>
    <tableColumn id="6" name="Subtotals" dataDxfId="43"/>
    <tableColumn id="8" name=" Indirect Costs (26%)**" dataDxfId="42" dataCellStyle="Currency">
      <calculatedColumnFormula>L6*0.26</calculatedColumnFormula>
    </tableColumn>
    <tableColumn id="14" name="Indirect Costs Credit" dataDxfId="41">
      <calculatedColumnFormula>(Table15[[#This Row],[Task 2 Credit]]+Table15[[#This Row],[Task 4 Credit]])*0.26</calculatedColumnFormula>
    </tableColumn>
    <tableColumn id="16" name="Indirect Costs Total" dataDxfId="40">
      <calculatedColumnFormula>SUM(Table15[[#This Row],[ Indirect Costs (26%)**]:[Indirect Costs Credit]])</calculatedColumnFormula>
    </tableColumn>
    <tableColumn id="9" name="Total " dataDxfId="39" dataCellStyle="Currency">
      <calculatedColumnFormula>L6+M6</calculatedColumnFormula>
    </tableColumn>
  </tableColumns>
  <tableStyleInfo name="TableStyleLight1" showFirstColumn="0" showLastColumn="0" showRowStripes="1" showColumnStripes="0"/>
  <extLst>
    <ext xmlns:x14="http://schemas.microsoft.com/office/spreadsheetml/2009/9/main" uri="{504A1905-F514-4f6f-8877-14C23A59335A}">
      <x14:table altTextSummary="Budget Summary By Task - UC Regents on behalf of the Santa Cruz Campus"/>
    </ext>
  </extLst>
</table>
</file>

<file path=xl/tables/table2.xml><?xml version="1.0" encoding="utf-8"?>
<table xmlns="http://schemas.openxmlformats.org/spreadsheetml/2006/main" id="2" name="Table33" displayName="Table33" ref="A6:L32" totalsRowShown="0" headerRowDxfId="38" headerRowBorderDxfId="37" tableBorderDxfId="36" totalsRowBorderDxfId="35">
  <tableColumns count="12">
    <tableColumn id="1" name="DESCRIPTION" dataDxfId="34"/>
    <tableColumn id="2" name="TASK 1" dataDxfId="33"/>
    <tableColumn id="3" name="TASK 2" dataDxfId="32"/>
    <tableColumn id="7" name="TASK 2 Credit" dataDxfId="31"/>
    <tableColumn id="10" name="Task 2 TOTAL" dataDxfId="30">
      <calculatedColumnFormula>Table33[[#This Row],[TASK 2]]+Table33[[#This Row],[TASK 2 Credit]]</calculatedColumnFormula>
    </tableColumn>
    <tableColumn id="4" name="TASK 3" dataDxfId="29"/>
    <tableColumn id="8" name="TASK 3 Credit" dataDxfId="28"/>
    <tableColumn id="11" name="Task 3 TOTAL" dataDxfId="27">
      <calculatedColumnFormula>Table33[[#This Row],[TASK 3]]+Table33[[#This Row],[TASK 3 Credit]]</calculatedColumnFormula>
    </tableColumn>
    <tableColumn id="5" name="TASK 4" dataDxfId="26"/>
    <tableColumn id="9" name="TASK 4 Credit" dataDxfId="25"/>
    <tableColumn id="12" name="Task 4 TOTAL" dataDxfId="24">
      <calculatedColumnFormula>SUM(Table33[[#This Row],[TASK 4]:[TASK 4 Credit]])</calculatedColumnFormula>
    </tableColumn>
    <tableColumn id="6" name="TOTAL" dataDxfId="23">
      <calculatedColumnFormula>SUM(Table33[[#This Row],[TASK 1]:[TASK 4]])</calculatedColumnFormula>
    </tableColumn>
  </tableColumns>
  <tableStyleInfo name="TableStyleLight1" showFirstColumn="0" showLastColumn="0" showRowStripes="1" showColumnStripes="0"/>
  <extLst>
    <ext xmlns:x14="http://schemas.microsoft.com/office/spreadsheetml/2009/9/main" uri="{504A1905-F514-4f6f-8877-14C23A59335A}">
      <x14:table altTextSummary="2018-19 Budget Detail - UC Regents on behalf of the Santa Cruz Campus"/>
    </ext>
  </extLst>
</table>
</file>

<file path=xl/tables/table3.xml><?xml version="1.0" encoding="utf-8"?>
<table xmlns="http://schemas.openxmlformats.org/spreadsheetml/2006/main" id="1" name="Table1" displayName="Table1" ref="A5:F32" totalsRowShown="0" headerRowDxfId="22" headerRowBorderDxfId="21" tableBorderDxfId="20">
  <autoFilter ref="A5:F32">
    <filterColumn colId="0" hiddenButton="1"/>
    <filterColumn colId="1" hiddenButton="1"/>
    <filterColumn colId="2" hiddenButton="1"/>
    <filterColumn colId="3" hiddenButton="1"/>
    <filterColumn colId="4" hiddenButton="1"/>
    <filterColumn colId="5" hiddenButton="1"/>
  </autoFilter>
  <tableColumns count="6">
    <tableColumn id="1" name="DESCRIPTION"/>
    <tableColumn id="2" name="TASK 1"/>
    <tableColumn id="3" name="TASK 2"/>
    <tableColumn id="4" name="TASK 3"/>
    <tableColumn id="5" name="TASK 4"/>
    <tableColumn id="6" name="TOTAL"/>
  </tableColumns>
  <tableStyleInfo name="TableStyleMedium2" showFirstColumn="0" showLastColumn="0" showRowStripes="1" showColumnStripes="0"/>
  <extLst>
    <ext xmlns:x14="http://schemas.microsoft.com/office/spreadsheetml/2009/9/main" uri="{504A1905-F514-4f6f-8877-14C23A59335A}">
      <x14:table altTextSummary="2018-19 Budget Detail - UC Regents on behalf of the Santa Cruz Campus"/>
    </ext>
  </extLst>
</table>
</file>

<file path=xl/tables/table4.xml><?xml version="1.0" encoding="utf-8"?>
<table xmlns="http://schemas.openxmlformats.org/spreadsheetml/2006/main" id="5" name="Table3356" displayName="Table3356" ref="A5:F30" totalsRowShown="0" headerRowDxfId="19" headerRowBorderDxfId="18" tableBorderDxfId="17" totalsRowBorderDxfId="16">
  <tableColumns count="6">
    <tableColumn id="1" name="DESCRIPTION" dataDxfId="15"/>
    <tableColumn id="2" name="TASK 1" dataDxfId="14"/>
    <tableColumn id="3" name="TASK 2" dataDxfId="13"/>
    <tableColumn id="4" name="TASK 3" dataDxfId="12"/>
    <tableColumn id="5" name="TASK 4" dataDxfId="11"/>
    <tableColumn id="6" name="TOTAL" dataDxfId="10">
      <calculatedColumnFormula>SUM(Table3356[[#This Row],[TASK 1]:[TASK 4]])</calculatedColumnFormula>
    </tableColumn>
  </tableColumns>
  <tableStyleInfo name="TableStyleLight1" showFirstColumn="0" showLastColumn="0" showRowStripes="1" showColumnStripes="0"/>
  <extLst>
    <ext xmlns:x14="http://schemas.microsoft.com/office/spreadsheetml/2009/9/main" uri="{504A1905-F514-4f6f-8877-14C23A59335A}">
      <x14:table altTextSummary="2018-19 Budget Detail - UC Regents on behalf of the Santa Cruz Campus"/>
    </ext>
  </extLst>
</table>
</file>

<file path=xl/tables/table5.xml><?xml version="1.0" encoding="utf-8"?>
<table xmlns="http://schemas.openxmlformats.org/spreadsheetml/2006/main" id="6" name="Table33567" displayName="Table33567" ref="A5:F30" totalsRowShown="0" headerRowDxfId="9" headerRowBorderDxfId="8" tableBorderDxfId="7" totalsRowBorderDxfId="6">
  <tableColumns count="6">
    <tableColumn id="1" name="DESCRIPTION" dataDxfId="5"/>
    <tableColumn id="2" name="TASK 1" dataDxfId="4"/>
    <tableColumn id="3" name="TASK 2" dataDxfId="3"/>
    <tableColumn id="4" name="TASK 3" dataDxfId="2"/>
    <tableColumn id="5" name="TASK 4" dataDxfId="1"/>
    <tableColumn id="6" name="TOTAL" dataDxfId="0">
      <calculatedColumnFormula>SUM(Table33567[[#This Row],[TASK 1]:[TASK 4]])</calculatedColumnFormula>
    </tableColumn>
  </tableColumns>
  <tableStyleInfo name="TableStyleLight1" showFirstColumn="0" showLastColumn="0" showRowStripes="1" showColumnStripes="0"/>
  <extLst>
    <ext xmlns:x14="http://schemas.microsoft.com/office/spreadsheetml/2009/9/main" uri="{504A1905-F514-4f6f-8877-14C23A59335A}">
      <x14:table altTextSummary="2018-19 Budget Detail - UC Regents on behalf of the Santa Cruz Campu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5"/>
  <sheetViews>
    <sheetView tabSelected="1" zoomScaleNormal="100" workbookViewId="0"/>
  </sheetViews>
  <sheetFormatPr defaultColWidth="8.7109375" defaultRowHeight="15.75" x14ac:dyDescent="0.25"/>
  <cols>
    <col min="1" max="1" width="24.28515625" style="14" customWidth="1"/>
    <col min="2" max="2" width="17.28515625" style="15" customWidth="1"/>
    <col min="3" max="3" width="17.140625" style="15" customWidth="1"/>
    <col min="4" max="4" width="15.85546875" style="15" customWidth="1"/>
    <col min="5" max="5" width="17" style="15" customWidth="1"/>
    <col min="6" max="6" width="18.7109375" customWidth="1"/>
    <col min="7" max="7" width="16" customWidth="1"/>
    <col min="8" max="8" width="18.28515625" customWidth="1"/>
    <col min="9" max="9" width="16.28515625" style="13" bestFit="1" customWidth="1"/>
    <col min="10" max="10" width="15.85546875" style="13" customWidth="1"/>
    <col min="11" max="11" width="15.140625" style="13" customWidth="1"/>
    <col min="12" max="12" width="18.7109375" style="15" bestFit="1" customWidth="1"/>
    <col min="13" max="14" width="17.28515625" customWidth="1"/>
    <col min="15" max="15" width="16" customWidth="1"/>
    <col min="16" max="16" width="18.7109375" style="15" bestFit="1" customWidth="1"/>
    <col min="17" max="17" width="6.7109375" style="14" customWidth="1"/>
    <col min="18" max="18" width="18.85546875" style="14" bestFit="1" customWidth="1"/>
    <col min="19" max="19" width="13.140625" style="14" bestFit="1" customWidth="1"/>
    <col min="21" max="16384" width="8.7109375" style="14"/>
  </cols>
  <sheetData>
    <row r="1" spans="1:18" s="12" customFormat="1" ht="26.25" x14ac:dyDescent="0.4">
      <c r="A1" s="115" t="s">
        <v>25</v>
      </c>
      <c r="B1" s="5"/>
      <c r="C1" s="5"/>
      <c r="D1" s="5"/>
      <c r="E1" s="5"/>
      <c r="F1" s="5"/>
      <c r="G1" s="5"/>
      <c r="H1" s="5"/>
      <c r="I1" s="5"/>
      <c r="J1" s="5"/>
      <c r="K1" s="5"/>
      <c r="P1" s="5"/>
    </row>
    <row r="2" spans="1:18" s="12" customFormat="1" ht="18.75" x14ac:dyDescent="0.3">
      <c r="A2" s="120" t="s">
        <v>69</v>
      </c>
      <c r="B2" s="5"/>
      <c r="C2" s="5"/>
      <c r="D2" s="5"/>
      <c r="E2" s="5"/>
      <c r="F2" s="5"/>
      <c r="G2" s="5"/>
      <c r="H2" s="5"/>
      <c r="I2" s="5"/>
      <c r="J2" s="5"/>
      <c r="K2" s="5"/>
      <c r="P2" s="5"/>
    </row>
    <row r="3" spans="1:18" s="12" customFormat="1" ht="18" x14ac:dyDescent="0.25">
      <c r="A3" s="40" t="s">
        <v>0</v>
      </c>
      <c r="B3" s="6"/>
      <c r="C3" s="6"/>
      <c r="D3" s="6"/>
      <c r="E3" s="6"/>
      <c r="F3" s="6"/>
      <c r="G3" s="6"/>
      <c r="H3" s="6"/>
      <c r="I3" s="6"/>
      <c r="J3" s="6"/>
      <c r="K3" s="6"/>
      <c r="P3" s="6"/>
    </row>
    <row r="4" spans="1:18" s="12" customFormat="1" ht="21" thickBot="1" x14ac:dyDescent="0.35">
      <c r="A4" s="97" t="s">
        <v>1</v>
      </c>
      <c r="B4" s="26"/>
      <c r="C4" s="26"/>
      <c r="D4" s="26"/>
      <c r="E4" s="26"/>
      <c r="F4" s="26"/>
      <c r="G4" s="26"/>
      <c r="H4" s="26"/>
      <c r="I4" s="26"/>
      <c r="J4" s="26"/>
      <c r="K4" s="26"/>
      <c r="P4" s="26"/>
    </row>
    <row r="5" spans="1:18" s="12" customFormat="1" ht="32.25" thickBot="1" x14ac:dyDescent="0.3">
      <c r="A5" s="42" t="s">
        <v>26</v>
      </c>
      <c r="B5" s="43" t="s">
        <v>27</v>
      </c>
      <c r="C5" s="43" t="s">
        <v>28</v>
      </c>
      <c r="D5" s="43" t="s">
        <v>50</v>
      </c>
      <c r="E5" s="43" t="s">
        <v>54</v>
      </c>
      <c r="F5" s="43" t="s">
        <v>29</v>
      </c>
      <c r="G5" s="43" t="s">
        <v>52</v>
      </c>
      <c r="H5" s="43" t="s">
        <v>55</v>
      </c>
      <c r="I5" s="43" t="s">
        <v>30</v>
      </c>
      <c r="J5" s="43" t="s">
        <v>51</v>
      </c>
      <c r="K5" s="43" t="s">
        <v>56</v>
      </c>
      <c r="L5" s="43" t="s">
        <v>31</v>
      </c>
      <c r="M5" s="44" t="s">
        <v>58</v>
      </c>
      <c r="N5" s="44" t="s">
        <v>53</v>
      </c>
      <c r="O5" s="44" t="s">
        <v>57</v>
      </c>
      <c r="P5" s="45" t="s">
        <v>32</v>
      </c>
    </row>
    <row r="6" spans="1:18" s="12" customFormat="1" x14ac:dyDescent="0.25">
      <c r="A6" s="46" t="s">
        <v>49</v>
      </c>
      <c r="B6" s="57">
        <v>0</v>
      </c>
      <c r="C6" s="57">
        <v>0</v>
      </c>
      <c r="D6" s="57">
        <v>0</v>
      </c>
      <c r="E6" s="57">
        <f>SUM(Table15[[#This Row],[Task 2]:[Task 2 Credit]])</f>
        <v>0</v>
      </c>
      <c r="F6" s="57">
        <v>9550000</v>
      </c>
      <c r="G6" s="57"/>
      <c r="H6" s="57">
        <f>SUM(Table15[[#This Row],[Task 3*]:[Task 3 Credit]])</f>
        <v>9550000</v>
      </c>
      <c r="I6" s="57">
        <v>0</v>
      </c>
      <c r="J6" s="57">
        <v>0</v>
      </c>
      <c r="K6" s="57">
        <f>SUM(Table15[[#This Row],[Task 4]:[Task 4 Credit]])</f>
        <v>0</v>
      </c>
      <c r="L6" s="57">
        <f>SUM(Table15[[#This Row],[Task 1]],Table15[[#This Row],[Task 2 Total]],Table15[[#This Row],[Task 3 Total]],Table15[[#This Row],[Task 4 Total]])</f>
        <v>9550000</v>
      </c>
      <c r="M6" s="57">
        <v>0</v>
      </c>
      <c r="N6" s="57">
        <f>(Table15[[#This Row],[Task 2 Credit]]+Table15[[#This Row],[Task 4 Credit]])*0.26</f>
        <v>0</v>
      </c>
      <c r="O6" s="57">
        <f>SUM(Table15[[#This Row],[ Indirect Costs (26%)**]:[Indirect Costs Credit]])</f>
        <v>0</v>
      </c>
      <c r="P6" s="58">
        <f>L6+M6</f>
        <v>9550000</v>
      </c>
    </row>
    <row r="7" spans="1:18" s="12" customFormat="1" x14ac:dyDescent="0.25">
      <c r="A7" s="46" t="s">
        <v>33</v>
      </c>
      <c r="B7" s="55">
        <v>93433.4</v>
      </c>
      <c r="C7" s="55">
        <v>0</v>
      </c>
      <c r="D7" s="55">
        <v>197346.11</v>
      </c>
      <c r="E7" s="55">
        <f>SUM(Table15[[#This Row],[Task 2]:[Task 2 Credit]])</f>
        <v>197346.11</v>
      </c>
      <c r="F7" s="55">
        <v>9550000</v>
      </c>
      <c r="G7" s="55">
        <v>-390000</v>
      </c>
      <c r="H7" s="55">
        <f>SUM(Table15[[#This Row],[Task 3*]:[Task 3 Credit]])</f>
        <v>9160000</v>
      </c>
      <c r="I7" s="55">
        <v>15846.45</v>
      </c>
      <c r="J7" s="55">
        <v>112177.7</v>
      </c>
      <c r="K7" s="55">
        <f>SUM(Table15[[#This Row],[Task 4]:[Task 4 Credit]])</f>
        <v>128024.15</v>
      </c>
      <c r="L7" s="57">
        <f>SUM(Table15[[#This Row],[Task 1]],Table15[[#This Row],[Task 2 Total]],Table15[[#This Row],[Task 3 Total]],Table15[[#This Row],[Task 4 Total]])</f>
        <v>9578803.6600000001</v>
      </c>
      <c r="M7" s="55">
        <f>(B7+Table15[[#This Row],[Task 2]]+I7)*0.26</f>
        <v>28412.760999999999</v>
      </c>
      <c r="N7" s="55">
        <f>(Table15[[#This Row],[Task 2 Credit]]+Table15[[#This Row],[Task 4 Credit]])*0.26</f>
        <v>80476.190600000002</v>
      </c>
      <c r="O7" s="55">
        <f>SUM(Table15[[#This Row],[ Indirect Costs (26%)**]:[Indirect Costs Credit]])</f>
        <v>108888.9516</v>
      </c>
      <c r="P7" s="56">
        <f>L7+Table15[[#This Row],[Indirect Costs Total]]</f>
        <v>9687692.6116000004</v>
      </c>
    </row>
    <row r="8" spans="1:18" ht="17.649999999999999" customHeight="1" x14ac:dyDescent="0.25">
      <c r="A8" s="46" t="s">
        <v>34</v>
      </c>
      <c r="B8" s="57">
        <v>271471.46000000002</v>
      </c>
      <c r="C8" s="57">
        <v>204149.37</v>
      </c>
      <c r="D8" s="57">
        <v>0</v>
      </c>
      <c r="E8" s="57">
        <f>SUM(Table15[[#This Row],[Task 2]:[Task 2 Credit]])</f>
        <v>204149.37</v>
      </c>
      <c r="F8" s="57">
        <v>9550000</v>
      </c>
      <c r="G8" s="57">
        <v>0</v>
      </c>
      <c r="H8" s="57">
        <f>SUM(Table15[[#This Row],[Task 3*]:[Task 3 Credit]])</f>
        <v>9550000</v>
      </c>
      <c r="I8" s="57">
        <v>162719.54</v>
      </c>
      <c r="J8" s="57">
        <v>0</v>
      </c>
      <c r="K8" s="57">
        <f>SUM(Table15[[#This Row],[Task 4]:[Task 4 Credit]])</f>
        <v>162719.54</v>
      </c>
      <c r="L8" s="57">
        <f>SUM(Table15[[#This Row],[Task 1]],Table15[[#This Row],[Task 2 Total]],Table15[[#This Row],[Task 3 Total]],Table15[[#This Row],[Task 4 Total]])</f>
        <v>10188340.369999999</v>
      </c>
      <c r="M8" s="55">
        <f>(B8+Table15[[#This Row],[Task 2]]+I8)*0.26</f>
        <v>165968.49619999999</v>
      </c>
      <c r="N8" s="57">
        <f>(Table15[[#This Row],[Task 2 Credit]]+Table15[[#This Row],[Task 4 Credit]])*0.26</f>
        <v>0</v>
      </c>
      <c r="O8" s="57">
        <f>SUM(Table15[[#This Row],[ Indirect Costs (26%)**]:[Indirect Costs Credit]])</f>
        <v>165968.49619999999</v>
      </c>
      <c r="P8" s="58">
        <f>L8+M8</f>
        <v>10354308.8662</v>
      </c>
      <c r="Q8" s="27"/>
      <c r="R8" s="27"/>
    </row>
    <row r="9" spans="1:18" ht="17.649999999999999" customHeight="1" x14ac:dyDescent="0.25">
      <c r="A9" s="46" t="s">
        <v>35</v>
      </c>
      <c r="B9" s="55">
        <v>157694.79999999999</v>
      </c>
      <c r="C9" s="55">
        <v>323274.2</v>
      </c>
      <c r="D9" s="55">
        <v>0</v>
      </c>
      <c r="E9" s="55">
        <f>SUM(Table15[[#This Row],[Task 2]:[Task 2 Credit]])</f>
        <v>323274.2</v>
      </c>
      <c r="F9" s="55">
        <v>9550000</v>
      </c>
      <c r="G9" s="55">
        <v>0</v>
      </c>
      <c r="H9" s="55">
        <f>SUM(Table15[[#This Row],[Task 3*]:[Task 3 Credit]])</f>
        <v>9550000</v>
      </c>
      <c r="I9" s="55">
        <v>167061.1</v>
      </c>
      <c r="J9" s="55">
        <v>0</v>
      </c>
      <c r="K9" s="55">
        <f>SUM(Table15[[#This Row],[Task 4]:[Task 4 Credit]])</f>
        <v>167061.1</v>
      </c>
      <c r="L9" s="57">
        <f>SUM(Table15[[#This Row],[Task 1]],Table15[[#This Row],[Task 2 Total]],Table15[[#This Row],[Task 3 Total]],Table15[[#This Row],[Task 4 Total]])</f>
        <v>10198030.1</v>
      </c>
      <c r="M9" s="55">
        <f>(B9+Table15[[#This Row],[Task 2]]+I9)*0.26</f>
        <v>168487.826</v>
      </c>
      <c r="N9" s="55">
        <f>(Table15[[#This Row],[Task 2 Credit]]+Table15[[#This Row],[Task 4 Credit]])*0.26</f>
        <v>0</v>
      </c>
      <c r="O9" s="55">
        <f>SUM(Table15[[#This Row],[ Indirect Costs (26%)**]:[Indirect Costs Credit]])</f>
        <v>168487.826</v>
      </c>
      <c r="P9" s="56">
        <f>L9+M9</f>
        <v>10366517.925999999</v>
      </c>
      <c r="Q9" s="27"/>
      <c r="R9" s="27"/>
    </row>
    <row r="10" spans="1:18" ht="17.649999999999999" customHeight="1" thickBot="1" x14ac:dyDescent="0.3">
      <c r="A10" s="47" t="s">
        <v>36</v>
      </c>
      <c r="B10" s="59">
        <v>160825.07</v>
      </c>
      <c r="C10" s="59">
        <v>330578.18</v>
      </c>
      <c r="D10" s="59">
        <v>0</v>
      </c>
      <c r="E10" s="59">
        <f>SUM(Table15[[#This Row],[Task 2]:[Task 2 Credit]])</f>
        <v>330578.18</v>
      </c>
      <c r="F10" s="59">
        <v>9550000</v>
      </c>
      <c r="G10" s="59">
        <v>0</v>
      </c>
      <c r="H10" s="59">
        <f>SUM(Table15[[#This Row],[Task 3*]:[Task 3 Credit]])</f>
        <v>9550000</v>
      </c>
      <c r="I10" s="59">
        <v>171532.95</v>
      </c>
      <c r="J10" s="59">
        <v>0</v>
      </c>
      <c r="K10" s="59">
        <f>SUM(Table15[[#This Row],[Task 4]:[Task 4 Credit]])</f>
        <v>171532.95</v>
      </c>
      <c r="L10" s="59">
        <f>SUM(Table15[[#This Row],[Task 1]],Table15[[#This Row],[Task 2 Total]],Table15[[#This Row],[Task 3 Total]],Table15[[#This Row],[Task 4 Total]])</f>
        <v>10212936.199999999</v>
      </c>
      <c r="M10" s="60">
        <f>(B10+Table15[[#This Row],[Task 2]]+I10)*0.26</f>
        <v>172363.41199999998</v>
      </c>
      <c r="N10" s="59">
        <f>(Table15[[#This Row],[Task 2 Credit]]+Table15[[#This Row],[Task 4 Credit]])*0.26</f>
        <v>0</v>
      </c>
      <c r="O10" s="59">
        <f>SUM(Table15[[#This Row],[ Indirect Costs (26%)**]:[Indirect Costs Credit]])</f>
        <v>172363.41199999998</v>
      </c>
      <c r="P10" s="61">
        <f>L10+M10</f>
        <v>10385299.612</v>
      </c>
      <c r="Q10" s="27"/>
      <c r="R10" s="27"/>
    </row>
    <row r="11" spans="1:18" ht="17.649999999999999" customHeight="1" thickBot="1" x14ac:dyDescent="0.3">
      <c r="A11" s="21" t="s">
        <v>37</v>
      </c>
      <c r="B11" s="21">
        <f>SUM(B6:B10)</f>
        <v>683424.73</v>
      </c>
      <c r="C11" s="48">
        <f>SUM(C6:C10)</f>
        <v>858001.75</v>
      </c>
      <c r="D11" s="48">
        <f>SUM(D6:D10)</f>
        <v>197346.11</v>
      </c>
      <c r="E11" s="21">
        <f>SUBTOTAL(109,E6:E10)</f>
        <v>1055347.8599999999</v>
      </c>
      <c r="F11" s="48">
        <f>SUM(F6:F10)</f>
        <v>47750000</v>
      </c>
      <c r="G11" s="48">
        <f>SUM(G6:G10)</f>
        <v>-390000</v>
      </c>
      <c r="H11" s="21">
        <f>SUBTOTAL(109,H6:H10)</f>
        <v>47360000</v>
      </c>
      <c r="I11" s="48">
        <f>SUM(I6:I10)</f>
        <v>517160.04000000004</v>
      </c>
      <c r="J11" s="48">
        <f>SUM(J6:J10)</f>
        <v>112177.7</v>
      </c>
      <c r="K11" s="21">
        <f>SUBTOTAL(109,K6:K10)</f>
        <v>629337.74</v>
      </c>
      <c r="L11" s="21">
        <f>SUM(Table15[[#This Row],[Task 1]],Table15[[#This Row],[Task 2 Total]],Table15[[#This Row],[Task 3 Total]],Table15[[#This Row],[Task 4 Total]])</f>
        <v>49728110.330000006</v>
      </c>
      <c r="M11" s="48">
        <f>SUM(M6:M10)</f>
        <v>535232.4952</v>
      </c>
      <c r="N11" s="48">
        <f>(Table15[[#This Row],[Task 2 Credit]]+Table15[[#This Row],[Task 4 Credit]])*0.26</f>
        <v>80476.190600000002</v>
      </c>
      <c r="O11" s="21">
        <f>SUBTOTAL(109,O6:O10)</f>
        <v>615708.68579999998</v>
      </c>
      <c r="P11" s="41">
        <f>Table15[[#This Row],[Subtotals]]+Table15[[#This Row],[Indirect Costs Total]]</f>
        <v>50343819.015800007</v>
      </c>
      <c r="Q11" s="27"/>
      <c r="R11" s="38"/>
    </row>
    <row r="12" spans="1:18" ht="17.649999999999999" customHeight="1" thickTop="1" x14ac:dyDescent="0.25">
      <c r="A12" s="30" t="s">
        <v>58</v>
      </c>
      <c r="B12" s="32">
        <f>B11*0.26</f>
        <v>177690.42980000001</v>
      </c>
      <c r="C12" s="32">
        <f>C11*0.26</f>
        <v>223080.45500000002</v>
      </c>
      <c r="D12" s="32">
        <f>D11*0.26</f>
        <v>51309.988599999997</v>
      </c>
      <c r="E12" s="32">
        <f>E11*0.26</f>
        <v>274390.4436</v>
      </c>
      <c r="F12" s="32">
        <v>0</v>
      </c>
      <c r="G12" s="32">
        <v>0</v>
      </c>
      <c r="H12" s="32">
        <v>0</v>
      </c>
      <c r="I12" s="32">
        <f>I11*0.26</f>
        <v>134461.61040000001</v>
      </c>
      <c r="J12" s="32">
        <f>J11*0.26</f>
        <v>29166.202000000001</v>
      </c>
      <c r="K12" s="32">
        <f>K11*0.26</f>
        <v>163627.8124</v>
      </c>
      <c r="L12" s="32">
        <f>SUM(Table15[[#This Row],[Task 1]],Table15[[#This Row],[Task 2 Total]],Table15[[#This Row],[Task 4 Total]])</f>
        <v>615708.68580000009</v>
      </c>
      <c r="M12" s="33">
        <v>0</v>
      </c>
      <c r="N12" s="33">
        <v>0</v>
      </c>
      <c r="O12" s="33">
        <v>0</v>
      </c>
      <c r="P12" s="33">
        <v>0</v>
      </c>
      <c r="Q12" s="27"/>
      <c r="R12" s="27"/>
    </row>
    <row r="13" spans="1:18" ht="17.649999999999999" customHeight="1" x14ac:dyDescent="0.25">
      <c r="A13" s="30" t="s">
        <v>38</v>
      </c>
      <c r="B13" s="34">
        <f>SUM(B11:B12)</f>
        <v>861115.15980000002</v>
      </c>
      <c r="C13" s="32">
        <f>SUM(C11:C12)</f>
        <v>1081082.2050000001</v>
      </c>
      <c r="D13" s="32">
        <f>SUM(D11:D12)</f>
        <v>248656.09859999997</v>
      </c>
      <c r="E13" s="34">
        <f>SUM(E11,E12)</f>
        <v>1329738.3035999998</v>
      </c>
      <c r="F13" s="32">
        <f>SUM(F11:F12)</f>
        <v>47750000</v>
      </c>
      <c r="G13" s="32">
        <f>SUM(G11:G12)</f>
        <v>-390000</v>
      </c>
      <c r="H13" s="34">
        <f>H11+H12</f>
        <v>47360000</v>
      </c>
      <c r="I13" s="32">
        <f>SUM(I11:I12)</f>
        <v>651621.65040000004</v>
      </c>
      <c r="J13" s="32">
        <f>SUM(J11:J12)</f>
        <v>141343.902</v>
      </c>
      <c r="K13" s="34">
        <f>SUM(K11,K12)</f>
        <v>792965.55239999993</v>
      </c>
      <c r="L13" s="34">
        <f>SUM(L11:L12)</f>
        <v>50343819.015800007</v>
      </c>
      <c r="M13" s="33">
        <v>0</v>
      </c>
      <c r="N13" s="33">
        <v>0</v>
      </c>
      <c r="O13" s="33">
        <v>0</v>
      </c>
      <c r="P13" s="33">
        <v>0</v>
      </c>
      <c r="Q13" s="27"/>
      <c r="R13" s="27"/>
    </row>
    <row r="14" spans="1:18" s="12" customFormat="1" ht="24" customHeight="1" x14ac:dyDescent="0.3">
      <c r="F14" s="96" t="s">
        <v>66</v>
      </c>
      <c r="M14" s="96" t="s">
        <v>59</v>
      </c>
      <c r="N14" s="31"/>
      <c r="O14" s="31"/>
      <c r="R14" s="31"/>
    </row>
    <row r="15" spans="1:18" s="12" customFormat="1" ht="19.899999999999999" customHeight="1" x14ac:dyDescent="0.25">
      <c r="B15" s="38"/>
      <c r="C15" s="37"/>
      <c r="D15" s="37"/>
      <c r="E15" s="37"/>
      <c r="F15" s="33"/>
      <c r="G15" s="33"/>
      <c r="H15" s="33"/>
      <c r="I15" s="26"/>
      <c r="J15" s="26"/>
      <c r="K15" s="26"/>
      <c r="L15" s="26"/>
      <c r="P15" s="26"/>
    </row>
    <row r="16" spans="1:18" s="12" customFormat="1" ht="19.899999999999999" customHeight="1" x14ac:dyDescent="0.25">
      <c r="A16" s="29"/>
      <c r="B16" s="29"/>
      <c r="C16" s="26"/>
      <c r="D16" s="26"/>
      <c r="E16" s="26"/>
      <c r="I16" s="26"/>
      <c r="J16" s="26"/>
      <c r="K16" s="26"/>
      <c r="L16" s="26"/>
      <c r="P16" s="26"/>
      <c r="R16" s="33"/>
    </row>
    <row r="17" spans="1:17" s="12" customFormat="1" ht="19.899999999999999" customHeight="1" x14ac:dyDescent="0.25">
      <c r="B17" s="29"/>
      <c r="C17" s="26"/>
      <c r="D17" s="26"/>
      <c r="E17" s="26"/>
      <c r="I17" s="26"/>
      <c r="J17" s="26"/>
      <c r="K17" s="26"/>
      <c r="L17" s="26"/>
      <c r="P17" s="26"/>
    </row>
    <row r="18" spans="1:17" s="12" customFormat="1" ht="19.899999999999999" customHeight="1" x14ac:dyDescent="0.25">
      <c r="A18" s="29"/>
      <c r="B18" s="29"/>
      <c r="C18" s="26"/>
      <c r="D18" s="26"/>
      <c r="E18" s="26"/>
      <c r="I18" s="26"/>
      <c r="J18" s="26"/>
      <c r="K18" s="26"/>
      <c r="L18" s="26"/>
      <c r="M18" s="33"/>
      <c r="N18" s="33"/>
      <c r="O18" s="33"/>
      <c r="P18" s="26"/>
    </row>
    <row r="19" spans="1:17" s="12" customFormat="1" ht="19.899999999999999" customHeight="1" x14ac:dyDescent="0.25">
      <c r="B19" s="29"/>
      <c r="C19" s="26"/>
      <c r="D19" s="26"/>
      <c r="E19" s="26"/>
      <c r="I19" s="26"/>
      <c r="J19" s="26"/>
      <c r="K19" s="26"/>
      <c r="L19" s="26"/>
      <c r="M19" s="33"/>
      <c r="N19" s="33"/>
      <c r="O19" s="33"/>
      <c r="P19" s="39"/>
    </row>
    <row r="20" spans="1:17" s="12" customFormat="1" ht="19.899999999999999" customHeight="1" x14ac:dyDescent="0.25">
      <c r="A20" s="29"/>
      <c r="B20" s="29"/>
      <c r="C20" s="26"/>
      <c r="D20" s="26"/>
      <c r="E20" s="26"/>
      <c r="I20" s="26"/>
      <c r="J20" s="26"/>
      <c r="K20" s="26"/>
      <c r="L20" s="26"/>
      <c r="P20" s="26"/>
    </row>
    <row r="21" spans="1:17" s="12" customFormat="1" ht="19.899999999999999" customHeight="1" x14ac:dyDescent="0.25">
      <c r="B21" s="29"/>
      <c r="C21" s="26"/>
      <c r="D21" s="26"/>
      <c r="E21" s="26"/>
      <c r="I21" s="26"/>
      <c r="J21" s="26"/>
      <c r="K21" s="26"/>
      <c r="L21" s="26"/>
      <c r="P21" s="26"/>
    </row>
    <row r="22" spans="1:17" ht="17.649999999999999" customHeight="1" x14ac:dyDescent="0.25">
      <c r="A22" s="29"/>
      <c r="B22" s="29"/>
      <c r="C22" s="26"/>
      <c r="D22" s="26"/>
      <c r="E22" s="26"/>
      <c r="F22" s="12"/>
      <c r="G22" s="12"/>
      <c r="H22" s="12"/>
      <c r="I22" s="26"/>
      <c r="J22" s="26"/>
      <c r="K22" s="26"/>
      <c r="L22" s="26"/>
      <c r="M22" s="12"/>
      <c r="N22" s="12"/>
      <c r="O22" s="12"/>
      <c r="P22" s="26"/>
      <c r="Q22" s="27"/>
    </row>
    <row r="23" spans="1:17" ht="17.649999999999999" customHeight="1" x14ac:dyDescent="0.25">
      <c r="A23" s="27"/>
      <c r="B23" s="28"/>
      <c r="C23" s="28"/>
      <c r="D23" s="28"/>
      <c r="E23" s="28"/>
      <c r="F23" s="12"/>
      <c r="G23" s="12"/>
      <c r="H23" s="12"/>
      <c r="L23" s="28"/>
      <c r="P23" s="28"/>
      <c r="Q23" s="27"/>
    </row>
    <row r="24" spans="1:17" ht="17.649999999999999" customHeight="1" x14ac:dyDescent="0.25">
      <c r="A24" s="27"/>
      <c r="B24" s="28"/>
      <c r="C24" s="28"/>
      <c r="D24" s="28"/>
      <c r="E24" s="28"/>
      <c r="L24" s="28"/>
      <c r="P24" s="28"/>
      <c r="Q24" s="27"/>
    </row>
    <row r="25" spans="1:17" ht="17.649999999999999" customHeight="1" x14ac:dyDescent="0.25">
      <c r="A25" s="27"/>
      <c r="B25" s="28"/>
      <c r="C25" s="28"/>
      <c r="D25" s="28"/>
      <c r="E25" s="28"/>
      <c r="L25" s="28"/>
      <c r="P25" s="28"/>
      <c r="Q25" s="27"/>
    </row>
    <row r="26" spans="1:17" ht="17.649999999999999" customHeight="1" x14ac:dyDescent="0.25">
      <c r="A26" s="27"/>
      <c r="B26" s="28"/>
      <c r="C26" s="28"/>
      <c r="D26" s="28"/>
      <c r="E26" s="28"/>
      <c r="L26" s="28"/>
      <c r="P26" s="28"/>
      <c r="Q26" s="27"/>
    </row>
    <row r="27" spans="1:17" ht="17.649999999999999" customHeight="1" x14ac:dyDescent="0.25">
      <c r="A27" s="27"/>
      <c r="B27" s="28"/>
      <c r="C27" s="28"/>
      <c r="D27" s="28"/>
      <c r="E27" s="28"/>
      <c r="L27" s="28"/>
      <c r="P27" s="28"/>
      <c r="Q27" s="27"/>
    </row>
    <row r="28" spans="1:17" ht="17.649999999999999" customHeight="1" x14ac:dyDescent="0.25">
      <c r="A28" s="27"/>
      <c r="B28" s="28"/>
      <c r="C28" s="28"/>
      <c r="D28" s="28"/>
      <c r="E28" s="28"/>
      <c r="L28" s="28"/>
      <c r="P28" s="28"/>
      <c r="Q28" s="27"/>
    </row>
    <row r="29" spans="1:17" ht="17.649999999999999" customHeight="1" x14ac:dyDescent="0.25">
      <c r="A29" s="27"/>
      <c r="B29" s="28"/>
      <c r="C29" s="28"/>
      <c r="D29" s="28"/>
      <c r="E29" s="28"/>
      <c r="L29" s="28"/>
      <c r="P29" s="28"/>
      <c r="Q29" s="27"/>
    </row>
    <row r="30" spans="1:17" ht="17.649999999999999" customHeight="1" x14ac:dyDescent="0.25">
      <c r="A30" s="27"/>
      <c r="B30" s="28"/>
      <c r="C30" s="28"/>
      <c r="D30" s="28"/>
      <c r="E30" s="28"/>
      <c r="L30" s="28"/>
      <c r="P30" s="28"/>
      <c r="Q30" s="27"/>
    </row>
    <row r="31" spans="1:17" ht="17.649999999999999" customHeight="1" x14ac:dyDescent="0.25">
      <c r="A31" s="27"/>
      <c r="B31" s="28"/>
      <c r="C31" s="28"/>
      <c r="D31" s="28"/>
      <c r="E31" s="28"/>
      <c r="L31" s="28"/>
      <c r="P31" s="28"/>
      <c r="Q31" s="27"/>
    </row>
    <row r="32" spans="1:17" ht="17.649999999999999" customHeight="1" x14ac:dyDescent="0.25">
      <c r="A32" s="27"/>
      <c r="B32" s="28"/>
      <c r="C32" s="28"/>
      <c r="D32" s="28"/>
      <c r="E32" s="28"/>
      <c r="L32" s="28"/>
      <c r="P32" s="28"/>
      <c r="Q32" s="27"/>
    </row>
    <row r="33" spans="1:17" ht="17.649999999999999" customHeight="1" x14ac:dyDescent="0.25">
      <c r="A33" s="27"/>
      <c r="B33" s="28"/>
      <c r="C33" s="28"/>
      <c r="D33" s="28"/>
      <c r="E33" s="28"/>
      <c r="L33" s="28"/>
      <c r="P33" s="28"/>
      <c r="Q33" s="27"/>
    </row>
    <row r="34" spans="1:17" ht="17.649999999999999" customHeight="1" x14ac:dyDescent="0.25">
      <c r="A34" s="27"/>
      <c r="B34" s="28"/>
      <c r="C34" s="28"/>
      <c r="D34" s="28"/>
      <c r="E34" s="28"/>
      <c r="L34" s="28"/>
      <c r="P34" s="28"/>
      <c r="Q34" s="27"/>
    </row>
    <row r="35" spans="1:17" ht="17.649999999999999" customHeight="1" x14ac:dyDescent="0.25">
      <c r="A35" s="27"/>
      <c r="B35" s="28"/>
      <c r="C35" s="28"/>
      <c r="D35" s="28"/>
      <c r="E35" s="28"/>
      <c r="L35" s="28"/>
      <c r="P35" s="28"/>
      <c r="Q35" s="27"/>
    </row>
    <row r="36" spans="1:17" ht="17.649999999999999" customHeight="1" x14ac:dyDescent="0.25">
      <c r="A36" s="27"/>
      <c r="B36" s="28"/>
      <c r="C36" s="28"/>
      <c r="D36" s="28"/>
      <c r="E36" s="28"/>
      <c r="L36" s="28"/>
      <c r="P36" s="28"/>
      <c r="Q36" s="27"/>
    </row>
    <row r="37" spans="1:17" ht="17.649999999999999" customHeight="1" x14ac:dyDescent="0.25">
      <c r="A37" s="27"/>
      <c r="B37" s="28"/>
      <c r="C37" s="28"/>
      <c r="D37" s="28"/>
      <c r="E37" s="28"/>
      <c r="L37" s="28"/>
      <c r="P37" s="28"/>
      <c r="Q37" s="27"/>
    </row>
    <row r="38" spans="1:17" ht="17.649999999999999" customHeight="1" x14ac:dyDescent="0.25">
      <c r="A38" s="27"/>
      <c r="B38" s="28"/>
      <c r="C38" s="28"/>
      <c r="D38" s="28"/>
      <c r="E38" s="28"/>
      <c r="L38" s="28"/>
      <c r="P38" s="28"/>
      <c r="Q38" s="27"/>
    </row>
    <row r="39" spans="1:17" ht="17.649999999999999" customHeight="1" x14ac:dyDescent="0.25">
      <c r="A39" s="27"/>
      <c r="B39" s="28"/>
      <c r="C39" s="28"/>
      <c r="D39" s="28"/>
      <c r="E39" s="28"/>
      <c r="L39" s="28"/>
      <c r="P39" s="28"/>
      <c r="Q39" s="27"/>
    </row>
    <row r="40" spans="1:17" ht="17.649999999999999" customHeight="1" x14ac:dyDescent="0.25">
      <c r="A40" s="27"/>
      <c r="B40" s="28"/>
      <c r="C40" s="28"/>
      <c r="D40" s="28"/>
      <c r="E40" s="28"/>
      <c r="L40" s="28"/>
      <c r="P40" s="28"/>
      <c r="Q40" s="27"/>
    </row>
    <row r="41" spans="1:17" ht="17.649999999999999" customHeight="1" x14ac:dyDescent="0.25">
      <c r="A41" s="27"/>
      <c r="B41" s="28"/>
      <c r="C41" s="28"/>
      <c r="D41" s="28"/>
      <c r="E41" s="28"/>
      <c r="L41" s="28"/>
      <c r="P41" s="28"/>
      <c r="Q41" s="27"/>
    </row>
    <row r="42" spans="1:17" ht="17.649999999999999" customHeight="1" x14ac:dyDescent="0.25">
      <c r="A42" s="27"/>
      <c r="B42" s="28"/>
      <c r="C42" s="28"/>
      <c r="D42" s="28"/>
      <c r="E42" s="28"/>
      <c r="L42" s="28"/>
      <c r="P42" s="28"/>
      <c r="Q42" s="27"/>
    </row>
    <row r="43" spans="1:17" ht="17.649999999999999" customHeight="1" x14ac:dyDescent="0.25">
      <c r="A43" s="27"/>
      <c r="B43" s="28"/>
      <c r="C43" s="28"/>
      <c r="D43" s="28"/>
      <c r="E43" s="28"/>
      <c r="L43" s="28"/>
      <c r="P43" s="28"/>
      <c r="Q43" s="27"/>
    </row>
    <row r="44" spans="1:17" ht="17.649999999999999" customHeight="1" x14ac:dyDescent="0.25">
      <c r="A44" s="27"/>
      <c r="B44" s="28"/>
      <c r="C44" s="28"/>
      <c r="D44" s="28"/>
      <c r="E44" s="28"/>
      <c r="L44" s="28"/>
      <c r="P44" s="28"/>
      <c r="Q44" s="27"/>
    </row>
    <row r="45" spans="1:17" x14ac:dyDescent="0.25">
      <c r="A45" s="27"/>
      <c r="B45" s="28"/>
      <c r="C45" s="28"/>
      <c r="D45" s="28"/>
      <c r="E45" s="28"/>
      <c r="L45" s="28"/>
      <c r="P45" s="28"/>
    </row>
  </sheetData>
  <printOptions horizontalCentered="1"/>
  <pageMargins left="0.25" right="0.25" top="1" bottom="0.75" header="0.3" footer="0.3"/>
  <pageSetup scale="48" fitToHeight="0" orientation="landscape" r:id="rId1"/>
  <headerFooter scaleWithDoc="0">
    <oddHeader>&amp;Rpptb-adad-nov18item03
Attachment 6
Page &amp;P of &amp;N</oddHeader>
    <oddFooter>Page &amp;P of &amp;N</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6"/>
  <sheetViews>
    <sheetView zoomScaleNormal="100" workbookViewId="0"/>
  </sheetViews>
  <sheetFormatPr defaultColWidth="8.7109375" defaultRowHeight="14.25" x14ac:dyDescent="0.2"/>
  <cols>
    <col min="1" max="1" width="65.7109375" style="1" customWidth="1"/>
    <col min="2" max="2" width="15.28515625" style="1" customWidth="1"/>
    <col min="3" max="3" width="16.5703125" style="3" customWidth="1"/>
    <col min="4" max="4" width="16.42578125" style="3" customWidth="1"/>
    <col min="5" max="5" width="16" style="3" customWidth="1"/>
    <col min="6" max="6" width="17.140625" style="4" customWidth="1"/>
    <col min="7" max="7" width="16.42578125" style="4" customWidth="1"/>
    <col min="8" max="8" width="17.5703125" style="4" customWidth="1"/>
    <col min="9" max="9" width="14" style="4" customWidth="1"/>
    <col min="10" max="11" width="16.85546875" style="4" customWidth="1"/>
    <col min="12" max="12" width="17.140625" style="1" bestFit="1" customWidth="1"/>
    <col min="13" max="13" width="12.42578125" style="1" bestFit="1" customWidth="1"/>
    <col min="14" max="14" width="8" style="1" bestFit="1" customWidth="1"/>
    <col min="15" max="15" width="15.7109375" style="1" bestFit="1" customWidth="1"/>
    <col min="16" max="16" width="14" style="1" bestFit="1" customWidth="1"/>
    <col min="17" max="16384" width="8.7109375" style="1"/>
  </cols>
  <sheetData>
    <row r="1" spans="1:16" ht="26.25" x14ac:dyDescent="0.4">
      <c r="A1" s="113" t="s">
        <v>68</v>
      </c>
    </row>
    <row r="2" spans="1:16" s="2" customFormat="1" ht="20.25" x14ac:dyDescent="0.3">
      <c r="A2" s="17" t="s">
        <v>39</v>
      </c>
      <c r="B2" s="5"/>
      <c r="C2" s="5"/>
      <c r="D2" s="5"/>
      <c r="E2" s="5"/>
      <c r="F2" s="5"/>
      <c r="G2" s="5"/>
      <c r="H2" s="5"/>
      <c r="I2" s="5"/>
      <c r="J2" s="5"/>
      <c r="K2" s="5"/>
    </row>
    <row r="3" spans="1:16" s="121" customFormat="1" ht="18.75" x14ac:dyDescent="0.3">
      <c r="A3" s="120" t="s">
        <v>69</v>
      </c>
      <c r="B3" s="118"/>
      <c r="C3" s="118"/>
      <c r="D3" s="118"/>
      <c r="E3" s="118"/>
      <c r="F3" s="118"/>
      <c r="G3" s="118"/>
      <c r="H3" s="118"/>
      <c r="I3" s="118"/>
      <c r="J3" s="118"/>
      <c r="K3" s="118"/>
    </row>
    <row r="4" spans="1:16" s="2" customFormat="1" ht="36" x14ac:dyDescent="0.25">
      <c r="A4" s="16" t="s">
        <v>0</v>
      </c>
      <c r="B4" s="26"/>
      <c r="C4" s="26"/>
      <c r="D4" s="26"/>
      <c r="E4" s="26"/>
      <c r="F4" s="26"/>
      <c r="G4" s="26"/>
      <c r="H4" s="26"/>
      <c r="I4" s="104"/>
      <c r="J4" s="26"/>
      <c r="K4" s="26"/>
    </row>
    <row r="5" spans="1:16" s="2" customFormat="1" ht="20.25" x14ac:dyDescent="0.3">
      <c r="A5" s="100" t="s">
        <v>40</v>
      </c>
      <c r="B5" s="98"/>
      <c r="C5" s="98"/>
      <c r="D5" s="98"/>
      <c r="E5" s="98"/>
      <c r="F5" s="98"/>
      <c r="G5" s="98"/>
      <c r="H5" s="98"/>
      <c r="I5" s="98"/>
      <c r="J5" s="98"/>
      <c r="K5" s="98"/>
      <c r="L5" s="99"/>
    </row>
    <row r="6" spans="1:16" s="2" customFormat="1" ht="31.5" x14ac:dyDescent="0.25">
      <c r="A6" s="9" t="s">
        <v>2</v>
      </c>
      <c r="B6" s="18" t="s">
        <v>41</v>
      </c>
      <c r="C6" s="18" t="s">
        <v>42</v>
      </c>
      <c r="D6" s="18" t="s">
        <v>60</v>
      </c>
      <c r="E6" s="18" t="s">
        <v>63</v>
      </c>
      <c r="F6" s="18" t="s">
        <v>43</v>
      </c>
      <c r="G6" s="18" t="s">
        <v>61</v>
      </c>
      <c r="H6" s="18" t="s">
        <v>64</v>
      </c>
      <c r="I6" s="18" t="s">
        <v>44</v>
      </c>
      <c r="J6" s="50" t="s">
        <v>62</v>
      </c>
      <c r="K6" s="50" t="s">
        <v>65</v>
      </c>
      <c r="L6" s="10" t="s">
        <v>3</v>
      </c>
    </row>
    <row r="7" spans="1:16" ht="22.15" customHeight="1" x14ac:dyDescent="0.25">
      <c r="A7" s="20" t="s">
        <v>4</v>
      </c>
      <c r="B7" s="72">
        <v>19311.25</v>
      </c>
      <c r="C7" s="73">
        <v>0</v>
      </c>
      <c r="D7" s="72">
        <v>45059.58</v>
      </c>
      <c r="E7" s="72">
        <f>Table33[[#This Row],[TASK 2]]+Table33[[#This Row],[TASK 2 Credit]]</f>
        <v>45059.58</v>
      </c>
      <c r="F7" s="72">
        <v>0</v>
      </c>
      <c r="G7" s="72">
        <v>0</v>
      </c>
      <c r="H7" s="72">
        <f>Table33[[#This Row],[TASK 3]]+Table33[[#This Row],[TASK 3 Credit]]</f>
        <v>0</v>
      </c>
      <c r="I7" s="72">
        <v>2758.75</v>
      </c>
      <c r="J7" s="74">
        <f>27587.5-Table33[[#This Row],[TASK 4]]</f>
        <v>24828.75</v>
      </c>
      <c r="K7" s="74">
        <v>27587.5</v>
      </c>
      <c r="L7" s="75">
        <f>SUM(Table33[[#This Row],[TASK 1]],Table33[[#This Row],[Task 2 TOTAL]],Table33[[#This Row],[Task 3 TOTAL]],Table33[[#This Row],[Task 4 TOTAL]])</f>
        <v>91958.33</v>
      </c>
    </row>
    <row r="8" spans="1:16" ht="22.15" customHeight="1" x14ac:dyDescent="0.25">
      <c r="A8" s="20" t="s">
        <v>5</v>
      </c>
      <c r="B8" s="72">
        <v>15529.5</v>
      </c>
      <c r="C8" s="73">
        <v>0</v>
      </c>
      <c r="D8" s="72">
        <v>36235.5</v>
      </c>
      <c r="E8" s="72">
        <f>Table33[[#This Row],[TASK 2]]+Table33[[#This Row],[TASK 2 Credit]]</f>
        <v>36235.5</v>
      </c>
      <c r="F8" s="72">
        <v>0</v>
      </c>
      <c r="G8" s="72">
        <v>0</v>
      </c>
      <c r="H8" s="72">
        <f>Table33[[#This Row],[TASK 3]]+Table33[[#This Row],[TASK 3 Credit]]</f>
        <v>0</v>
      </c>
      <c r="I8" s="72">
        <v>2218.5</v>
      </c>
      <c r="J8" s="74">
        <f>22185-Table33[[#This Row],[TASK 4]]</f>
        <v>19966.5</v>
      </c>
      <c r="K8" s="74">
        <v>22185</v>
      </c>
      <c r="L8" s="75">
        <f>SUM(Table33[[#This Row],[TASK 1]],Table33[[#This Row],[Task 2 TOTAL]],Table33[[#This Row],[Task 3 TOTAL]],Table33[[#This Row],[Task 4 TOTAL]])</f>
        <v>73950</v>
      </c>
      <c r="O8" s="2"/>
    </row>
    <row r="9" spans="1:16" ht="22.15" customHeight="1" x14ac:dyDescent="0.25">
      <c r="A9" s="20" t="s">
        <v>6</v>
      </c>
      <c r="B9" s="108">
        <v>11048.62</v>
      </c>
      <c r="C9" s="73">
        <v>0</v>
      </c>
      <c r="D9" s="72">
        <v>25780.13</v>
      </c>
      <c r="E9" s="72">
        <f>Table33[[#This Row],[TASK 2]]+Table33[[#This Row],[TASK 2 Credit]]</f>
        <v>25780.13</v>
      </c>
      <c r="F9" s="72">
        <v>0</v>
      </c>
      <c r="G9" s="72">
        <v>0</v>
      </c>
      <c r="H9" s="72">
        <f>Table33[[#This Row],[TASK 3]]+Table33[[#This Row],[TASK 3 Credit]]</f>
        <v>0</v>
      </c>
      <c r="I9" s="72">
        <v>1578.37</v>
      </c>
      <c r="J9" s="74">
        <f>15783.75-Table33[[#This Row],[TASK 4]]</f>
        <v>14205.380000000001</v>
      </c>
      <c r="K9" s="74">
        <v>15783.75</v>
      </c>
      <c r="L9" s="79">
        <f>SUM(Table33[[#This Row],[TASK 1]],Table33[[#This Row],[Task 2 TOTAL]],Table33[[#This Row],[Task 3 TOTAL]],Table33[[#This Row],[Task 4 TOTAL]])</f>
        <v>52612.5</v>
      </c>
      <c r="O9" s="52"/>
      <c r="P9" s="52"/>
    </row>
    <row r="10" spans="1:16" ht="22.15" customHeight="1" x14ac:dyDescent="0.25">
      <c r="A10" s="20" t="s">
        <v>7</v>
      </c>
      <c r="B10" s="72">
        <v>15529.5</v>
      </c>
      <c r="C10" s="73">
        <v>0</v>
      </c>
      <c r="D10" s="72">
        <v>36235.5</v>
      </c>
      <c r="E10" s="72">
        <f>Table33[[#This Row],[TASK 2]]+Table33[[#This Row],[TASK 2 Credit]]</f>
        <v>36235.5</v>
      </c>
      <c r="F10" s="72">
        <v>0</v>
      </c>
      <c r="G10" s="72">
        <v>0</v>
      </c>
      <c r="H10" s="72">
        <f>Table33[[#This Row],[TASK 3]]+Table33[[#This Row],[TASK 3 Credit]]</f>
        <v>0</v>
      </c>
      <c r="I10" s="72">
        <v>2218.5</v>
      </c>
      <c r="J10" s="74">
        <f>22185-Table33[[#This Row],[TASK 4]]</f>
        <v>19966.5</v>
      </c>
      <c r="K10" s="74">
        <v>22185</v>
      </c>
      <c r="L10" s="75">
        <f>SUM(Table33[[#This Row],[TASK 1]],Table33[[#This Row],[Task 2 TOTAL]],Table33[[#This Row],[Task 3 TOTAL]],Table33[[#This Row],[Task 4 TOTAL]])</f>
        <v>73950</v>
      </c>
      <c r="O10" s="51"/>
      <c r="P10" s="51"/>
    </row>
    <row r="11" spans="1:16" s="2" customFormat="1" ht="22.15" customHeight="1" x14ac:dyDescent="0.25">
      <c r="A11" s="11" t="s">
        <v>8</v>
      </c>
      <c r="B11" s="76">
        <f>SUM(B7:B10)</f>
        <v>61418.87</v>
      </c>
      <c r="C11" s="77">
        <f>SUM(C7:C10)</f>
        <v>0</v>
      </c>
      <c r="D11" s="78">
        <f>SUM(D7:D10)</f>
        <v>143310.71000000002</v>
      </c>
      <c r="E11" s="78">
        <f>Table33[[#This Row],[TASK 2]]+Table33[[#This Row],[TASK 2 Credit]]</f>
        <v>143310.71000000002</v>
      </c>
      <c r="F11" s="78">
        <f>SUM(F7:F10)</f>
        <v>0</v>
      </c>
      <c r="G11" s="78">
        <v>0</v>
      </c>
      <c r="H11" s="78">
        <f>Table33[[#This Row],[TASK 3]]+Table33[[#This Row],[TASK 3 Credit]]</f>
        <v>0</v>
      </c>
      <c r="I11" s="75">
        <f>SUM(I7:I10)</f>
        <v>8774.119999999999</v>
      </c>
      <c r="J11" s="75">
        <f>SUM(J7:J10)</f>
        <v>78967.13</v>
      </c>
      <c r="K11" s="75">
        <f>SUM(Table33[[#This Row],[TASK 4]:[TASK 4 Credit]])</f>
        <v>87741.25</v>
      </c>
      <c r="L11" s="79">
        <f>SUM(Table33[[#This Row],[TASK 1]],Table33[[#This Row],[Task 2 TOTAL]],Table33[[#This Row],[Task 3 TOTAL]],Table33[[#This Row],[Task 4 TOTAL]])</f>
        <v>292470.83</v>
      </c>
      <c r="N11" s="22"/>
      <c r="O11" s="54"/>
      <c r="P11" s="54"/>
    </row>
    <row r="12" spans="1:16" ht="22.15" customHeight="1" x14ac:dyDescent="0.25">
      <c r="A12" s="20" t="s">
        <v>4</v>
      </c>
      <c r="B12" s="72">
        <v>6909.7</v>
      </c>
      <c r="C12" s="73">
        <v>0</v>
      </c>
      <c r="D12" s="72">
        <v>16122.63</v>
      </c>
      <c r="E12" s="72">
        <f>Table33[[#This Row],[TASK 2]]+Table33[[#This Row],[TASK 2 Credit]]</f>
        <v>16122.63</v>
      </c>
      <c r="F12" s="72">
        <v>0</v>
      </c>
      <c r="G12" s="72">
        <v>0</v>
      </c>
      <c r="H12" s="72">
        <f>Table33[[#This Row],[TASK 3]]+Table33[[#This Row],[TASK 3 Credit]]</f>
        <v>0</v>
      </c>
      <c r="I12" s="72">
        <v>987.1</v>
      </c>
      <c r="J12" s="74">
        <f>9871-Table33[[#This Row],[TASK 4]]</f>
        <v>8883.9</v>
      </c>
      <c r="K12" s="74">
        <v>9871</v>
      </c>
      <c r="L12" s="75">
        <f>SUM(Table33[[#This Row],[TASK 1]],Table33[[#This Row],[Task 2 TOTAL]],Table33[[#This Row],[Task 3 TOTAL]],Table33[[#This Row],[Task 4 TOTAL]])</f>
        <v>32903.33</v>
      </c>
      <c r="N12" s="23"/>
    </row>
    <row r="13" spans="1:16" ht="22.15" customHeight="1" x14ac:dyDescent="0.25">
      <c r="A13" s="20" t="s">
        <v>5</v>
      </c>
      <c r="B13" s="72">
        <v>5774.58</v>
      </c>
      <c r="C13" s="73">
        <v>0</v>
      </c>
      <c r="D13" s="72">
        <v>13474.02</v>
      </c>
      <c r="E13" s="72">
        <f>Table33[[#This Row],[TASK 2]]+Table33[[#This Row],[TASK 2 Credit]]</f>
        <v>13474.02</v>
      </c>
      <c r="F13" s="72">
        <v>0</v>
      </c>
      <c r="G13" s="72">
        <v>0</v>
      </c>
      <c r="H13" s="72">
        <f>Table33[[#This Row],[TASK 3]]+Table33[[#This Row],[TASK 3 Credit]]</f>
        <v>0</v>
      </c>
      <c r="I13" s="72">
        <v>824.94</v>
      </c>
      <c r="J13" s="74">
        <f>8249.4-Table33[[#This Row],[TASK 4]]</f>
        <v>7424.4599999999991</v>
      </c>
      <c r="K13" s="74">
        <v>8249.4</v>
      </c>
      <c r="L13" s="75">
        <f>SUM(Table33[[#This Row],[TASK 1]],Table33[[#This Row],[Task 2 TOTAL]],Table33[[#This Row],[Task 3 TOTAL]],Table33[[#This Row],[Task 4 TOTAL]])</f>
        <v>27498</v>
      </c>
      <c r="N13" s="23"/>
    </row>
    <row r="14" spans="1:16" ht="22.15" customHeight="1" x14ac:dyDescent="0.25">
      <c r="A14" s="20" t="s">
        <v>6</v>
      </c>
      <c r="B14" s="72">
        <v>4699.17</v>
      </c>
      <c r="C14" s="73">
        <v>0</v>
      </c>
      <c r="D14" s="72">
        <v>10964.73</v>
      </c>
      <c r="E14" s="72">
        <f>Table33[[#This Row],[TASK 2]]+Table33[[#This Row],[TASK 2 Credit]]</f>
        <v>10964.73</v>
      </c>
      <c r="F14" s="72">
        <v>0</v>
      </c>
      <c r="G14" s="72">
        <v>0</v>
      </c>
      <c r="H14" s="72">
        <f>Table33[[#This Row],[TASK 3]]+Table33[[#This Row],[TASK 3 Credit]]</f>
        <v>0</v>
      </c>
      <c r="I14" s="72">
        <v>671.31</v>
      </c>
      <c r="J14" s="74">
        <f>6713.1-Table33[[#This Row],[TASK 4]]</f>
        <v>6041.7900000000009</v>
      </c>
      <c r="K14" s="74">
        <v>6713.0999999999995</v>
      </c>
      <c r="L14" s="75">
        <f>SUM(Table33[[#This Row],[TASK 1]],Table33[[#This Row],[Task 2 TOTAL]],Table33[[#This Row],[Task 3 TOTAL]],Table33[[#This Row],[Task 4 TOTAL]])</f>
        <v>22377</v>
      </c>
      <c r="N14" s="23"/>
    </row>
    <row r="15" spans="1:16" ht="22.15" customHeight="1" x14ac:dyDescent="0.25">
      <c r="A15" s="20" t="s">
        <v>7</v>
      </c>
      <c r="B15" s="72">
        <v>5774.58</v>
      </c>
      <c r="C15" s="73">
        <v>0</v>
      </c>
      <c r="D15" s="72">
        <v>13474.02</v>
      </c>
      <c r="E15" s="72">
        <f>Table33[[#This Row],[TASK 2]]+Table33[[#This Row],[TASK 2 Credit]]</f>
        <v>13474.02</v>
      </c>
      <c r="F15" s="72">
        <v>0</v>
      </c>
      <c r="G15" s="72">
        <v>0</v>
      </c>
      <c r="H15" s="72">
        <f>Table33[[#This Row],[TASK 3]]+Table33[[#This Row],[TASK 3 Credit]]</f>
        <v>0</v>
      </c>
      <c r="I15" s="72">
        <v>824.94</v>
      </c>
      <c r="J15" s="74">
        <f>8249.4-Table33[[#This Row],[TASK 4]]</f>
        <v>7424.4599999999991</v>
      </c>
      <c r="K15" s="74">
        <v>8249.4</v>
      </c>
      <c r="L15" s="75">
        <f>SUM(Table33[[#This Row],[TASK 1]],Table33[[#This Row],[Task 2 TOTAL]],Table33[[#This Row],[Task 3 TOTAL]],Table33[[#This Row],[Task 4 TOTAL]])</f>
        <v>27498</v>
      </c>
      <c r="N15" s="23"/>
    </row>
    <row r="16" spans="1:16" s="2" customFormat="1" ht="22.15" customHeight="1" x14ac:dyDescent="0.25">
      <c r="A16" s="8" t="s">
        <v>9</v>
      </c>
      <c r="B16" s="76">
        <f>SUM(B12:B15)</f>
        <v>23158.03</v>
      </c>
      <c r="C16" s="77">
        <f>SUM(C12:C15)</f>
        <v>0</v>
      </c>
      <c r="D16" s="76">
        <f>SUM(D12:D15)</f>
        <v>54035.400000000009</v>
      </c>
      <c r="E16" s="76">
        <f>Table33[[#This Row],[TASK 2]]+Table33[[#This Row],[TASK 2 Credit]]</f>
        <v>54035.400000000009</v>
      </c>
      <c r="F16" s="76">
        <f>SUM(F12:F15)</f>
        <v>0</v>
      </c>
      <c r="G16" s="76">
        <v>0</v>
      </c>
      <c r="H16" s="76">
        <f>Table33[[#This Row],[TASK 3]]+Table33[[#This Row],[TASK 3 Credit]]</f>
        <v>0</v>
      </c>
      <c r="I16" s="79">
        <f>SUM(I12:I15)</f>
        <v>3308.29</v>
      </c>
      <c r="J16" s="79">
        <f>SUM(J12:J15)</f>
        <v>29774.61</v>
      </c>
      <c r="K16" s="79">
        <f>SUM(Table33[[#This Row],[TASK 4]:[TASK 4 Credit]])</f>
        <v>33082.9</v>
      </c>
      <c r="L16" s="75">
        <f>SUM(Table33[[#This Row],[TASK 1]],Table33[[#This Row],[Task 2 TOTAL]],Table33[[#This Row],[Task 3 TOTAL]],Table33[[#This Row],[Task 4 TOTAL]])</f>
        <v>110276.33000000002</v>
      </c>
      <c r="N16" s="22"/>
      <c r="O16" s="54"/>
      <c r="P16" s="54"/>
    </row>
    <row r="17" spans="1:16" ht="22.15" customHeight="1" x14ac:dyDescent="0.25">
      <c r="A17" s="20" t="s">
        <v>10</v>
      </c>
      <c r="B17" s="72">
        <v>0</v>
      </c>
      <c r="C17" s="73">
        <v>0</v>
      </c>
      <c r="D17" s="72">
        <v>0</v>
      </c>
      <c r="E17" s="72">
        <f>Table33[[#This Row],[TASK 2]]+Table33[[#This Row],[TASK 2 Credit]]</f>
        <v>0</v>
      </c>
      <c r="F17" s="72">
        <v>0</v>
      </c>
      <c r="G17" s="72">
        <v>0</v>
      </c>
      <c r="H17" s="72">
        <f>Table33[[#This Row],[TASK 3]]+Table33[[#This Row],[TASK 3 Credit]]</f>
        <v>0</v>
      </c>
      <c r="I17" s="72">
        <v>1364.04</v>
      </c>
      <c r="J17" s="74">
        <f>4800-Table33[[#This Row],[TASK 4]]</f>
        <v>3435.96</v>
      </c>
      <c r="K17" s="74">
        <v>4800</v>
      </c>
      <c r="L17" s="75">
        <f>SUM(Table33[[#This Row],[TASK 1]],Table33[[#This Row],[Task 2 TOTAL]],Table33[[#This Row],[Task 3 TOTAL]],Table33[[#This Row],[Task 4 TOTAL]])</f>
        <v>4800</v>
      </c>
      <c r="N17" s="23"/>
    </row>
    <row r="18" spans="1:16" s="2" customFormat="1" ht="22.15" customHeight="1" x14ac:dyDescent="0.25">
      <c r="A18" s="8" t="s">
        <v>11</v>
      </c>
      <c r="B18" s="78">
        <f>SUM(B17)</f>
        <v>0</v>
      </c>
      <c r="C18" s="77">
        <f>SUM(C17)</f>
        <v>0</v>
      </c>
      <c r="D18" s="78">
        <f>SUM(D17)</f>
        <v>0</v>
      </c>
      <c r="E18" s="78">
        <f>Table33[[#This Row],[TASK 2]]+Table33[[#This Row],[TASK 2 Credit]]</f>
        <v>0</v>
      </c>
      <c r="F18" s="78">
        <f>SUM(F17)</f>
        <v>0</v>
      </c>
      <c r="G18" s="78">
        <v>0</v>
      </c>
      <c r="H18" s="78">
        <f>Table33[[#This Row],[TASK 3]]+Table33[[#This Row],[TASK 3 Credit]]</f>
        <v>0</v>
      </c>
      <c r="I18" s="79">
        <f>I17</f>
        <v>1364.04</v>
      </c>
      <c r="J18" s="75">
        <f>J17</f>
        <v>3435.96</v>
      </c>
      <c r="K18" s="75">
        <f>SUM(Table33[[#This Row],[TASK 4]:[TASK 4 Credit]])</f>
        <v>4800</v>
      </c>
      <c r="L18" s="75">
        <f>SUM(Table33[[#This Row],[TASK 1]],Table33[[#This Row],[Task 2 TOTAL]],Table33[[#This Row],[Task 3 TOTAL]],Table33[[#This Row],[Task 4 TOTAL]])</f>
        <v>4800</v>
      </c>
      <c r="N18" s="22"/>
      <c r="O18" s="54"/>
      <c r="P18" s="54"/>
    </row>
    <row r="19" spans="1:16" s="2" customFormat="1" ht="22.15" customHeight="1" x14ac:dyDescent="0.25">
      <c r="A19" s="20" t="s">
        <v>12</v>
      </c>
      <c r="B19" s="80">
        <v>0</v>
      </c>
      <c r="C19" s="73">
        <v>0</v>
      </c>
      <c r="D19" s="80">
        <v>0</v>
      </c>
      <c r="E19" s="80">
        <f>Table33[[#This Row],[TASK 2]]+Table33[[#This Row],[TASK 2 Credit]]</f>
        <v>0</v>
      </c>
      <c r="F19" s="80">
        <v>0</v>
      </c>
      <c r="G19" s="80">
        <v>0</v>
      </c>
      <c r="H19" s="80">
        <f>Table33[[#This Row],[TASK 3]]+Table33[[#This Row],[TASK 3 Credit]]</f>
        <v>0</v>
      </c>
      <c r="I19" s="80">
        <v>0</v>
      </c>
      <c r="J19" s="81">
        <v>0</v>
      </c>
      <c r="K19" s="81">
        <v>0</v>
      </c>
      <c r="L19" s="75">
        <f>SUM(Table33[[#This Row],[TASK 1]],Table33[[#This Row],[Task 2 TOTAL]],Table33[[#This Row],[Task 3 TOTAL]],Table33[[#This Row],[Task 4 TOTAL]])</f>
        <v>0</v>
      </c>
      <c r="N19" s="22"/>
    </row>
    <row r="20" spans="1:16" ht="22.15" customHeight="1" x14ac:dyDescent="0.25">
      <c r="A20" s="20" t="s">
        <v>13</v>
      </c>
      <c r="B20" s="80">
        <v>500</v>
      </c>
      <c r="C20" s="73">
        <v>0</v>
      </c>
      <c r="D20" s="80">
        <v>0</v>
      </c>
      <c r="E20" s="80">
        <f>Table33[[#This Row],[TASK 2]]+Table33[[#This Row],[TASK 2 Credit]]</f>
        <v>0</v>
      </c>
      <c r="F20" s="72">
        <v>0</v>
      </c>
      <c r="G20" s="72">
        <v>0</v>
      </c>
      <c r="H20" s="72">
        <f>Table33[[#This Row],[TASK 3]]+Table33[[#This Row],[TASK 3 Credit]]</f>
        <v>0</v>
      </c>
      <c r="I20" s="72">
        <v>0</v>
      </c>
      <c r="J20" s="74">
        <v>0</v>
      </c>
      <c r="K20" s="74">
        <v>0</v>
      </c>
      <c r="L20" s="75">
        <f>SUM(Table33[[#This Row],[TASK 1]],Table33[[#This Row],[Task 2 TOTAL]],Table33[[#This Row],[Task 3 TOTAL]],Table33[[#This Row],[Task 4 TOTAL]])</f>
        <v>500</v>
      </c>
      <c r="N20" s="23"/>
    </row>
    <row r="21" spans="1:16" ht="22.15" customHeight="1" x14ac:dyDescent="0.25">
      <c r="A21" s="20" t="s">
        <v>14</v>
      </c>
      <c r="B21" s="80">
        <v>7768.5</v>
      </c>
      <c r="C21" s="73">
        <v>0</v>
      </c>
      <c r="D21" s="80">
        <v>0</v>
      </c>
      <c r="E21" s="80">
        <f>Table33[[#This Row],[TASK 2]]+Table33[[#This Row],[TASK 2 Credit]]</f>
        <v>0</v>
      </c>
      <c r="F21" s="72">
        <v>0</v>
      </c>
      <c r="G21" s="72">
        <v>0</v>
      </c>
      <c r="H21" s="72">
        <f>Table33[[#This Row],[TASK 3]]+Table33[[#This Row],[TASK 3 Credit]]</f>
        <v>0</v>
      </c>
      <c r="I21" s="72">
        <v>0</v>
      </c>
      <c r="J21" s="74">
        <v>0</v>
      </c>
      <c r="K21" s="74">
        <v>0</v>
      </c>
      <c r="L21" s="75">
        <f>SUM(Table33[[#This Row],[TASK 1]],Table33[[#This Row],[Task 2 TOTAL]],Table33[[#This Row],[Task 3 TOTAL]],Table33[[#This Row],[Task 4 TOTAL]])</f>
        <v>7768.5</v>
      </c>
      <c r="N21" s="23"/>
    </row>
    <row r="22" spans="1:16" ht="22.15" customHeight="1" x14ac:dyDescent="0.25">
      <c r="A22" s="20" t="s">
        <v>15</v>
      </c>
      <c r="B22" s="80">
        <v>588</v>
      </c>
      <c r="C22" s="73">
        <v>0</v>
      </c>
      <c r="D22" s="80">
        <v>0</v>
      </c>
      <c r="E22" s="80">
        <f>Table33[[#This Row],[TASK 2]]+Table33[[#This Row],[TASK 2 Credit]]</f>
        <v>0</v>
      </c>
      <c r="F22" s="72">
        <v>0</v>
      </c>
      <c r="G22" s="72">
        <v>0</v>
      </c>
      <c r="H22" s="72">
        <f>Table33[[#This Row],[TASK 3]]+Table33[[#This Row],[TASK 3 Credit]]</f>
        <v>0</v>
      </c>
      <c r="I22" s="72">
        <v>0</v>
      </c>
      <c r="J22" s="74">
        <v>0</v>
      </c>
      <c r="K22" s="74">
        <v>0</v>
      </c>
      <c r="L22" s="75">
        <f>SUM(Table33[[#This Row],[TASK 1]],Table33[[#This Row],[Task 2 TOTAL]],Table33[[#This Row],[Task 3 TOTAL]],Table33[[#This Row],[Task 4 TOTAL]])</f>
        <v>588</v>
      </c>
      <c r="N22" s="23"/>
    </row>
    <row r="23" spans="1:16" ht="22.15" customHeight="1" x14ac:dyDescent="0.25">
      <c r="A23" s="20" t="s">
        <v>16</v>
      </c>
      <c r="B23" s="80">
        <v>0</v>
      </c>
      <c r="C23" s="73">
        <v>0</v>
      </c>
      <c r="D23" s="80">
        <v>0</v>
      </c>
      <c r="E23" s="80">
        <f>Table33[[#This Row],[TASK 2]]+Table33[[#This Row],[TASK 2 Credit]]</f>
        <v>0</v>
      </c>
      <c r="F23" s="80">
        <v>0</v>
      </c>
      <c r="G23" s="80">
        <v>0</v>
      </c>
      <c r="H23" s="80">
        <f>Table33[[#This Row],[TASK 3]]+Table33[[#This Row],[TASK 3 Credit]]</f>
        <v>0</v>
      </c>
      <c r="I23" s="80">
        <v>0</v>
      </c>
      <c r="J23" s="81">
        <v>0</v>
      </c>
      <c r="K23" s="81">
        <v>0</v>
      </c>
      <c r="L23" s="75">
        <f>SUM(Table33[[#This Row],[TASK 1]],Table33[[#This Row],[Task 2 TOTAL]],Table33[[#This Row],[Task 3 TOTAL]],Table33[[#This Row],[Task 4 TOTAL]])</f>
        <v>0</v>
      </c>
      <c r="N23" s="23"/>
    </row>
    <row r="24" spans="1:16" ht="22.15" customHeight="1" x14ac:dyDescent="0.25">
      <c r="A24" s="20" t="s">
        <v>17</v>
      </c>
      <c r="B24" s="80">
        <v>0</v>
      </c>
      <c r="C24" s="73">
        <v>0</v>
      </c>
      <c r="D24" s="80">
        <v>0</v>
      </c>
      <c r="E24" s="80">
        <f>Table33[[#This Row],[TASK 2]]+Table33[[#This Row],[TASK 2 Credit]]</f>
        <v>0</v>
      </c>
      <c r="F24" s="80">
        <v>0</v>
      </c>
      <c r="G24" s="80">
        <v>0</v>
      </c>
      <c r="H24" s="80">
        <f>Table33[[#This Row],[TASK 3]]+Table33[[#This Row],[TASK 3 Credit]]</f>
        <v>0</v>
      </c>
      <c r="I24" s="80">
        <v>0</v>
      </c>
      <c r="J24" s="81">
        <v>0</v>
      </c>
      <c r="K24" s="81">
        <v>0</v>
      </c>
      <c r="L24" s="75">
        <f>SUM(Table33[[#This Row],[TASK 1]],Table33[[#This Row],[Task 2 TOTAL]],Table33[[#This Row],[Task 3 TOTAL]],Table33[[#This Row],[Task 4 TOTAL]])</f>
        <v>0</v>
      </c>
      <c r="N24" s="23"/>
    </row>
    <row r="25" spans="1:16" ht="22.15" customHeight="1" x14ac:dyDescent="0.25">
      <c r="A25" s="20" t="s">
        <v>18</v>
      </c>
      <c r="B25" s="80">
        <v>0</v>
      </c>
      <c r="C25" s="73">
        <v>0</v>
      </c>
      <c r="D25" s="80">
        <v>0</v>
      </c>
      <c r="E25" s="80">
        <f>Table33[[#This Row],[TASK 2]]+Table33[[#This Row],[TASK 2 Credit]]</f>
        <v>0</v>
      </c>
      <c r="F25" s="80">
        <v>0</v>
      </c>
      <c r="G25" s="80">
        <v>0</v>
      </c>
      <c r="H25" s="80">
        <f>Table33[[#This Row],[TASK 3]]+Table33[[#This Row],[TASK 3 Credit]]</f>
        <v>0</v>
      </c>
      <c r="I25" s="80">
        <v>0</v>
      </c>
      <c r="J25" s="81">
        <v>0</v>
      </c>
      <c r="K25" s="81">
        <v>0</v>
      </c>
      <c r="L25" s="75">
        <f>SUM(Table33[[#This Row],[TASK 1]],Table33[[#This Row],[Task 2 TOTAL]],Table33[[#This Row],[Task 3 TOTAL]],Table33[[#This Row],[Task 4 TOTAL]])</f>
        <v>0</v>
      </c>
      <c r="N25" s="23"/>
    </row>
    <row r="26" spans="1:16" ht="22.15" customHeight="1" x14ac:dyDescent="0.25">
      <c r="A26" s="20" t="s">
        <v>45</v>
      </c>
      <c r="B26" s="80">
        <v>0</v>
      </c>
      <c r="C26" s="73">
        <v>0</v>
      </c>
      <c r="D26" s="80">
        <v>0</v>
      </c>
      <c r="E26" s="80">
        <f>Table33[[#This Row],[TASK 2]]+Table33[[#This Row],[TASK 2 Credit]]</f>
        <v>0</v>
      </c>
      <c r="F26" s="80">
        <v>0</v>
      </c>
      <c r="G26" s="80">
        <v>0</v>
      </c>
      <c r="H26" s="80">
        <f>Table33[[#This Row],[TASK 3]]+Table33[[#This Row],[TASK 3 Credit]]</f>
        <v>0</v>
      </c>
      <c r="I26" s="80">
        <v>0</v>
      </c>
      <c r="J26" s="81">
        <v>0</v>
      </c>
      <c r="K26" s="81">
        <v>0</v>
      </c>
      <c r="L26" s="75">
        <f>SUM(Table33[[#This Row],[TASK 1]],Table33[[#This Row],[Task 2 TOTAL]],Table33[[#This Row],[Task 3 TOTAL]],Table33[[#This Row],[Task 4 TOTAL]])</f>
        <v>0</v>
      </c>
      <c r="N26" s="23"/>
    </row>
    <row r="27" spans="1:16" s="2" customFormat="1" ht="22.15" customHeight="1" x14ac:dyDescent="0.25">
      <c r="A27" s="8" t="s">
        <v>20</v>
      </c>
      <c r="B27" s="78">
        <f>SUM(B19:B26)</f>
        <v>8856.5</v>
      </c>
      <c r="C27" s="77">
        <f>SUM(C19:C26)</f>
        <v>0</v>
      </c>
      <c r="D27" s="78">
        <f>SUM(D19:D26)</f>
        <v>0</v>
      </c>
      <c r="E27" s="78">
        <f>Table33[[#This Row],[TASK 2]]+Table33[[#This Row],[TASK 2 Credit]]</f>
        <v>0</v>
      </c>
      <c r="F27" s="78">
        <f>SUM(F19:F26)</f>
        <v>0</v>
      </c>
      <c r="G27" s="78">
        <v>0</v>
      </c>
      <c r="H27" s="78">
        <f>Table33[[#This Row],[TASK 3]]+Table33[[#This Row],[TASK 3 Credit]]</f>
        <v>0</v>
      </c>
      <c r="I27" s="75">
        <v>0</v>
      </c>
      <c r="J27" s="75">
        <f>SUM(J19:J26)</f>
        <v>0</v>
      </c>
      <c r="K27" s="75">
        <f>SUM(Table33[[#This Row],[TASK 4]:[TASK 4 Credit]])</f>
        <v>0</v>
      </c>
      <c r="L27" s="75">
        <f>SUM(Table33[[#This Row],[TASK 1]],Table33[[#This Row],[Task 2 TOTAL]],Table33[[#This Row],[Task 3 TOTAL]],Table33[[#This Row],[Task 4 TOTAL]])</f>
        <v>8856.5</v>
      </c>
      <c r="N27" s="22"/>
    </row>
    <row r="28" spans="1:16" s="2" customFormat="1" ht="22.15" customHeight="1" x14ac:dyDescent="0.25">
      <c r="A28" s="25" t="s">
        <v>21</v>
      </c>
      <c r="B28" s="72">
        <v>0</v>
      </c>
      <c r="C28" s="73">
        <v>0</v>
      </c>
      <c r="D28" s="72">
        <v>0</v>
      </c>
      <c r="E28" s="72">
        <f>Table33[[#This Row],[TASK 2]]+Table33[[#This Row],[TASK 2 Credit]]</f>
        <v>0</v>
      </c>
      <c r="F28" s="72">
        <v>0</v>
      </c>
      <c r="G28" s="72">
        <v>0</v>
      </c>
      <c r="H28" s="72">
        <f>Table33[[#This Row],[TASK 3]]+Table33[[#This Row],[TASK 3 Credit]]</f>
        <v>0</v>
      </c>
      <c r="I28" s="74">
        <v>2400</v>
      </c>
      <c r="J28" s="74">
        <v>0</v>
      </c>
      <c r="K28" s="74">
        <f>SUM(Table33[[#This Row],[TASK 4]:[TASK 4 Credit]])</f>
        <v>2400</v>
      </c>
      <c r="L28" s="75">
        <f>SUM(Table33[[#This Row],[TASK 1]],Table33[[#This Row],[Task 2 TOTAL]],Table33[[#This Row],[Task 3 TOTAL]],Table33[[#This Row],[Task 4 TOTAL]])</f>
        <v>2400</v>
      </c>
      <c r="N28" s="22"/>
      <c r="O28" s="54"/>
      <c r="P28" s="54"/>
    </row>
    <row r="29" spans="1:16" s="2" customFormat="1" ht="22.15" customHeight="1" x14ac:dyDescent="0.25">
      <c r="A29" s="8" t="s">
        <v>22</v>
      </c>
      <c r="B29" s="72">
        <f>B27+B18+B28</f>
        <v>8856.5</v>
      </c>
      <c r="C29" s="73">
        <f>C27+C18+C28</f>
        <v>0</v>
      </c>
      <c r="D29" s="72">
        <f>D27+D18+D28</f>
        <v>0</v>
      </c>
      <c r="E29" s="72">
        <f>Table33[[#This Row],[TASK 2]]+Table33[[#This Row],[TASK 2 Credit]]</f>
        <v>0</v>
      </c>
      <c r="F29" s="72">
        <f>F27+F18+F28</f>
        <v>0</v>
      </c>
      <c r="G29" s="72">
        <v>0</v>
      </c>
      <c r="H29" s="72">
        <f>Table33[[#This Row],[TASK 3]]+Table33[[#This Row],[TASK 3 Credit]]</f>
        <v>0</v>
      </c>
      <c r="I29" s="72">
        <f>I27+I18+I28</f>
        <v>3764.04</v>
      </c>
      <c r="J29" s="74">
        <f>SUM(J18,J27,J28)</f>
        <v>3435.96</v>
      </c>
      <c r="K29" s="74">
        <f>SUM(Table33[[#This Row],[TASK 4]:[TASK 4 Credit]])</f>
        <v>7200</v>
      </c>
      <c r="L29" s="75">
        <f>SUM(Table33[[#This Row],[TASK 1]],Table33[[#This Row],[Task 2 TOTAL]],Table33[[#This Row],[Task 3 TOTAL]],Table33[[#This Row],[Task 4 TOTAL]])</f>
        <v>16056.5</v>
      </c>
      <c r="N29" s="53"/>
    </row>
    <row r="30" spans="1:16" ht="21.75" customHeight="1" x14ac:dyDescent="0.25">
      <c r="A30" s="36" t="s">
        <v>23</v>
      </c>
      <c r="B30" s="109">
        <f>B11+B16+B18+B27+B28</f>
        <v>93433.4</v>
      </c>
      <c r="C30" s="82">
        <f>C11+C16+C18+C27+C28</f>
        <v>0</v>
      </c>
      <c r="D30" s="82">
        <f>D11+D16+D18+D27+D28</f>
        <v>197346.11000000004</v>
      </c>
      <c r="E30" s="103">
        <f>Table33[[#This Row],[TASK 2]]+Table33[[#This Row],[TASK 2 Credit]]</f>
        <v>197346.11000000004</v>
      </c>
      <c r="F30" s="82">
        <f>F11+F16+F18+F27+F28</f>
        <v>0</v>
      </c>
      <c r="G30" s="82">
        <v>0</v>
      </c>
      <c r="H30" s="82">
        <f>Table33[[#This Row],[TASK 3]]+Table33[[#This Row],[TASK 3 Credit]]</f>
        <v>0</v>
      </c>
      <c r="I30" s="82">
        <f>SUM(I11,I16,I18,I27,I28)</f>
        <v>15846.45</v>
      </c>
      <c r="J30" s="83">
        <f>SUM(J11,J16,J18,J27:J28)</f>
        <v>112177.70000000001</v>
      </c>
      <c r="K30" s="83">
        <f>SUM(Table33[[#This Row],[TASK 4]:[TASK 4 Credit]])</f>
        <v>128024.15000000001</v>
      </c>
      <c r="L30" s="75">
        <f>SUM(Table33[[#This Row],[TASK 1]],Table33[[#This Row],[Task 2 TOTAL]],Table33[[#This Row],[Task 3 TOTAL]],Table33[[#This Row],[Task 4 TOTAL]])</f>
        <v>418803.66000000003</v>
      </c>
    </row>
    <row r="31" spans="1:16" ht="22.15" customHeight="1" x14ac:dyDescent="0.25">
      <c r="A31" s="7" t="s">
        <v>24</v>
      </c>
      <c r="B31" s="80">
        <f>B30*0.26</f>
        <v>24292.684000000001</v>
      </c>
      <c r="C31" s="80">
        <v>0</v>
      </c>
      <c r="D31" s="80">
        <f>D30*0.26</f>
        <v>51309.988600000012</v>
      </c>
      <c r="E31" s="80">
        <f>Table33[[#This Row],[TASK 2]]+Table33[[#This Row],[TASK 2 Credit]]</f>
        <v>51309.988600000012</v>
      </c>
      <c r="F31" s="80">
        <f>F30*0.26</f>
        <v>0</v>
      </c>
      <c r="G31" s="80">
        <v>0</v>
      </c>
      <c r="H31" s="80">
        <f>Table33[[#This Row],[TASK 3]]+Table33[[#This Row],[TASK 3 Credit]]</f>
        <v>0</v>
      </c>
      <c r="I31" s="80">
        <f>I30*0.26</f>
        <v>4120.0770000000002</v>
      </c>
      <c r="J31" s="81">
        <f>J30*0.26</f>
        <v>29166.202000000005</v>
      </c>
      <c r="K31" s="81">
        <f>SUM(Table33[[#This Row],[TASK 4]:[TASK 4 Credit]])</f>
        <v>33286.279000000002</v>
      </c>
      <c r="L31" s="75">
        <f>SUM(Table33[[#This Row],[TASK 1]],Table33[[#This Row],[Task 2 TOTAL]],Table33[[#This Row],[Task 3 TOTAL]],Table33[[#This Row],[Task 4 TOTAL]])</f>
        <v>108888.95160000003</v>
      </c>
    </row>
    <row r="32" spans="1:16" ht="22.15" customHeight="1" thickBot="1" x14ac:dyDescent="0.3">
      <c r="A32" s="106" t="s">
        <v>67</v>
      </c>
      <c r="B32" s="85">
        <v>0</v>
      </c>
      <c r="C32" s="86">
        <v>0</v>
      </c>
      <c r="D32" s="86">
        <v>0</v>
      </c>
      <c r="E32" s="85">
        <v>0</v>
      </c>
      <c r="F32" s="86">
        <v>9550000</v>
      </c>
      <c r="G32" s="86">
        <v>-390000</v>
      </c>
      <c r="H32" s="84">
        <f>Table33[[#This Row],[TASK 3]]+Table33[[#This Row],[TASK 3 Credit]]</f>
        <v>9160000</v>
      </c>
      <c r="I32" s="86">
        <v>0</v>
      </c>
      <c r="J32" s="102">
        <v>0</v>
      </c>
      <c r="K32" s="87">
        <v>0</v>
      </c>
      <c r="L32" s="75">
        <f>SUM(Table33[[#This Row],[Task 3 TOTAL]])</f>
        <v>9160000</v>
      </c>
      <c r="P32" s="24"/>
    </row>
    <row r="33" spans="1:12" ht="22.15" customHeight="1" thickTop="1" x14ac:dyDescent="0.25">
      <c r="A33" s="19" t="s">
        <v>38</v>
      </c>
      <c r="B33" s="88">
        <f>SUM(B30:B32)</f>
        <v>117726.084</v>
      </c>
      <c r="C33" s="101">
        <f t="shared" ref="C33:K33" si="0">SUM(C30:C32)</f>
        <v>0</v>
      </c>
      <c r="D33" s="101">
        <f t="shared" si="0"/>
        <v>248656.09860000006</v>
      </c>
      <c r="E33" s="88">
        <f t="shared" si="0"/>
        <v>248656.09860000006</v>
      </c>
      <c r="F33" s="101">
        <f>SUM(F30:F32)</f>
        <v>9550000</v>
      </c>
      <c r="G33" s="101">
        <f>SUM(G30:G32)</f>
        <v>-390000</v>
      </c>
      <c r="H33" s="88">
        <f t="shared" si="0"/>
        <v>9160000</v>
      </c>
      <c r="I33" s="101">
        <f t="shared" si="0"/>
        <v>19966.527000000002</v>
      </c>
      <c r="J33" s="101">
        <f t="shared" si="0"/>
        <v>141343.902</v>
      </c>
      <c r="K33" s="88">
        <f t="shared" si="0"/>
        <v>161310.429</v>
      </c>
      <c r="L33" s="88">
        <f>SUM(L30:L32)</f>
        <v>9687692.6116000004</v>
      </c>
    </row>
    <row r="34" spans="1:12" x14ac:dyDescent="0.2">
      <c r="F34" s="49"/>
      <c r="G34" s="49"/>
      <c r="H34" s="49"/>
    </row>
    <row r="35" spans="1:12" x14ac:dyDescent="0.2">
      <c r="I35" s="105"/>
      <c r="J35" s="105"/>
    </row>
    <row r="36" spans="1:12" x14ac:dyDescent="0.2">
      <c r="I36" s="105"/>
      <c r="J36" s="105"/>
    </row>
  </sheetData>
  <printOptions horizontalCentered="1"/>
  <pageMargins left="0.25" right="0.25" top="1" bottom="0.75" header="0.3" footer="0.3"/>
  <pageSetup scale="54" fitToHeight="0" orientation="landscape" r:id="rId1"/>
  <headerFooter scaleWithDoc="0">
    <oddHeader>&amp;Rpptb-adad-nov18item03
Attachment 6
Page &amp;P of &amp;N</oddHeader>
    <oddFooter>Page &amp;P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2"/>
  <sheetViews>
    <sheetView zoomScaleNormal="100" workbookViewId="0"/>
  </sheetViews>
  <sheetFormatPr defaultRowHeight="15" x14ac:dyDescent="0.25"/>
  <cols>
    <col min="1" max="1" width="68.7109375" customWidth="1"/>
    <col min="2" max="3" width="15.28515625" bestFit="1" customWidth="1"/>
    <col min="4" max="4" width="17.140625" bestFit="1" customWidth="1"/>
    <col min="5" max="5" width="15.28515625" bestFit="1" customWidth="1"/>
    <col min="6" max="6" width="18.5703125" bestFit="1" customWidth="1"/>
  </cols>
  <sheetData>
    <row r="1" spans="1:6" ht="23.25" x14ac:dyDescent="0.35">
      <c r="A1" s="116" t="s">
        <v>39</v>
      </c>
      <c r="B1" s="5"/>
      <c r="C1" s="5"/>
      <c r="D1" s="5"/>
      <c r="E1" s="5"/>
      <c r="F1" s="5"/>
    </row>
    <row r="2" spans="1:6" s="119" customFormat="1" ht="18.75" x14ac:dyDescent="0.3">
      <c r="A2" s="117" t="s">
        <v>69</v>
      </c>
      <c r="B2" s="118"/>
      <c r="C2" s="118"/>
      <c r="D2" s="118"/>
      <c r="E2" s="118"/>
      <c r="F2" s="118"/>
    </row>
    <row r="3" spans="1:6" ht="36" x14ac:dyDescent="0.25">
      <c r="A3" s="16" t="s">
        <v>0</v>
      </c>
      <c r="B3" s="26"/>
      <c r="C3" s="26"/>
      <c r="D3" s="26"/>
      <c r="E3" s="26"/>
      <c r="F3" s="26"/>
    </row>
    <row r="4" spans="1:6" ht="20.25" x14ac:dyDescent="0.3">
      <c r="A4" s="100" t="s">
        <v>46</v>
      </c>
      <c r="B4" s="35"/>
      <c r="C4" s="35"/>
      <c r="D4" s="35"/>
      <c r="E4" s="35"/>
      <c r="F4" s="6"/>
    </row>
    <row r="5" spans="1:6" ht="15" customHeight="1" x14ac:dyDescent="0.25">
      <c r="A5" s="124" t="s">
        <v>2</v>
      </c>
      <c r="B5" s="125" t="s">
        <v>41</v>
      </c>
      <c r="C5" s="125" t="s">
        <v>42</v>
      </c>
      <c r="D5" s="125" t="s">
        <v>43</v>
      </c>
      <c r="E5" s="125" t="s">
        <v>44</v>
      </c>
      <c r="F5" s="126" t="s">
        <v>3</v>
      </c>
    </row>
    <row r="6" spans="1:6" ht="22.35" customHeight="1" x14ac:dyDescent="0.25">
      <c r="A6" s="110" t="s">
        <v>4</v>
      </c>
      <c r="B6" s="70">
        <v>39781.18</v>
      </c>
      <c r="C6" s="70">
        <v>39781.17</v>
      </c>
      <c r="D6" s="70">
        <v>0</v>
      </c>
      <c r="E6" s="70">
        <v>34098.15</v>
      </c>
      <c r="F6" s="111">
        <f>SUM(B6:E6)</f>
        <v>113660.5</v>
      </c>
    </row>
    <row r="7" spans="1:6" ht="22.35" customHeight="1" x14ac:dyDescent="0.25">
      <c r="A7" s="20" t="s">
        <v>5</v>
      </c>
      <c r="B7" s="62">
        <v>35545.299999999996</v>
      </c>
      <c r="C7" s="62">
        <v>35545.299999999996</v>
      </c>
      <c r="D7" s="62">
        <v>0</v>
      </c>
      <c r="E7" s="62">
        <v>30467.399999999998</v>
      </c>
      <c r="F7" s="64">
        <f t="shared" ref="F7:F30" si="0">SUM(B7:E7)</f>
        <v>101557.99999999999</v>
      </c>
    </row>
    <row r="8" spans="1:6" ht="22.35" customHeight="1" x14ac:dyDescent="0.25">
      <c r="A8" s="110" t="s">
        <v>6</v>
      </c>
      <c r="B8" s="70">
        <v>25289.08</v>
      </c>
      <c r="C8" s="70">
        <v>25289.07</v>
      </c>
      <c r="D8" s="70">
        <v>0</v>
      </c>
      <c r="E8" s="70">
        <v>21676.35</v>
      </c>
      <c r="F8" s="111">
        <f t="shared" si="0"/>
        <v>72254.5</v>
      </c>
    </row>
    <row r="9" spans="1:6" ht="22.35" customHeight="1" x14ac:dyDescent="0.25">
      <c r="A9" s="20" t="s">
        <v>7</v>
      </c>
      <c r="B9" s="62">
        <v>35545.299999999996</v>
      </c>
      <c r="C9" s="62">
        <v>35545.299999999996</v>
      </c>
      <c r="D9" s="62">
        <v>0</v>
      </c>
      <c r="E9" s="62">
        <v>30467.399999999998</v>
      </c>
      <c r="F9" s="64">
        <f t="shared" si="0"/>
        <v>101557.99999999999</v>
      </c>
    </row>
    <row r="10" spans="1:6" ht="22.35" customHeight="1" x14ac:dyDescent="0.25">
      <c r="A10" s="122" t="s">
        <v>8</v>
      </c>
      <c r="B10" s="69">
        <f>SUM(B6:B9)</f>
        <v>136160.85999999999</v>
      </c>
      <c r="C10" s="69">
        <f t="shared" ref="C10" si="1">SUM(C6:C9)</f>
        <v>136160.84</v>
      </c>
      <c r="D10" s="69">
        <f t="shared" ref="D10" si="2">SUM(D6:D9)</f>
        <v>0</v>
      </c>
      <c r="E10" s="69">
        <f>SUM(E6:E9)</f>
        <v>116709.29999999999</v>
      </c>
      <c r="F10" s="111">
        <f>SUM(B10:E10)</f>
        <v>389030.99999999994</v>
      </c>
    </row>
    <row r="11" spans="1:6" ht="22.35" customHeight="1" x14ac:dyDescent="0.25">
      <c r="A11" s="20" t="s">
        <v>4</v>
      </c>
      <c r="B11" s="62">
        <v>14097.48</v>
      </c>
      <c r="C11" s="62">
        <v>14097.48</v>
      </c>
      <c r="D11" s="62">
        <v>0</v>
      </c>
      <c r="E11" s="62">
        <v>12083.56</v>
      </c>
      <c r="F11" s="64">
        <f t="shared" si="0"/>
        <v>40278.519999999997</v>
      </c>
    </row>
    <row r="12" spans="1:6" ht="22.35" customHeight="1" x14ac:dyDescent="0.25">
      <c r="A12" s="110" t="s">
        <v>5</v>
      </c>
      <c r="B12" s="70">
        <v>13080.87</v>
      </c>
      <c r="C12" s="70">
        <v>13080.87</v>
      </c>
      <c r="D12" s="70">
        <v>0</v>
      </c>
      <c r="E12" s="70">
        <v>11212.18</v>
      </c>
      <c r="F12" s="111">
        <f t="shared" si="0"/>
        <v>37373.919999999998</v>
      </c>
    </row>
    <row r="13" spans="1:6" ht="22.35" customHeight="1" x14ac:dyDescent="0.25">
      <c r="A13" s="20" t="s">
        <v>6</v>
      </c>
      <c r="B13" s="62">
        <v>10619.38</v>
      </c>
      <c r="C13" s="62">
        <v>10619.38</v>
      </c>
      <c r="D13" s="62">
        <v>0</v>
      </c>
      <c r="E13" s="62">
        <v>9102.32</v>
      </c>
      <c r="F13" s="64">
        <f t="shared" si="0"/>
        <v>30341.079999999998</v>
      </c>
    </row>
    <row r="14" spans="1:6" ht="22.35" customHeight="1" x14ac:dyDescent="0.25">
      <c r="A14" s="110" t="s">
        <v>7</v>
      </c>
      <c r="B14" s="70">
        <v>13080.87</v>
      </c>
      <c r="C14" s="70">
        <v>13080.87</v>
      </c>
      <c r="D14" s="70">
        <v>0</v>
      </c>
      <c r="E14" s="70">
        <v>11212.18</v>
      </c>
      <c r="F14" s="111">
        <f t="shared" si="0"/>
        <v>37373.919999999998</v>
      </c>
    </row>
    <row r="15" spans="1:6" ht="22.35" customHeight="1" x14ac:dyDescent="0.25">
      <c r="A15" s="8" t="s">
        <v>9</v>
      </c>
      <c r="B15" s="65">
        <f>SUM(B11:B14)</f>
        <v>50878.6</v>
      </c>
      <c r="C15" s="65">
        <f t="shared" ref="C15" si="3">SUM(C11:C14)</f>
        <v>50878.6</v>
      </c>
      <c r="D15" s="65">
        <f t="shared" ref="D15" si="4">SUM(D11:D14)</f>
        <v>0</v>
      </c>
      <c r="E15" s="89">
        <f t="shared" ref="E15" si="5">SUM(E11:E14)</f>
        <v>43610.239999999998</v>
      </c>
      <c r="F15" s="92">
        <f>SUM(B15:E15)</f>
        <v>145367.44</v>
      </c>
    </row>
    <row r="16" spans="1:6" ht="22.35" customHeight="1" x14ac:dyDescent="0.25">
      <c r="A16" s="110" t="s">
        <v>10</v>
      </c>
      <c r="B16" s="70">
        <v>0</v>
      </c>
      <c r="C16" s="70">
        <v>0</v>
      </c>
      <c r="D16" s="70">
        <v>0</v>
      </c>
      <c r="E16" s="70">
        <v>0</v>
      </c>
      <c r="F16" s="111">
        <f t="shared" si="0"/>
        <v>0</v>
      </c>
    </row>
    <row r="17" spans="1:6" ht="22.35" customHeight="1" x14ac:dyDescent="0.25">
      <c r="A17" s="8" t="s">
        <v>11</v>
      </c>
      <c r="B17" s="66">
        <f>SUM(B16)</f>
        <v>0</v>
      </c>
      <c r="C17" s="66">
        <f>SUM(C16)</f>
        <v>0</v>
      </c>
      <c r="D17" s="66">
        <f>SUM(D16)</f>
        <v>0</v>
      </c>
      <c r="E17" s="66">
        <f>SUM(E16)</f>
        <v>0</v>
      </c>
      <c r="F17" s="64">
        <f t="shared" si="0"/>
        <v>0</v>
      </c>
    </row>
    <row r="18" spans="1:6" ht="22.35" customHeight="1" x14ac:dyDescent="0.25">
      <c r="A18" s="110" t="s">
        <v>12</v>
      </c>
      <c r="B18" s="70">
        <v>42000</v>
      </c>
      <c r="C18" s="70">
        <v>0</v>
      </c>
      <c r="D18" s="70">
        <v>0</v>
      </c>
      <c r="E18" s="70">
        <v>0</v>
      </c>
      <c r="F18" s="111">
        <f t="shared" si="0"/>
        <v>42000</v>
      </c>
    </row>
    <row r="19" spans="1:6" ht="22.35" customHeight="1" x14ac:dyDescent="0.25">
      <c r="A19" s="20" t="s">
        <v>13</v>
      </c>
      <c r="B19" s="67">
        <v>1000</v>
      </c>
      <c r="C19" s="67">
        <v>0</v>
      </c>
      <c r="D19" s="62">
        <v>0</v>
      </c>
      <c r="E19" s="62">
        <v>0</v>
      </c>
      <c r="F19" s="64">
        <f t="shared" si="0"/>
        <v>1000</v>
      </c>
    </row>
    <row r="20" spans="1:6" ht="22.35" customHeight="1" x14ac:dyDescent="0.25">
      <c r="A20" s="110" t="s">
        <v>14</v>
      </c>
      <c r="B20" s="71">
        <v>41432.000000000007</v>
      </c>
      <c r="C20" s="71">
        <v>0</v>
      </c>
      <c r="D20" s="70">
        <v>0</v>
      </c>
      <c r="E20" s="70">
        <v>0</v>
      </c>
      <c r="F20" s="111">
        <f t="shared" si="0"/>
        <v>41432.000000000007</v>
      </c>
    </row>
    <row r="21" spans="1:6" ht="22.35" customHeight="1" x14ac:dyDescent="0.25">
      <c r="A21" s="20" t="s">
        <v>15</v>
      </c>
      <c r="B21" s="67">
        <v>0</v>
      </c>
      <c r="C21" s="67">
        <v>0</v>
      </c>
      <c r="D21" s="62">
        <v>0</v>
      </c>
      <c r="E21" s="62">
        <v>0</v>
      </c>
      <c r="F21" s="64">
        <f t="shared" si="0"/>
        <v>0</v>
      </c>
    </row>
    <row r="22" spans="1:6" ht="22.35" customHeight="1" x14ac:dyDescent="0.25">
      <c r="A22" s="110" t="s">
        <v>16</v>
      </c>
      <c r="B22" s="71">
        <v>0</v>
      </c>
      <c r="C22" s="71">
        <v>12947.500000000002</v>
      </c>
      <c r="D22" s="71">
        <v>0</v>
      </c>
      <c r="E22" s="71">
        <v>0</v>
      </c>
      <c r="F22" s="111">
        <f t="shared" si="0"/>
        <v>12947.500000000002</v>
      </c>
    </row>
    <row r="23" spans="1:6" ht="22.35" customHeight="1" x14ac:dyDescent="0.25">
      <c r="A23" s="20" t="s">
        <v>17</v>
      </c>
      <c r="B23" s="67">
        <v>0</v>
      </c>
      <c r="C23" s="67">
        <v>194.21</v>
      </c>
      <c r="D23" s="67">
        <v>0</v>
      </c>
      <c r="E23" s="67">
        <v>0</v>
      </c>
      <c r="F23" s="64">
        <f t="shared" si="0"/>
        <v>194.21</v>
      </c>
    </row>
    <row r="24" spans="1:6" ht="22.35" customHeight="1" x14ac:dyDescent="0.25">
      <c r="A24" s="110" t="s">
        <v>18</v>
      </c>
      <c r="B24" s="71">
        <v>0</v>
      </c>
      <c r="C24" s="71">
        <v>440.22</v>
      </c>
      <c r="D24" s="71">
        <v>0</v>
      </c>
      <c r="E24" s="71">
        <v>0</v>
      </c>
      <c r="F24" s="111">
        <f t="shared" si="0"/>
        <v>440.22</v>
      </c>
    </row>
    <row r="25" spans="1:6" ht="22.35" customHeight="1" x14ac:dyDescent="0.25">
      <c r="A25" s="20" t="s">
        <v>19</v>
      </c>
      <c r="B25" s="67">
        <v>0</v>
      </c>
      <c r="C25" s="67">
        <v>3528</v>
      </c>
      <c r="D25" s="67">
        <v>0</v>
      </c>
      <c r="E25" s="67">
        <v>0</v>
      </c>
      <c r="F25" s="64">
        <f t="shared" si="0"/>
        <v>3528</v>
      </c>
    </row>
    <row r="26" spans="1:6" ht="22.35" customHeight="1" x14ac:dyDescent="0.25">
      <c r="A26" s="112" t="s">
        <v>20</v>
      </c>
      <c r="B26" s="69">
        <f>SUM(B18:B25)</f>
        <v>84432</v>
      </c>
      <c r="C26" s="69">
        <f>SUM(C18:C25)</f>
        <v>17109.93</v>
      </c>
      <c r="D26" s="69">
        <f>SUM(D18:D25)</f>
        <v>0</v>
      </c>
      <c r="E26" s="69">
        <f>SUM(E18:E25)</f>
        <v>0</v>
      </c>
      <c r="F26" s="111">
        <f t="shared" si="0"/>
        <v>101541.93</v>
      </c>
    </row>
    <row r="27" spans="1:6" ht="22.35" customHeight="1" x14ac:dyDescent="0.25">
      <c r="A27" s="25" t="s">
        <v>21</v>
      </c>
      <c r="B27" s="62">
        <v>0</v>
      </c>
      <c r="C27" s="62">
        <v>0</v>
      </c>
      <c r="D27" s="62">
        <v>0</v>
      </c>
      <c r="E27" s="62">
        <v>2400</v>
      </c>
      <c r="F27" s="64">
        <f t="shared" si="0"/>
        <v>2400</v>
      </c>
    </row>
    <row r="28" spans="1:6" ht="22.35" customHeight="1" x14ac:dyDescent="0.25">
      <c r="A28" s="112" t="s">
        <v>22</v>
      </c>
      <c r="B28" s="70">
        <f>B26+B17+B27</f>
        <v>84432</v>
      </c>
      <c r="C28" s="70">
        <f>C26+C17+C27</f>
        <v>17109.93</v>
      </c>
      <c r="D28" s="70">
        <f>D26+D17+D27</f>
        <v>0</v>
      </c>
      <c r="E28" s="70">
        <f>E26+E17+E27</f>
        <v>2400</v>
      </c>
      <c r="F28" s="111">
        <f t="shared" si="0"/>
        <v>103941.93</v>
      </c>
    </row>
    <row r="29" spans="1:6" ht="22.35" customHeight="1" x14ac:dyDescent="0.25">
      <c r="A29" s="8" t="s">
        <v>23</v>
      </c>
      <c r="B29" s="68">
        <f>B10+B15+B17+B26+B27</f>
        <v>271471.45999999996</v>
      </c>
      <c r="C29" s="68">
        <f>C10+C15+C17+C26+C27</f>
        <v>204149.37</v>
      </c>
      <c r="D29" s="68">
        <f>D10+D15+D17+D26+D27</f>
        <v>0</v>
      </c>
      <c r="E29" s="68">
        <f>E10+E15+E17+E26+E27</f>
        <v>162719.53999999998</v>
      </c>
      <c r="F29" s="64">
        <f t="shared" si="0"/>
        <v>638340.36999999988</v>
      </c>
    </row>
    <row r="30" spans="1:6" ht="22.35" customHeight="1" x14ac:dyDescent="0.25">
      <c r="A30" s="114" t="s">
        <v>24</v>
      </c>
      <c r="B30" s="71">
        <f>B29*0.26</f>
        <v>70582.579599999997</v>
      </c>
      <c r="C30" s="71">
        <f>C29*0.26</f>
        <v>53078.836199999998</v>
      </c>
      <c r="D30" s="71">
        <f>D29*0.26</f>
        <v>0</v>
      </c>
      <c r="E30" s="71">
        <f>E29*0.26</f>
        <v>42307.080399999999</v>
      </c>
      <c r="F30" s="111">
        <f t="shared" si="0"/>
        <v>165968.49619999999</v>
      </c>
    </row>
    <row r="31" spans="1:6" s="1" customFormat="1" ht="22.15" customHeight="1" thickBot="1" x14ac:dyDescent="0.3">
      <c r="A31" s="123" t="s">
        <v>67</v>
      </c>
      <c r="B31" s="107">
        <v>0</v>
      </c>
      <c r="C31" s="107">
        <v>0</v>
      </c>
      <c r="D31" s="107">
        <v>9550000</v>
      </c>
      <c r="E31" s="107">
        <v>0</v>
      </c>
      <c r="F31" s="92">
        <f>SUM(D31)</f>
        <v>9550000</v>
      </c>
    </row>
    <row r="32" spans="1:6" ht="22.35" customHeight="1" thickTop="1" x14ac:dyDescent="0.25">
      <c r="A32" s="127" t="s">
        <v>38</v>
      </c>
      <c r="B32" s="128">
        <f>B29+B30+B31</f>
        <v>342054.03959999996</v>
      </c>
      <c r="C32" s="128">
        <f t="shared" ref="C32:F32" si="6">C29+C30+C31</f>
        <v>257228.20619999999</v>
      </c>
      <c r="D32" s="128">
        <f t="shared" si="6"/>
        <v>9550000</v>
      </c>
      <c r="E32" s="128">
        <f t="shared" si="6"/>
        <v>205026.62039999999</v>
      </c>
      <c r="F32" s="129">
        <f t="shared" si="6"/>
        <v>10354308.8662</v>
      </c>
    </row>
  </sheetData>
  <printOptions horizontalCentered="1"/>
  <pageMargins left="0.25" right="0.25" top="1" bottom="0.75" header="0.3" footer="0.3"/>
  <pageSetup scale="88" fitToHeight="0" orientation="landscape" r:id="rId1"/>
  <headerFooter scaleWithDoc="0">
    <oddHeader>&amp;Rpptb-adad-nov18item03
Attachment 6
Page &amp;P of &amp;N</oddHeader>
    <oddFooter>Page &amp;P of &amp;N</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2"/>
  <sheetViews>
    <sheetView zoomScaleNormal="100" workbookViewId="0"/>
  </sheetViews>
  <sheetFormatPr defaultColWidth="8.7109375" defaultRowHeight="14.25" x14ac:dyDescent="0.2"/>
  <cols>
    <col min="1" max="1" width="68.7109375" style="1" customWidth="1"/>
    <col min="2" max="2" width="15.28515625" style="1" bestFit="1" customWidth="1"/>
    <col min="3" max="3" width="15.28515625" style="3" bestFit="1" customWidth="1"/>
    <col min="4" max="4" width="17.140625" style="3" bestFit="1" customWidth="1"/>
    <col min="5" max="5" width="15.28515625" style="4" bestFit="1" customWidth="1"/>
    <col min="6" max="6" width="18.5703125" style="4" bestFit="1" customWidth="1"/>
    <col min="7" max="16384" width="8.7109375" style="1"/>
  </cols>
  <sheetData>
    <row r="1" spans="1:6" s="2" customFormat="1" ht="23.25" x14ac:dyDescent="0.35">
      <c r="A1" s="116" t="s">
        <v>39</v>
      </c>
      <c r="B1" s="5"/>
      <c r="C1" s="5"/>
      <c r="D1" s="5"/>
      <c r="E1" s="5"/>
      <c r="F1" s="5"/>
    </row>
    <row r="2" spans="1:6" s="2" customFormat="1" ht="18.75" x14ac:dyDescent="0.3">
      <c r="A2" s="117" t="s">
        <v>69</v>
      </c>
      <c r="B2" s="5"/>
      <c r="C2" s="5"/>
      <c r="D2" s="5"/>
      <c r="E2" s="5"/>
      <c r="F2" s="5"/>
    </row>
    <row r="3" spans="1:6" s="2" customFormat="1" ht="36" x14ac:dyDescent="0.25">
      <c r="A3" s="16" t="s">
        <v>0</v>
      </c>
      <c r="B3" s="26"/>
      <c r="C3" s="26"/>
      <c r="D3" s="26"/>
      <c r="E3" s="26"/>
      <c r="F3" s="26"/>
    </row>
    <row r="4" spans="1:6" s="2" customFormat="1" ht="20.25" x14ac:dyDescent="0.3">
      <c r="A4" s="100" t="s">
        <v>47</v>
      </c>
      <c r="B4" s="35"/>
      <c r="C4" s="35"/>
      <c r="D4" s="35"/>
      <c r="E4" s="35"/>
      <c r="F4" s="6"/>
    </row>
    <row r="5" spans="1:6" s="2" customFormat="1" ht="15" customHeight="1" x14ac:dyDescent="0.25">
      <c r="A5" s="9" t="s">
        <v>2</v>
      </c>
      <c r="B5" s="18" t="s">
        <v>41</v>
      </c>
      <c r="C5" s="18" t="s">
        <v>42</v>
      </c>
      <c r="D5" s="18" t="s">
        <v>43</v>
      </c>
      <c r="E5" s="18" t="s">
        <v>44</v>
      </c>
      <c r="F5" s="10" t="s">
        <v>3</v>
      </c>
    </row>
    <row r="6" spans="1:6" ht="22.35" customHeight="1" x14ac:dyDescent="0.25">
      <c r="A6" s="20" t="s">
        <v>4</v>
      </c>
      <c r="B6" s="62">
        <v>24584.77</v>
      </c>
      <c r="C6" s="62">
        <v>57364.45</v>
      </c>
      <c r="D6" s="62">
        <v>0</v>
      </c>
      <c r="E6" s="62">
        <v>35121.089999999997</v>
      </c>
      <c r="F6" s="66">
        <f>SUM(Table3356[[#This Row],[TASK 1]:[TASK 4]])</f>
        <v>117070.31</v>
      </c>
    </row>
    <row r="7" spans="1:6" ht="22.35" customHeight="1" x14ac:dyDescent="0.25">
      <c r="A7" s="20" t="s">
        <v>5</v>
      </c>
      <c r="B7" s="62">
        <v>21967</v>
      </c>
      <c r="C7" s="62">
        <v>51256.32</v>
      </c>
      <c r="D7" s="62">
        <v>0</v>
      </c>
      <c r="E7" s="62">
        <v>31381.42</v>
      </c>
      <c r="F7" s="64">
        <f>SUM(Table3356[[#This Row],[TASK 1]:[TASK 4]])</f>
        <v>104604.74</v>
      </c>
    </row>
    <row r="8" spans="1:6" ht="22.35" customHeight="1" x14ac:dyDescent="0.25">
      <c r="A8" s="20" t="s">
        <v>6</v>
      </c>
      <c r="B8" s="62">
        <v>15628.65</v>
      </c>
      <c r="C8" s="62">
        <v>36466.85</v>
      </c>
      <c r="D8" s="62">
        <v>0</v>
      </c>
      <c r="E8" s="62">
        <v>22326.639999999999</v>
      </c>
      <c r="F8" s="64">
        <f>SUM(Table3356[[#This Row],[TASK 1]:[TASK 4]])</f>
        <v>74422.14</v>
      </c>
    </row>
    <row r="9" spans="1:6" ht="22.35" customHeight="1" x14ac:dyDescent="0.25">
      <c r="A9" s="20" t="s">
        <v>7</v>
      </c>
      <c r="B9" s="62">
        <v>21967</v>
      </c>
      <c r="C9" s="62">
        <v>51256.32</v>
      </c>
      <c r="D9" s="62">
        <v>0</v>
      </c>
      <c r="E9" s="62">
        <v>31381.42</v>
      </c>
      <c r="F9" s="64">
        <f>SUM(Table3356[[#This Row],[TASK 1]:[TASK 4]])</f>
        <v>104604.74</v>
      </c>
    </row>
    <row r="10" spans="1:6" s="2" customFormat="1" ht="22.35" customHeight="1" x14ac:dyDescent="0.25">
      <c r="A10" s="11" t="s">
        <v>8</v>
      </c>
      <c r="B10" s="66">
        <f>SUM(B6:B9)</f>
        <v>84147.420000000013</v>
      </c>
      <c r="C10" s="66">
        <f>SUM(C6:C9)</f>
        <v>196343.94</v>
      </c>
      <c r="D10" s="66">
        <f>SUM(D6:D9)</f>
        <v>0</v>
      </c>
      <c r="E10" s="66">
        <f>SUM(E6:E9)</f>
        <v>120210.56999999999</v>
      </c>
      <c r="F10" s="66">
        <f>SUM(Table3356[[#This Row],[TASK 1]:[TASK 4]])</f>
        <v>400701.93</v>
      </c>
    </row>
    <row r="11" spans="1:6" ht="22.35" customHeight="1" x14ac:dyDescent="0.25">
      <c r="A11" s="20" t="s">
        <v>4</v>
      </c>
      <c r="B11" s="62">
        <v>8630.34</v>
      </c>
      <c r="C11" s="62">
        <v>20137.47</v>
      </c>
      <c r="D11" s="62">
        <v>0</v>
      </c>
      <c r="E11" s="62">
        <v>12329.06</v>
      </c>
      <c r="F11" s="92">
        <f>SUM(Table3356[[#This Row],[TASK 1]:[TASK 4]])</f>
        <v>41096.870000000003</v>
      </c>
    </row>
    <row r="12" spans="1:6" ht="22.35" customHeight="1" x14ac:dyDescent="0.25">
      <c r="A12" s="20" t="s">
        <v>5</v>
      </c>
      <c r="B12" s="62">
        <v>8002.08</v>
      </c>
      <c r="C12" s="62">
        <v>18671.52</v>
      </c>
      <c r="D12" s="62">
        <v>0</v>
      </c>
      <c r="E12" s="62">
        <v>11431.54</v>
      </c>
      <c r="F12" s="64">
        <f>SUM(Table3356[[#This Row],[TASK 1]:[TASK 4]])</f>
        <v>38105.14</v>
      </c>
    </row>
    <row r="13" spans="1:6" ht="22.35" customHeight="1" x14ac:dyDescent="0.25">
      <c r="A13" s="20" t="s">
        <v>6</v>
      </c>
      <c r="B13" s="62">
        <v>6480.88</v>
      </c>
      <c r="C13" s="62">
        <v>15122.04</v>
      </c>
      <c r="D13" s="62">
        <v>0</v>
      </c>
      <c r="E13" s="62">
        <v>9258.39</v>
      </c>
      <c r="F13" s="64">
        <f>SUM(Table3356[[#This Row],[TASK 1]:[TASK 4]])</f>
        <v>30861.31</v>
      </c>
    </row>
    <row r="14" spans="1:6" ht="22.35" customHeight="1" x14ac:dyDescent="0.25">
      <c r="A14" s="20" t="s">
        <v>7</v>
      </c>
      <c r="B14" s="62">
        <v>8002.08</v>
      </c>
      <c r="C14" s="62">
        <v>18671.52</v>
      </c>
      <c r="D14" s="62">
        <v>0</v>
      </c>
      <c r="E14" s="62">
        <v>11431.54</v>
      </c>
      <c r="F14" s="64">
        <f>SUM(Table3356[[#This Row],[TASK 1]:[TASK 4]])</f>
        <v>38105.14</v>
      </c>
    </row>
    <row r="15" spans="1:6" s="2" customFormat="1" ht="22.35" customHeight="1" x14ac:dyDescent="0.25">
      <c r="A15" s="8" t="s">
        <v>9</v>
      </c>
      <c r="B15" s="65">
        <f>SUM(B11:B14)</f>
        <v>31115.379999999997</v>
      </c>
      <c r="C15" s="65">
        <f>SUM(C11:C14)</f>
        <v>72602.55</v>
      </c>
      <c r="D15" s="65">
        <f>SUM(D11:D14)</f>
        <v>0</v>
      </c>
      <c r="E15" s="89">
        <f>SUM(E11:E14)</f>
        <v>44450.53</v>
      </c>
      <c r="F15" s="92">
        <f>SUM(Table3356[[#This Row],[TASK 1]:[TASK 4]])</f>
        <v>148168.46</v>
      </c>
    </row>
    <row r="16" spans="1:6" ht="22.35" customHeight="1" x14ac:dyDescent="0.25">
      <c r="A16" s="20" t="s">
        <v>10</v>
      </c>
      <c r="B16" s="62">
        <v>0</v>
      </c>
      <c r="C16" s="62">
        <v>0</v>
      </c>
      <c r="D16" s="62">
        <v>0</v>
      </c>
      <c r="E16" s="62">
        <v>0</v>
      </c>
      <c r="F16" s="64">
        <f>SUM(Table3356[[#This Row],[TASK 1]:[TASK 4]])</f>
        <v>0</v>
      </c>
    </row>
    <row r="17" spans="1:6" s="2" customFormat="1" ht="22.35" customHeight="1" x14ac:dyDescent="0.25">
      <c r="A17" s="8" t="s">
        <v>11</v>
      </c>
      <c r="B17" s="66">
        <f>SUM(B16)</f>
        <v>0</v>
      </c>
      <c r="C17" s="66">
        <f>SUM(C16)</f>
        <v>0</v>
      </c>
      <c r="D17" s="66">
        <f>SUM(D16)</f>
        <v>0</v>
      </c>
      <c r="E17" s="66">
        <f>SUM(E16)</f>
        <v>0</v>
      </c>
      <c r="F17" s="64">
        <f>SUM(Table3356[[#This Row],[TASK 1]:[TASK 4]])</f>
        <v>0</v>
      </c>
    </row>
    <row r="18" spans="1:6" s="2" customFormat="1" ht="22.35" customHeight="1" x14ac:dyDescent="0.25">
      <c r="A18" s="20" t="s">
        <v>12</v>
      </c>
      <c r="B18" s="62">
        <v>0</v>
      </c>
      <c r="C18" s="62">
        <v>0</v>
      </c>
      <c r="D18" s="62">
        <v>0</v>
      </c>
      <c r="E18" s="62">
        <v>0</v>
      </c>
      <c r="F18" s="63">
        <f>SUM(Table3356[[#This Row],[TASK 1]:[TASK 4]])</f>
        <v>0</v>
      </c>
    </row>
    <row r="19" spans="1:6" ht="22.35" customHeight="1" x14ac:dyDescent="0.25">
      <c r="A19" s="20" t="s">
        <v>13</v>
      </c>
      <c r="B19" s="67">
        <v>1000</v>
      </c>
      <c r="C19" s="67">
        <v>0</v>
      </c>
      <c r="D19" s="62">
        <v>0</v>
      </c>
      <c r="E19" s="62">
        <v>0</v>
      </c>
      <c r="F19" s="64">
        <f>SUM(Table3356[[#This Row],[TASK 1]:[TASK 4]])</f>
        <v>1000</v>
      </c>
    </row>
    <row r="20" spans="1:6" ht="22.35" customHeight="1" x14ac:dyDescent="0.25">
      <c r="A20" s="20" t="s">
        <v>14</v>
      </c>
      <c r="B20" s="67">
        <v>41432.000000000007</v>
      </c>
      <c r="C20" s="67">
        <v>0</v>
      </c>
      <c r="D20" s="62">
        <v>0</v>
      </c>
      <c r="E20" s="62">
        <v>0</v>
      </c>
      <c r="F20" s="64">
        <f>SUM(Table3356[[#This Row],[TASK 1]:[TASK 4]])</f>
        <v>41432.000000000007</v>
      </c>
    </row>
    <row r="21" spans="1:6" ht="22.35" customHeight="1" x14ac:dyDescent="0.25">
      <c r="A21" s="20" t="s">
        <v>15</v>
      </c>
      <c r="B21" s="67">
        <v>0</v>
      </c>
      <c r="C21" s="67">
        <v>0</v>
      </c>
      <c r="D21" s="62">
        <v>0</v>
      </c>
      <c r="E21" s="62">
        <v>0</v>
      </c>
      <c r="F21" s="64">
        <f>SUM(Table3356[[#This Row],[TASK 1]:[TASK 4]])</f>
        <v>0</v>
      </c>
    </row>
    <row r="22" spans="1:6" ht="22.35" customHeight="1" x14ac:dyDescent="0.25">
      <c r="A22" s="20" t="s">
        <v>16</v>
      </c>
      <c r="B22" s="67">
        <v>0</v>
      </c>
      <c r="C22" s="62">
        <v>51790.000000000007</v>
      </c>
      <c r="D22" s="62">
        <v>0</v>
      </c>
      <c r="E22" s="67">
        <v>0</v>
      </c>
      <c r="F22" s="64">
        <f>SUM(Table3356[[#This Row],[TASK 1]:[TASK 4]])</f>
        <v>51790.000000000007</v>
      </c>
    </row>
    <row r="23" spans="1:6" ht="22.35" customHeight="1" x14ac:dyDescent="0.25">
      <c r="A23" s="20" t="s">
        <v>17</v>
      </c>
      <c r="B23" s="67">
        <v>0</v>
      </c>
      <c r="C23" s="62">
        <v>776.85</v>
      </c>
      <c r="D23" s="62">
        <v>0</v>
      </c>
      <c r="E23" s="67">
        <v>0</v>
      </c>
      <c r="F23" s="64">
        <f>SUM(Table3356[[#This Row],[TASK 1]:[TASK 4]])</f>
        <v>776.85</v>
      </c>
    </row>
    <row r="24" spans="1:6" ht="22.35" customHeight="1" x14ac:dyDescent="0.25">
      <c r="A24" s="20" t="s">
        <v>18</v>
      </c>
      <c r="B24" s="67">
        <v>0</v>
      </c>
      <c r="C24" s="62">
        <v>1760.86</v>
      </c>
      <c r="D24" s="62">
        <v>0</v>
      </c>
      <c r="E24" s="67">
        <v>0</v>
      </c>
      <c r="F24" s="64">
        <f>SUM(Table3356[[#This Row],[TASK 1]:[TASK 4]])</f>
        <v>1760.86</v>
      </c>
    </row>
    <row r="25" spans="1:6" ht="22.35" customHeight="1" x14ac:dyDescent="0.25">
      <c r="A25" s="20" t="s">
        <v>19</v>
      </c>
      <c r="B25" s="67">
        <v>0</v>
      </c>
      <c r="C25" s="62">
        <v>0</v>
      </c>
      <c r="D25" s="62">
        <v>0</v>
      </c>
      <c r="E25" s="67">
        <v>0</v>
      </c>
      <c r="F25" s="64">
        <f>SUM(Table3356[[#This Row],[TASK 1]:[TASK 4]])</f>
        <v>0</v>
      </c>
    </row>
    <row r="26" spans="1:6" s="2" customFormat="1" ht="22.35" customHeight="1" x14ac:dyDescent="0.25">
      <c r="A26" s="8" t="s">
        <v>20</v>
      </c>
      <c r="B26" s="66">
        <f>SUM(B18:B25)</f>
        <v>42432.000000000007</v>
      </c>
      <c r="C26" s="66">
        <f>SUM(C18:C25)</f>
        <v>54327.710000000006</v>
      </c>
      <c r="D26" s="66">
        <f>SUM(D18:D25)</f>
        <v>0</v>
      </c>
      <c r="E26" s="66">
        <f>SUM(E18:E25)</f>
        <v>0</v>
      </c>
      <c r="F26" s="64">
        <f>SUM(Table3356[[#This Row],[TASK 1]:[TASK 4]])</f>
        <v>96759.710000000021</v>
      </c>
    </row>
    <row r="27" spans="1:6" s="2" customFormat="1" ht="22.35" customHeight="1" x14ac:dyDescent="0.25">
      <c r="A27" s="25" t="s">
        <v>21</v>
      </c>
      <c r="B27" s="62">
        <v>0</v>
      </c>
      <c r="C27" s="62">
        <v>0</v>
      </c>
      <c r="D27" s="62">
        <v>0</v>
      </c>
      <c r="E27" s="62">
        <v>2400</v>
      </c>
      <c r="F27" s="64">
        <f>SUM(Table3356[[#This Row],[TASK 1]:[TASK 4]])</f>
        <v>2400</v>
      </c>
    </row>
    <row r="28" spans="1:6" s="2" customFormat="1" ht="22.35" customHeight="1" x14ac:dyDescent="0.25">
      <c r="A28" s="8" t="s">
        <v>22</v>
      </c>
      <c r="B28" s="62">
        <f>B26+B17+B27</f>
        <v>42432.000000000007</v>
      </c>
      <c r="C28" s="62">
        <f>C26+C17+C27</f>
        <v>54327.710000000006</v>
      </c>
      <c r="D28" s="62">
        <f>D26+D17+D27</f>
        <v>0</v>
      </c>
      <c r="E28" s="62">
        <f>E26+E17+E27</f>
        <v>2400</v>
      </c>
      <c r="F28" s="64">
        <f>SUM(Table3356[[#This Row],[TASK 1]:[TASK 4]])</f>
        <v>99159.710000000021</v>
      </c>
    </row>
    <row r="29" spans="1:6" ht="22.35" customHeight="1" x14ac:dyDescent="0.25">
      <c r="A29" s="8" t="s">
        <v>23</v>
      </c>
      <c r="B29" s="93">
        <f>B10+B15+B17+B26+B27</f>
        <v>157694.80000000002</v>
      </c>
      <c r="C29" s="93">
        <f>C10+C15+C17+C26+C27</f>
        <v>323274.2</v>
      </c>
      <c r="D29" s="68">
        <f>D10+D15+D17+D26+D27</f>
        <v>0</v>
      </c>
      <c r="E29" s="68">
        <f>E10+E15+E17+E26+E27</f>
        <v>167061.09999999998</v>
      </c>
      <c r="F29" s="64">
        <f>SUM(Table3356[[#This Row],[TASK 1]:[TASK 4]])</f>
        <v>648030.1</v>
      </c>
    </row>
    <row r="30" spans="1:6" ht="22.35" customHeight="1" x14ac:dyDescent="0.25">
      <c r="A30" s="7" t="s">
        <v>24</v>
      </c>
      <c r="B30" s="67">
        <f>B29*0.26</f>
        <v>41000.648000000008</v>
      </c>
      <c r="C30" s="67">
        <f>C29*0.26</f>
        <v>84051.292000000001</v>
      </c>
      <c r="D30" s="67">
        <f>D29*0.26</f>
        <v>0</v>
      </c>
      <c r="E30" s="67">
        <f>E29*0.26</f>
        <v>43435.885999999999</v>
      </c>
      <c r="F30" s="94">
        <f>SUM(Table3356[[#This Row],[TASK 1]:[TASK 4]])</f>
        <v>168487.826</v>
      </c>
    </row>
    <row r="31" spans="1:6" ht="22.15" customHeight="1" thickBot="1" x14ac:dyDescent="0.3">
      <c r="A31" s="106" t="s">
        <v>67</v>
      </c>
      <c r="B31" s="107">
        <v>0</v>
      </c>
      <c r="C31" s="107">
        <v>0</v>
      </c>
      <c r="D31" s="107">
        <v>9550000</v>
      </c>
      <c r="E31" s="107">
        <v>0</v>
      </c>
      <c r="F31" s="90">
        <f>D31</f>
        <v>9550000</v>
      </c>
    </row>
    <row r="32" spans="1:6" customFormat="1" ht="22.35" customHeight="1" thickTop="1" x14ac:dyDescent="0.25">
      <c r="A32" s="19" t="s">
        <v>38</v>
      </c>
      <c r="B32" s="91">
        <f>B29+B30+B31</f>
        <v>198695.44800000003</v>
      </c>
      <c r="C32" s="91">
        <f t="shared" ref="C32:F32" si="0">C29+C30+C31</f>
        <v>407325.49200000003</v>
      </c>
      <c r="D32" s="91">
        <f t="shared" si="0"/>
        <v>9550000</v>
      </c>
      <c r="E32" s="91">
        <f t="shared" si="0"/>
        <v>210496.98599999998</v>
      </c>
      <c r="F32" s="66">
        <f t="shared" si="0"/>
        <v>10366517.925999999</v>
      </c>
    </row>
  </sheetData>
  <printOptions horizontalCentered="1"/>
  <pageMargins left="0.25" right="0.25" top="1" bottom="0.75" header="0.3" footer="0.3"/>
  <pageSetup scale="88" fitToHeight="0" orientation="landscape" r:id="rId1"/>
  <headerFooter scaleWithDoc="0">
    <oddHeader>&amp;Rpptb-adad-nov18item03
Attachment 6
Page &amp;P of &amp;N</oddHeader>
    <oddFooter>Page &amp;P of &amp;N</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2"/>
  <sheetViews>
    <sheetView zoomScaleNormal="100" workbookViewId="0"/>
  </sheetViews>
  <sheetFormatPr defaultColWidth="8.7109375" defaultRowHeight="14.25" x14ac:dyDescent="0.2"/>
  <cols>
    <col min="1" max="1" width="68.7109375" style="1" customWidth="1"/>
    <col min="2" max="2" width="15.28515625" style="1" bestFit="1" customWidth="1"/>
    <col min="3" max="3" width="15.28515625" style="3" bestFit="1" customWidth="1"/>
    <col min="4" max="4" width="17.140625" style="3" bestFit="1" customWidth="1"/>
    <col min="5" max="5" width="15.28515625" style="4" bestFit="1" customWidth="1"/>
    <col min="6" max="6" width="18.5703125" style="4" bestFit="1" customWidth="1"/>
    <col min="7" max="16384" width="8.7109375" style="1"/>
  </cols>
  <sheetData>
    <row r="1" spans="1:6" s="2" customFormat="1" ht="23.25" x14ac:dyDescent="0.35">
      <c r="A1" s="116" t="s">
        <v>39</v>
      </c>
      <c r="B1" s="5"/>
      <c r="C1" s="5"/>
      <c r="D1" s="5"/>
      <c r="E1" s="5"/>
      <c r="F1" s="5"/>
    </row>
    <row r="2" spans="1:6" s="2" customFormat="1" ht="18.75" x14ac:dyDescent="0.3">
      <c r="A2" s="117" t="s">
        <v>69</v>
      </c>
      <c r="B2" s="5"/>
      <c r="C2" s="5"/>
      <c r="D2" s="5"/>
      <c r="E2" s="5"/>
      <c r="F2" s="5"/>
    </row>
    <row r="3" spans="1:6" s="2" customFormat="1" ht="36" x14ac:dyDescent="0.25">
      <c r="A3" s="16" t="s">
        <v>0</v>
      </c>
      <c r="B3" s="26"/>
      <c r="C3" s="26"/>
      <c r="D3" s="26"/>
      <c r="E3" s="26"/>
      <c r="F3" s="26"/>
    </row>
    <row r="4" spans="1:6" s="2" customFormat="1" ht="20.25" x14ac:dyDescent="0.3">
      <c r="A4" s="100" t="s">
        <v>48</v>
      </c>
      <c r="B4" s="35"/>
      <c r="C4" s="35"/>
      <c r="D4" s="35"/>
      <c r="E4" s="35"/>
      <c r="F4" s="6"/>
    </row>
    <row r="5" spans="1:6" s="2" customFormat="1" ht="15.75" x14ac:dyDescent="0.25">
      <c r="A5" s="9" t="s">
        <v>2</v>
      </c>
      <c r="B5" s="18" t="s">
        <v>41</v>
      </c>
      <c r="C5" s="18" t="s">
        <v>42</v>
      </c>
      <c r="D5" s="18" t="s">
        <v>43</v>
      </c>
      <c r="E5" s="18" t="s">
        <v>44</v>
      </c>
      <c r="F5" s="10" t="s">
        <v>3</v>
      </c>
    </row>
    <row r="6" spans="1:6" ht="22.15" customHeight="1" x14ac:dyDescent="0.25">
      <c r="A6" s="20" t="s">
        <v>4</v>
      </c>
      <c r="B6" s="62">
        <v>25322.31</v>
      </c>
      <c r="C6" s="62">
        <v>59085.39</v>
      </c>
      <c r="D6" s="62">
        <v>0</v>
      </c>
      <c r="E6" s="62">
        <v>36174.730000000003</v>
      </c>
      <c r="F6" s="94">
        <f>SUM(Table33567[[#This Row],[TASK 1]:[TASK 4]])</f>
        <v>120582.43</v>
      </c>
    </row>
    <row r="7" spans="1:6" ht="22.15" customHeight="1" x14ac:dyDescent="0.25">
      <c r="A7" s="20" t="s">
        <v>5</v>
      </c>
      <c r="B7" s="62">
        <v>22626.01</v>
      </c>
      <c r="C7" s="62">
        <v>52794.01</v>
      </c>
      <c r="D7" s="62">
        <v>0</v>
      </c>
      <c r="E7" s="62">
        <v>32322.86</v>
      </c>
      <c r="F7" s="64">
        <f>SUM(Table33567[[#This Row],[TASK 1]:[TASK 4]])</f>
        <v>107742.88</v>
      </c>
    </row>
    <row r="8" spans="1:6" ht="22.15" customHeight="1" x14ac:dyDescent="0.25">
      <c r="A8" s="20" t="s">
        <v>6</v>
      </c>
      <c r="B8" s="62">
        <v>16097.51</v>
      </c>
      <c r="C8" s="62">
        <v>37560.85</v>
      </c>
      <c r="D8" s="62">
        <v>0</v>
      </c>
      <c r="E8" s="62">
        <v>22996.44</v>
      </c>
      <c r="F8" s="64">
        <f>SUM(Table33567[[#This Row],[TASK 1]:[TASK 4]])</f>
        <v>76654.8</v>
      </c>
    </row>
    <row r="9" spans="1:6" ht="22.15" customHeight="1" x14ac:dyDescent="0.25">
      <c r="A9" s="20" t="s">
        <v>7</v>
      </c>
      <c r="B9" s="62">
        <v>22626.01</v>
      </c>
      <c r="C9" s="62">
        <v>52794.01</v>
      </c>
      <c r="D9" s="62">
        <v>0</v>
      </c>
      <c r="E9" s="62">
        <v>32322.86</v>
      </c>
      <c r="F9" s="64">
        <f>SUM(Table33567[[#This Row],[TASK 1]:[TASK 4]])</f>
        <v>107742.88</v>
      </c>
    </row>
    <row r="10" spans="1:6" s="2" customFormat="1" ht="22.15" customHeight="1" x14ac:dyDescent="0.25">
      <c r="A10" s="11" t="s">
        <v>8</v>
      </c>
      <c r="B10" s="95">
        <f t="shared" ref="B10:C10" si="0">SUM(B6:B9)</f>
        <v>86671.84</v>
      </c>
      <c r="C10" s="95">
        <f t="shared" si="0"/>
        <v>202234.26</v>
      </c>
      <c r="D10" s="95">
        <f>SUM(D6:D9)</f>
        <v>0</v>
      </c>
      <c r="E10" s="95">
        <f>SUM(E6:E9)</f>
        <v>123816.89</v>
      </c>
      <c r="F10" s="64">
        <f>SUM(Table33567[[#This Row],[TASK 1]:[TASK 4]])</f>
        <v>412722.99</v>
      </c>
    </row>
    <row r="11" spans="1:6" ht="22.15" customHeight="1" x14ac:dyDescent="0.25">
      <c r="A11" s="20" t="s">
        <v>4</v>
      </c>
      <c r="B11" s="62">
        <v>8807.35</v>
      </c>
      <c r="C11" s="62">
        <v>20550.490000000002</v>
      </c>
      <c r="D11" s="62">
        <v>0</v>
      </c>
      <c r="E11" s="62">
        <v>12581.93</v>
      </c>
      <c r="F11" s="92">
        <f>SUM(Table33567[[#This Row],[TASK 1]:[TASK 4]])</f>
        <v>41939.770000000004</v>
      </c>
    </row>
    <row r="12" spans="1:6" ht="22.15" customHeight="1" x14ac:dyDescent="0.25">
      <c r="A12" s="20" t="s">
        <v>5</v>
      </c>
      <c r="B12" s="62">
        <v>8160.24</v>
      </c>
      <c r="C12" s="62">
        <v>19040.560000000001</v>
      </c>
      <c r="D12" s="62">
        <v>0</v>
      </c>
      <c r="E12" s="62">
        <v>11657.49</v>
      </c>
      <c r="F12" s="64">
        <f>SUM(Table33567[[#This Row],[TASK 1]:[TASK 4]])</f>
        <v>38858.29</v>
      </c>
    </row>
    <row r="13" spans="1:6" ht="22.15" customHeight="1" x14ac:dyDescent="0.25">
      <c r="A13" s="20" t="s">
        <v>6</v>
      </c>
      <c r="B13" s="62">
        <v>6593.4</v>
      </c>
      <c r="C13" s="62">
        <v>15384.6</v>
      </c>
      <c r="D13" s="62">
        <v>0</v>
      </c>
      <c r="E13" s="62">
        <v>9419.15</v>
      </c>
      <c r="F13" s="64">
        <f>SUM(Table33567[[#This Row],[TASK 1]:[TASK 4]])</f>
        <v>31397.15</v>
      </c>
    </row>
    <row r="14" spans="1:6" ht="22.15" customHeight="1" x14ac:dyDescent="0.25">
      <c r="A14" s="20" t="s">
        <v>7</v>
      </c>
      <c r="B14" s="62">
        <v>8160.24</v>
      </c>
      <c r="C14" s="62">
        <v>19040.560000000001</v>
      </c>
      <c r="D14" s="62">
        <v>0</v>
      </c>
      <c r="E14" s="62">
        <v>11657.49</v>
      </c>
      <c r="F14" s="64">
        <f>SUM(Table33567[[#This Row],[TASK 1]:[TASK 4]])</f>
        <v>38858.29</v>
      </c>
    </row>
    <row r="15" spans="1:6" s="2" customFormat="1" ht="22.15" customHeight="1" x14ac:dyDescent="0.25">
      <c r="A15" s="8" t="s">
        <v>9</v>
      </c>
      <c r="B15" s="89">
        <f>SUM(B11:B14)</f>
        <v>31721.229999999996</v>
      </c>
      <c r="C15" s="89">
        <f>SUM(C11:C14)</f>
        <v>74016.210000000006</v>
      </c>
      <c r="D15" s="65">
        <f>SUM(D11:D14)</f>
        <v>0</v>
      </c>
      <c r="E15" s="65">
        <f>SUM(E11:E14)</f>
        <v>45316.06</v>
      </c>
      <c r="F15" s="64">
        <f>SUM(Table33567[[#This Row],[TASK 1]:[TASK 4]])</f>
        <v>151053.5</v>
      </c>
    </row>
    <row r="16" spans="1:6" ht="22.15" customHeight="1" x14ac:dyDescent="0.25">
      <c r="A16" s="20" t="s">
        <v>10</v>
      </c>
      <c r="B16" s="62">
        <v>0</v>
      </c>
      <c r="C16" s="62">
        <v>0</v>
      </c>
      <c r="D16" s="62">
        <v>0</v>
      </c>
      <c r="E16" s="62">
        <v>0</v>
      </c>
      <c r="F16" s="64">
        <f>SUM(Table33567[[#This Row],[TASK 1]:[TASK 4]])</f>
        <v>0</v>
      </c>
    </row>
    <row r="17" spans="1:6" s="2" customFormat="1" ht="22.15" customHeight="1" x14ac:dyDescent="0.25">
      <c r="A17" s="8" t="s">
        <v>11</v>
      </c>
      <c r="B17" s="66">
        <f>SUM(B16)</f>
        <v>0</v>
      </c>
      <c r="C17" s="66">
        <f>SUM(C16)</f>
        <v>0</v>
      </c>
      <c r="D17" s="66">
        <f>SUM(D16)</f>
        <v>0</v>
      </c>
      <c r="E17" s="66">
        <f>SUM(E16)</f>
        <v>0</v>
      </c>
      <c r="F17" s="64">
        <f>SUM(Table33567[[#This Row],[TASK 1]:[TASK 4]])</f>
        <v>0</v>
      </c>
    </row>
    <row r="18" spans="1:6" s="2" customFormat="1" ht="22.15" customHeight="1" x14ac:dyDescent="0.25">
      <c r="A18" s="20" t="s">
        <v>12</v>
      </c>
      <c r="B18" s="67">
        <v>0</v>
      </c>
      <c r="C18" s="67">
        <v>0</v>
      </c>
      <c r="D18" s="62">
        <v>0</v>
      </c>
      <c r="E18" s="62">
        <v>0</v>
      </c>
      <c r="F18" s="64">
        <f>SUM(Table33567[[#This Row],[TASK 1]:[TASK 4]])</f>
        <v>0</v>
      </c>
    </row>
    <row r="19" spans="1:6" ht="22.15" customHeight="1" x14ac:dyDescent="0.25">
      <c r="A19" s="20" t="s">
        <v>13</v>
      </c>
      <c r="B19" s="67">
        <v>1000</v>
      </c>
      <c r="C19" s="67">
        <v>0</v>
      </c>
      <c r="D19" s="62">
        <v>0</v>
      </c>
      <c r="E19" s="62">
        <v>0</v>
      </c>
      <c r="F19" s="64">
        <f>SUM(Table33567[[#This Row],[TASK 1]:[TASK 4]])</f>
        <v>1000</v>
      </c>
    </row>
    <row r="20" spans="1:6" ht="22.15" customHeight="1" x14ac:dyDescent="0.25">
      <c r="A20" s="20" t="s">
        <v>14</v>
      </c>
      <c r="B20" s="67">
        <v>41432.000000000007</v>
      </c>
      <c r="C20" s="67">
        <v>0</v>
      </c>
      <c r="D20" s="62">
        <v>0</v>
      </c>
      <c r="E20" s="62">
        <v>0</v>
      </c>
      <c r="F20" s="64">
        <f>SUM(Table33567[[#This Row],[TASK 1]:[TASK 4]])</f>
        <v>41432.000000000007</v>
      </c>
    </row>
    <row r="21" spans="1:6" ht="22.15" customHeight="1" x14ac:dyDescent="0.25">
      <c r="A21" s="20" t="s">
        <v>15</v>
      </c>
      <c r="B21" s="67">
        <v>0</v>
      </c>
      <c r="C21" s="67">
        <v>0</v>
      </c>
      <c r="D21" s="62">
        <v>0</v>
      </c>
      <c r="E21" s="62">
        <v>0</v>
      </c>
      <c r="F21" s="64">
        <f>SUM(Table33567[[#This Row],[TASK 1]:[TASK 4]])</f>
        <v>0</v>
      </c>
    </row>
    <row r="22" spans="1:6" ht="22.15" customHeight="1" x14ac:dyDescent="0.25">
      <c r="A22" s="20" t="s">
        <v>16</v>
      </c>
      <c r="B22" s="67">
        <v>0</v>
      </c>
      <c r="C22" s="62">
        <v>51790.000000000007</v>
      </c>
      <c r="D22" s="62">
        <v>0</v>
      </c>
      <c r="E22" s="62">
        <v>0</v>
      </c>
      <c r="F22" s="64">
        <f>SUM(Table33567[[#This Row],[TASK 1]:[TASK 4]])</f>
        <v>51790.000000000007</v>
      </c>
    </row>
    <row r="23" spans="1:6" ht="22.15" customHeight="1" x14ac:dyDescent="0.25">
      <c r="A23" s="20" t="s">
        <v>17</v>
      </c>
      <c r="B23" s="67">
        <v>0</v>
      </c>
      <c r="C23" s="62">
        <v>776.85</v>
      </c>
      <c r="D23" s="62">
        <v>0</v>
      </c>
      <c r="E23" s="62">
        <v>0</v>
      </c>
      <c r="F23" s="64">
        <f>SUM(Table33567[[#This Row],[TASK 1]:[TASK 4]])</f>
        <v>776.85</v>
      </c>
    </row>
    <row r="24" spans="1:6" ht="22.15" customHeight="1" x14ac:dyDescent="0.25">
      <c r="A24" s="20" t="s">
        <v>18</v>
      </c>
      <c r="B24" s="67">
        <v>0</v>
      </c>
      <c r="C24" s="62">
        <v>1760.86</v>
      </c>
      <c r="D24" s="62">
        <v>0</v>
      </c>
      <c r="E24" s="62">
        <v>0</v>
      </c>
      <c r="F24" s="64">
        <f>SUM(Table33567[[#This Row],[TASK 1]:[TASK 4]])</f>
        <v>1760.86</v>
      </c>
    </row>
    <row r="25" spans="1:6" ht="22.15" customHeight="1" x14ac:dyDescent="0.25">
      <c r="A25" s="20" t="s">
        <v>19</v>
      </c>
      <c r="B25" s="67">
        <v>0</v>
      </c>
      <c r="C25" s="67">
        <v>0</v>
      </c>
      <c r="D25" s="62">
        <v>0</v>
      </c>
      <c r="E25" s="62">
        <v>0</v>
      </c>
      <c r="F25" s="64">
        <f>SUM(Table33567[[#This Row],[TASK 1]:[TASK 4]])</f>
        <v>0</v>
      </c>
    </row>
    <row r="26" spans="1:6" s="2" customFormat="1" ht="22.15" customHeight="1" x14ac:dyDescent="0.25">
      <c r="A26" s="8" t="s">
        <v>20</v>
      </c>
      <c r="B26" s="66">
        <f>SUM(B18:B25)</f>
        <v>42432.000000000007</v>
      </c>
      <c r="C26" s="66">
        <f>SUM(C18:C25)</f>
        <v>54327.710000000006</v>
      </c>
      <c r="D26" s="66">
        <f>SUM(D18:D25)</f>
        <v>0</v>
      </c>
      <c r="E26" s="66">
        <f>SUM(E18:E25)</f>
        <v>0</v>
      </c>
      <c r="F26" s="64">
        <f>SUM(Table33567[[#This Row],[TASK 1]:[TASK 4]])</f>
        <v>96759.710000000021</v>
      </c>
    </row>
    <row r="27" spans="1:6" s="2" customFormat="1" ht="22.15" customHeight="1" x14ac:dyDescent="0.25">
      <c r="A27" s="25" t="s">
        <v>21</v>
      </c>
      <c r="B27" s="62">
        <v>0</v>
      </c>
      <c r="C27" s="62">
        <v>0</v>
      </c>
      <c r="D27" s="62">
        <v>0</v>
      </c>
      <c r="E27" s="62">
        <v>2400</v>
      </c>
      <c r="F27" s="64">
        <f>SUM(Table33567[[#This Row],[TASK 1]:[TASK 4]])</f>
        <v>2400</v>
      </c>
    </row>
    <row r="28" spans="1:6" s="2" customFormat="1" ht="22.15" customHeight="1" x14ac:dyDescent="0.25">
      <c r="A28" s="8" t="s">
        <v>22</v>
      </c>
      <c r="B28" s="62">
        <f>B26+B17+B27</f>
        <v>42432.000000000007</v>
      </c>
      <c r="C28" s="62">
        <f>C26+C17+C27</f>
        <v>54327.710000000006</v>
      </c>
      <c r="D28" s="62">
        <f>D26+D17+D27</f>
        <v>0</v>
      </c>
      <c r="E28" s="62">
        <f>E26+E17+E27</f>
        <v>2400</v>
      </c>
      <c r="F28" s="64">
        <f>SUM(Table33567[[#This Row],[TASK 1]:[TASK 4]])</f>
        <v>99159.710000000021</v>
      </c>
    </row>
    <row r="29" spans="1:6" ht="21.75" customHeight="1" x14ac:dyDescent="0.25">
      <c r="A29" s="8" t="s">
        <v>23</v>
      </c>
      <c r="B29" s="93">
        <f>B10+B15+B17+B26+B27</f>
        <v>160825.07</v>
      </c>
      <c r="C29" s="93">
        <f>C10+C15+C17+C26+C27</f>
        <v>330578.18000000005</v>
      </c>
      <c r="D29" s="93">
        <f>D10+D15+D17+D26+D27</f>
        <v>0</v>
      </c>
      <c r="E29" s="93">
        <f>E10+E15+E17+E26+E27</f>
        <v>171532.95</v>
      </c>
      <c r="F29" s="92">
        <f>SUM(Table33567[[#This Row],[TASK 1]:[TASK 4]])</f>
        <v>662936.20000000007</v>
      </c>
    </row>
    <row r="30" spans="1:6" ht="22.15" customHeight="1" x14ac:dyDescent="0.25">
      <c r="A30" s="7" t="s">
        <v>24</v>
      </c>
      <c r="B30" s="67">
        <f>B29*0.26</f>
        <v>41814.518200000006</v>
      </c>
      <c r="C30" s="67">
        <f>C29*0.26</f>
        <v>85950.32680000001</v>
      </c>
      <c r="D30" s="67">
        <f>D29*0.26</f>
        <v>0</v>
      </c>
      <c r="E30" s="67">
        <f>E29*0.26</f>
        <v>44598.567000000003</v>
      </c>
      <c r="F30" s="64">
        <f>SUM(Table33567[[#This Row],[TASK 1]:[TASK 4]])</f>
        <v>172363.41200000001</v>
      </c>
    </row>
    <row r="31" spans="1:6" ht="22.15" customHeight="1" thickBot="1" x14ac:dyDescent="0.3">
      <c r="A31" s="106" t="s">
        <v>67</v>
      </c>
      <c r="B31" s="107">
        <v>0</v>
      </c>
      <c r="C31" s="107">
        <v>0</v>
      </c>
      <c r="D31" s="107">
        <v>9550000</v>
      </c>
      <c r="E31" s="107">
        <v>0</v>
      </c>
      <c r="F31" s="90">
        <f>D31</f>
        <v>9550000</v>
      </c>
    </row>
    <row r="32" spans="1:6" customFormat="1" ht="22.35" customHeight="1" thickTop="1" x14ac:dyDescent="0.25">
      <c r="A32" s="19" t="s">
        <v>38</v>
      </c>
      <c r="B32" s="91">
        <f>B29+B30+B31</f>
        <v>202639.5882</v>
      </c>
      <c r="C32" s="91">
        <f>C29+C30+C31</f>
        <v>416528.50680000009</v>
      </c>
      <c r="D32" s="91">
        <f>D29+D30+D31</f>
        <v>9550000</v>
      </c>
      <c r="E32" s="91">
        <f>E29+E30+E31</f>
        <v>216131.51700000002</v>
      </c>
      <c r="F32" s="90">
        <f>F29+F30+F31</f>
        <v>10385299.612</v>
      </c>
    </row>
  </sheetData>
  <printOptions horizontalCentered="1"/>
  <pageMargins left="0.25" right="0.25" top="1" bottom="0.75" header="0.3" footer="0.3"/>
  <pageSetup scale="88" fitToHeight="0" orientation="landscape" r:id="rId1"/>
  <headerFooter scaleWithDoc="0">
    <oddHeader>&amp;Rpptb-adad-nov18item03
Attachment 6
Page &amp;P of &amp;N</oddHeader>
    <oddFooter>Page &amp;P of &amp;N</oddFoot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00AAE3EB56963488764F3DAD54870A0" ma:contentTypeVersion="0" ma:contentTypeDescription="Create a new document." ma:contentTypeScope="" ma:versionID="a65dfe3bd25e6ac1453cfcef2ab4415c">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0608C5-CED4-44CC-B321-DA216F9D81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2EE419A6-92ED-4957-9AD2-B361260DB7D9}">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E482EA12-9CF7-4924-9759-3A1305BBC89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Budget Summary By Task</vt:lpstr>
      <vt:lpstr>18-19 Budget Detail</vt:lpstr>
      <vt:lpstr>19-20 Budget Detail</vt:lpstr>
      <vt:lpstr>20-21 Budget Detail</vt:lpstr>
      <vt:lpstr>21-22 Budget Detail</vt:lpstr>
      <vt:lpstr>'18-19 Budget Detail'!Print_Area</vt:lpstr>
      <vt:lpstr>'19-20 Budget Detail'!Print_Area</vt:lpstr>
      <vt:lpstr>'20-21 Budget Detail'!Print_Area</vt:lpstr>
      <vt:lpstr>'21-22 Budget Detail'!Print_Area</vt:lpstr>
      <vt:lpstr>'Budget Summary By Task'!Print_Area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November 2018 Agenda Item 08 Attachment 06 - Meeting Agendas (CA State Board of Education)</dc:title>
  <dc:subject>California Assessment of Student Performance and Progress: Approval of the Proposed Contract Amendment with Educational Testing Service’s California Assessment of Student Performance and Progress Contract to Include the Integration of the English Language Proficiency Assessments for California, and Approval of the Proposed Contract Amendment with the University of California, Santa Cruz Interagency Agreement to Provide an Educator Reporting System, and Update on Program Activities.</dc:subject>
  <dc:creator>Marilyn Regalia</dc:creator>
  <cp:keywords>Item 8 Att 6</cp:keywords>
  <dc:description/>
  <cp:lastModifiedBy>CDE</cp:lastModifiedBy>
  <cp:revision/>
  <cp:lastPrinted>2018-10-29T21:55:06Z</cp:lastPrinted>
  <dcterms:created xsi:type="dcterms:W3CDTF">2015-11-04T19:17:14Z</dcterms:created>
  <dcterms:modified xsi:type="dcterms:W3CDTF">2018-10-29T21:59:54Z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0x010100600AAE3EB56963488764F3DAD54870A0</vt:lpwstr>
  </property>
</Properties>
</file>