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3EC79A6D-3A36-46D4-A104-0872F2E25069}" xr6:coauthVersionLast="47" xr6:coauthVersionMax="47" xr10:uidLastSave="{00000000-0000-0000-0000-000000000000}"/>
  <bookViews>
    <workbookView xWindow="28680" yWindow="-120" windowWidth="29040" windowHeight="15840" xr2:uid="{66BE05C3-957B-4B5E-9148-FB1F7E5F65F6}"/>
  </bookViews>
  <sheets>
    <sheet name="County Totals" sheetId="109" r:id="rId1"/>
    <sheet name="Alameda" sheetId="13" r:id="rId2"/>
    <sheet name="Contra Costa" sheetId="84" r:id="rId3"/>
    <sheet name="El Dorado" sheetId="119" r:id="rId4"/>
    <sheet name="Fresno" sheetId="85" r:id="rId5"/>
    <sheet name="Glenn" sheetId="118" r:id="rId6"/>
    <sheet name="Humboldt" sheetId="86" r:id="rId7"/>
    <sheet name="Kern" sheetId="114" r:id="rId8"/>
    <sheet name="Los Angeles" sheetId="88" r:id="rId9"/>
    <sheet name="Madera" sheetId="89" r:id="rId10"/>
    <sheet name="Mendocino" sheetId="115" r:id="rId11"/>
    <sheet name="Monterey" sheetId="90" r:id="rId12"/>
    <sheet name="Napa" sheetId="120" r:id="rId13"/>
    <sheet name="Nevada" sheetId="116" r:id="rId14"/>
    <sheet name="Orange" sheetId="93" r:id="rId15"/>
    <sheet name="Placer" sheetId="121" r:id="rId16"/>
    <sheet name="Riverside" sheetId="94" r:id="rId17"/>
    <sheet name="Sacramento" sheetId="96" r:id="rId18"/>
    <sheet name="San Benito" sheetId="110" r:id="rId19"/>
    <sheet name="San Bernardino" sheetId="97" r:id="rId20"/>
    <sheet name="San Diego" sheetId="98" r:id="rId21"/>
    <sheet name="San Joaquin" sheetId="99" r:id="rId22"/>
    <sheet name="San Luis Obispo" sheetId="100" r:id="rId23"/>
    <sheet name="San Mateo" sheetId="122" r:id="rId24"/>
    <sheet name="Santa Barbara" sheetId="111" r:id="rId25"/>
    <sheet name="Santa Clara" sheetId="101" r:id="rId26"/>
    <sheet name="Santa Cruz" sheetId="112" r:id="rId27"/>
    <sheet name="Shasta" sheetId="123" r:id="rId28"/>
    <sheet name="Solano" sheetId="102" r:id="rId29"/>
    <sheet name="Sonoma" sheetId="103" r:id="rId30"/>
    <sheet name="Stanislaus" sheetId="104" r:id="rId31"/>
    <sheet name="Tulare" sheetId="105" r:id="rId32"/>
    <sheet name="Ventura" sheetId="107" r:id="rId33"/>
    <sheet name="Yolo" sheetId="108" r:id="rId3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04" l="1"/>
  <c r="D10" i="114"/>
  <c r="E12" i="109" s="1"/>
  <c r="G5" i="110"/>
  <c r="H23" i="109" s="1"/>
  <c r="D5" i="110"/>
  <c r="E23" i="109" s="1"/>
  <c r="C34" i="109"/>
  <c r="B10" i="107" l="1"/>
  <c r="C37" i="109" s="1"/>
  <c r="G5" i="108"/>
  <c r="H38" i="109" s="1"/>
  <c r="D5" i="108"/>
  <c r="E38" i="109" s="1"/>
  <c r="D10" i="107"/>
  <c r="E37" i="109" s="1"/>
  <c r="G10" i="107"/>
  <c r="H37" i="109" s="1"/>
  <c r="J8" i="107"/>
  <c r="J5" i="107"/>
  <c r="B11" i="105"/>
  <c r="C36" i="109" s="1"/>
  <c r="G11" i="105"/>
  <c r="H36" i="109" s="1"/>
  <c r="D11" i="105"/>
  <c r="E36" i="109" s="1"/>
  <c r="J8" i="105"/>
  <c r="J5" i="105"/>
  <c r="J4" i="105"/>
  <c r="B6" i="104"/>
  <c r="C35" i="109" s="1"/>
  <c r="J5" i="104"/>
  <c r="G6" i="104"/>
  <c r="H35" i="109" s="1"/>
  <c r="J4" i="104"/>
  <c r="D7" i="103"/>
  <c r="E34" i="109" s="1"/>
  <c r="G7" i="103"/>
  <c r="H34" i="109" s="1"/>
  <c r="J5" i="103"/>
  <c r="D7" i="102"/>
  <c r="E33" i="109" s="1"/>
  <c r="G7" i="102"/>
  <c r="H33" i="109" s="1"/>
  <c r="B7" i="102"/>
  <c r="C33" i="109" s="1"/>
  <c r="J4" i="102"/>
  <c r="G5" i="123"/>
  <c r="H32" i="109" s="1"/>
  <c r="D5" i="123"/>
  <c r="E32" i="109" s="1"/>
  <c r="G5" i="112"/>
  <c r="H31" i="109" s="1"/>
  <c r="D5" i="112"/>
  <c r="E31" i="109" s="1"/>
  <c r="B12" i="101"/>
  <c r="C30" i="109" s="1"/>
  <c r="G12" i="101"/>
  <c r="H30" i="109" s="1"/>
  <c r="D12" i="101"/>
  <c r="E30" i="109" s="1"/>
  <c r="J10" i="101"/>
  <c r="J11" i="101"/>
  <c r="J8" i="101"/>
  <c r="J6" i="101"/>
  <c r="J5" i="101"/>
  <c r="J4" i="101"/>
  <c r="G5" i="111"/>
  <c r="H29" i="109" s="1"/>
  <c r="D5" i="111"/>
  <c r="E29" i="109" s="1"/>
  <c r="G5" i="122"/>
  <c r="H28" i="109" s="1"/>
  <c r="D5" i="122"/>
  <c r="E28" i="109" s="1"/>
  <c r="B5" i="122"/>
  <c r="C28" i="109" s="1"/>
  <c r="B6" i="100"/>
  <c r="C27" i="109" s="1"/>
  <c r="D6" i="100"/>
  <c r="E27" i="109" s="1"/>
  <c r="G6" i="100"/>
  <c r="H27" i="109" s="1"/>
  <c r="B10" i="99"/>
  <c r="C26" i="109" s="1"/>
  <c r="G10" i="99"/>
  <c r="H26" i="109" s="1"/>
  <c r="D10" i="99"/>
  <c r="E26" i="109" s="1"/>
  <c r="J7" i="99"/>
  <c r="J5" i="99"/>
  <c r="J4" i="99"/>
  <c r="B20" i="98"/>
  <c r="C25" i="109" s="1"/>
  <c r="G20" i="98"/>
  <c r="H25" i="109" s="1"/>
  <c r="D20" i="98"/>
  <c r="E25" i="109" s="1"/>
  <c r="J18" i="98"/>
  <c r="J13" i="98"/>
  <c r="J11" i="98"/>
  <c r="J9" i="98"/>
  <c r="J8" i="98"/>
  <c r="J7" i="98"/>
  <c r="B11" i="97"/>
  <c r="C24" i="109" s="1"/>
  <c r="J5" i="98"/>
  <c r="G11" i="97"/>
  <c r="H24" i="109" s="1"/>
  <c r="D11" i="97"/>
  <c r="E24" i="109" s="1"/>
  <c r="J9" i="97"/>
  <c r="J7" i="97"/>
  <c r="J6" i="97"/>
  <c r="G12" i="96"/>
  <c r="H22" i="109" s="1"/>
  <c r="D12" i="96"/>
  <c r="E22" i="109" s="1"/>
  <c r="J9" i="96"/>
  <c r="J7" i="96"/>
  <c r="J6" i="96"/>
  <c r="B15" i="94"/>
  <c r="C21" i="109" s="1"/>
  <c r="G15" i="94"/>
  <c r="H21" i="109" s="1"/>
  <c r="D15" i="94"/>
  <c r="E21" i="109" s="1"/>
  <c r="J11" i="94"/>
  <c r="B6" i="121"/>
  <c r="C20" i="109" s="1"/>
  <c r="G6" i="121"/>
  <c r="H20" i="109" s="1"/>
  <c r="D6" i="121"/>
  <c r="E20" i="109" s="1"/>
  <c r="B16" i="93"/>
  <c r="C19" i="109" s="1"/>
  <c r="G16" i="93"/>
  <c r="H19" i="109" s="1"/>
  <c r="D16" i="93"/>
  <c r="E19" i="109" s="1"/>
  <c r="J14" i="93" l="1"/>
  <c r="J13" i="93"/>
  <c r="J9" i="93"/>
  <c r="G5" i="116"/>
  <c r="H18" i="109" s="1"/>
  <c r="D5" i="116"/>
  <c r="E18" i="109" s="1"/>
  <c r="B5" i="116"/>
  <c r="C18" i="109" s="1"/>
  <c r="G5" i="120"/>
  <c r="H17" i="109" s="1"/>
  <c r="D5" i="120"/>
  <c r="E17" i="109" s="1"/>
  <c r="B5" i="120"/>
  <c r="C17" i="109" s="1"/>
  <c r="B7" i="90"/>
  <c r="C16" i="109" s="1"/>
  <c r="G7" i="90"/>
  <c r="H16" i="109" s="1"/>
  <c r="D7" i="90"/>
  <c r="E16" i="109" s="1"/>
  <c r="J6" i="90"/>
  <c r="D6" i="115"/>
  <c r="E15" i="109" s="1"/>
  <c r="J5" i="115"/>
  <c r="G6" i="115"/>
  <c r="H15" i="109" s="1"/>
  <c r="B6" i="115"/>
  <c r="C15" i="109" s="1"/>
  <c r="J4" i="115"/>
  <c r="G7" i="89"/>
  <c r="H14" i="109" s="1"/>
  <c r="B7" i="89"/>
  <c r="C14" i="109" s="1"/>
  <c r="D7" i="89"/>
  <c r="E14" i="109" s="1"/>
  <c r="J5" i="89"/>
  <c r="G29" i="88"/>
  <c r="H13" i="109" s="1"/>
  <c r="D29" i="88"/>
  <c r="E13" i="109" s="1"/>
  <c r="J7" i="88"/>
  <c r="J8" i="88"/>
  <c r="J9" i="88"/>
  <c r="J10" i="88"/>
  <c r="J11" i="88"/>
  <c r="J12" i="88"/>
  <c r="J13" i="88"/>
  <c r="J14" i="88"/>
  <c r="J15" i="88"/>
  <c r="J16" i="88"/>
  <c r="J17" i="88"/>
  <c r="J18" i="88"/>
  <c r="J19" i="88"/>
  <c r="J20" i="88"/>
  <c r="J21" i="88"/>
  <c r="J22" i="88"/>
  <c r="J23" i="88"/>
  <c r="J24" i="88"/>
  <c r="J25" i="88"/>
  <c r="J26" i="88"/>
  <c r="J27" i="88"/>
  <c r="J28" i="88"/>
  <c r="J5" i="88"/>
  <c r="J6" i="88"/>
  <c r="J4" i="88"/>
  <c r="B29" i="88"/>
  <c r="C13" i="109" s="1"/>
  <c r="G10" i="114"/>
  <c r="H12" i="109" s="1"/>
  <c r="B10" i="114"/>
  <c r="C12" i="109" s="1"/>
  <c r="J5" i="114"/>
  <c r="J6" i="114"/>
  <c r="J7" i="114"/>
  <c r="J8" i="114"/>
  <c r="G6" i="86"/>
  <c r="H11" i="109" s="1"/>
  <c r="D6" i="86"/>
  <c r="E11" i="109" s="1"/>
  <c r="G5" i="118"/>
  <c r="H10" i="109" s="1"/>
  <c r="D5" i="118"/>
  <c r="E10" i="109" s="1"/>
  <c r="B8" i="85"/>
  <c r="C9" i="109" s="1"/>
  <c r="G8" i="85"/>
  <c r="H9" i="109" s="1"/>
  <c r="D8" i="85"/>
  <c r="E9" i="109" s="1"/>
  <c r="J4" i="85"/>
  <c r="B6" i="119"/>
  <c r="C8" i="109" s="1"/>
  <c r="I5" i="123"/>
  <c r="J32" i="109" s="1"/>
  <c r="H5" i="123"/>
  <c r="I32" i="109" s="1"/>
  <c r="F5" i="123"/>
  <c r="G32" i="109" s="1"/>
  <c r="E5" i="123"/>
  <c r="F32" i="109" s="1"/>
  <c r="C5" i="123"/>
  <c r="D32" i="109" s="1"/>
  <c r="B5" i="123"/>
  <c r="C32" i="109" s="1"/>
  <c r="J4" i="123"/>
  <c r="J5" i="123" s="1"/>
  <c r="I5" i="122"/>
  <c r="J28" i="109" s="1"/>
  <c r="H5" i="122"/>
  <c r="I28" i="109" s="1"/>
  <c r="F5" i="122"/>
  <c r="G28" i="109" s="1"/>
  <c r="E5" i="122"/>
  <c r="F28" i="109" s="1"/>
  <c r="C5" i="122"/>
  <c r="D28" i="109" s="1"/>
  <c r="J4" i="122"/>
  <c r="J5" i="122" s="1"/>
  <c r="I6" i="121"/>
  <c r="J20" i="109" s="1"/>
  <c r="H6" i="121"/>
  <c r="I20" i="109" s="1"/>
  <c r="F6" i="121"/>
  <c r="G20" i="109" s="1"/>
  <c r="E6" i="121"/>
  <c r="F20" i="109" s="1"/>
  <c r="C6" i="121"/>
  <c r="D20" i="109" s="1"/>
  <c r="J5" i="121"/>
  <c r="J4" i="121"/>
  <c r="I5" i="120"/>
  <c r="J17" i="109" s="1"/>
  <c r="H5" i="120"/>
  <c r="I17" i="109" s="1"/>
  <c r="F5" i="120"/>
  <c r="G17" i="109" s="1"/>
  <c r="E5" i="120"/>
  <c r="F17" i="109" s="1"/>
  <c r="C5" i="120"/>
  <c r="D17" i="109" s="1"/>
  <c r="J4" i="120"/>
  <c r="J5" i="120" s="1"/>
  <c r="I6" i="119"/>
  <c r="J8" i="109" s="1"/>
  <c r="H6" i="119"/>
  <c r="I8" i="109" s="1"/>
  <c r="G6" i="119"/>
  <c r="H8" i="109" s="1"/>
  <c r="F6" i="119"/>
  <c r="G8" i="109" s="1"/>
  <c r="E6" i="119"/>
  <c r="F8" i="109" s="1"/>
  <c r="D6" i="119"/>
  <c r="E8" i="109" s="1"/>
  <c r="C6" i="119"/>
  <c r="D8" i="109" s="1"/>
  <c r="J5" i="119"/>
  <c r="J4" i="119"/>
  <c r="G9" i="84"/>
  <c r="H7" i="109" s="1"/>
  <c r="D9" i="84"/>
  <c r="E7" i="109" s="1"/>
  <c r="B9" i="84"/>
  <c r="C7" i="109" s="1"/>
  <c r="J7" i="84"/>
  <c r="J6" i="84"/>
  <c r="G11" i="13"/>
  <c r="H6" i="109" s="1"/>
  <c r="D11" i="13"/>
  <c r="E6" i="109" s="1"/>
  <c r="B11" i="13"/>
  <c r="J8" i="13"/>
  <c r="J6" i="13"/>
  <c r="J6" i="121" l="1"/>
  <c r="K28" i="109"/>
  <c r="K32" i="109"/>
  <c r="K17" i="109"/>
  <c r="K20" i="109"/>
  <c r="J6" i="119"/>
  <c r="K8" i="109"/>
  <c r="E39" i="109"/>
  <c r="H39" i="109"/>
  <c r="B5" i="108" l="1"/>
  <c r="C38" i="109" s="1"/>
  <c r="C5" i="108"/>
  <c r="D38" i="109" s="1"/>
  <c r="B5" i="111"/>
  <c r="C29" i="109" s="1"/>
  <c r="B12" i="96"/>
  <c r="C22" i="109" s="1"/>
  <c r="B5" i="110"/>
  <c r="C23" i="109" s="1"/>
  <c r="B5" i="118"/>
  <c r="C10" i="109" s="1"/>
  <c r="I5" i="118"/>
  <c r="J10" i="109" s="1"/>
  <c r="H5" i="118"/>
  <c r="I10" i="109" s="1"/>
  <c r="F5" i="118"/>
  <c r="G10" i="109" s="1"/>
  <c r="E5" i="118"/>
  <c r="F10" i="109" s="1"/>
  <c r="C5" i="118"/>
  <c r="D10" i="109" s="1"/>
  <c r="J4" i="118"/>
  <c r="J5" i="118" s="1"/>
  <c r="J5" i="102"/>
  <c r="J4" i="100"/>
  <c r="J8" i="99"/>
  <c r="J6" i="99"/>
  <c r="J15" i="98"/>
  <c r="J4" i="98"/>
  <c r="J8" i="97"/>
  <c r="J5" i="97"/>
  <c r="J8" i="94"/>
  <c r="J5" i="94"/>
  <c r="I5" i="116"/>
  <c r="J18" i="109" s="1"/>
  <c r="H5" i="116"/>
  <c r="I18" i="109" s="1"/>
  <c r="F5" i="116"/>
  <c r="G18" i="109" s="1"/>
  <c r="E5" i="116"/>
  <c r="F18" i="109" s="1"/>
  <c r="C5" i="116"/>
  <c r="D18" i="109" s="1"/>
  <c r="J4" i="116"/>
  <c r="J5" i="116" s="1"/>
  <c r="J4" i="90"/>
  <c r="I6" i="115"/>
  <c r="J15" i="109" s="1"/>
  <c r="H6" i="115"/>
  <c r="I15" i="109" s="1"/>
  <c r="F6" i="115"/>
  <c r="G15" i="109" s="1"/>
  <c r="E6" i="115"/>
  <c r="F15" i="109" s="1"/>
  <c r="C6" i="115"/>
  <c r="D15" i="109" s="1"/>
  <c r="J6" i="115"/>
  <c r="K15" i="109" l="1"/>
  <c r="K10" i="109"/>
  <c r="J4" i="89"/>
  <c r="B5" i="112"/>
  <c r="C31" i="109" s="1"/>
  <c r="C12" i="101"/>
  <c r="D30" i="109" s="1"/>
  <c r="E12" i="101"/>
  <c r="F30" i="109" s="1"/>
  <c r="F12" i="101"/>
  <c r="G30" i="109" s="1"/>
  <c r="H12" i="101"/>
  <c r="I30" i="109" s="1"/>
  <c r="I12" i="101"/>
  <c r="J30" i="109" s="1"/>
  <c r="J7" i="101"/>
  <c r="B6" i="86"/>
  <c r="C11" i="109" s="1"/>
  <c r="C6" i="109"/>
  <c r="J6" i="85"/>
  <c r="J5" i="85"/>
  <c r="C39" i="109" l="1"/>
  <c r="J4" i="84"/>
  <c r="I10" i="114"/>
  <c r="J12" i="109" s="1"/>
  <c r="H10" i="114"/>
  <c r="I12" i="109" s="1"/>
  <c r="F10" i="114"/>
  <c r="G12" i="109" s="1"/>
  <c r="E10" i="114"/>
  <c r="F12" i="109" s="1"/>
  <c r="C10" i="114"/>
  <c r="D12" i="109" s="1"/>
  <c r="J9" i="114"/>
  <c r="J4" i="114"/>
  <c r="C9" i="84"/>
  <c r="D7" i="109" s="1"/>
  <c r="C8" i="85"/>
  <c r="D9" i="109" s="1"/>
  <c r="K12" i="109" l="1"/>
  <c r="J10" i="114"/>
  <c r="D35" i="109" l="1"/>
  <c r="K18" i="109" l="1"/>
  <c r="C11" i="13"/>
  <c r="D6" i="109" s="1"/>
  <c r="C6" i="86"/>
  <c r="D11" i="109" s="1"/>
  <c r="C29" i="88"/>
  <c r="D13" i="109" s="1"/>
  <c r="C7" i="89"/>
  <c r="D14" i="109" s="1"/>
  <c r="C7" i="90"/>
  <c r="D16" i="109" s="1"/>
  <c r="C16" i="93"/>
  <c r="D19" i="109" s="1"/>
  <c r="C11" i="97"/>
  <c r="D24" i="109" s="1"/>
  <c r="C20" i="98"/>
  <c r="D25" i="109" s="1"/>
  <c r="C10" i="99"/>
  <c r="D26" i="109" s="1"/>
  <c r="C6" i="100"/>
  <c r="D27" i="109" s="1"/>
  <c r="C5" i="111"/>
  <c r="D29" i="109" s="1"/>
  <c r="C5" i="112"/>
  <c r="D31" i="109" s="1"/>
  <c r="C7" i="102"/>
  <c r="D33" i="109" s="1"/>
  <c r="C7" i="103"/>
  <c r="D34" i="109" s="1"/>
  <c r="C6" i="104"/>
  <c r="C11" i="105"/>
  <c r="D36" i="109" s="1"/>
  <c r="C10" i="107"/>
  <c r="D37" i="109" s="1"/>
  <c r="C5" i="110"/>
  <c r="D23" i="109" s="1"/>
  <c r="C12" i="96"/>
  <c r="D22" i="109" s="1"/>
  <c r="C15" i="94"/>
  <c r="D21" i="109" s="1"/>
  <c r="D39" i="109" l="1"/>
  <c r="J5" i="86"/>
  <c r="J4" i="86"/>
  <c r="J6" i="86" l="1"/>
  <c r="J9" i="105"/>
  <c r="J7" i="105"/>
  <c r="J6" i="105"/>
  <c r="J10" i="98"/>
  <c r="J6" i="98"/>
  <c r="J19" i="98"/>
  <c r="J4" i="96"/>
  <c r="J9" i="94"/>
  <c r="J7" i="94"/>
  <c r="J11" i="93"/>
  <c r="J12" i="93"/>
  <c r="J10" i="93"/>
  <c r="J8" i="93"/>
  <c r="J5" i="93"/>
  <c r="J5" i="13" l="1"/>
  <c r="I5" i="112"/>
  <c r="J31" i="109" s="1"/>
  <c r="H5" i="112"/>
  <c r="I31" i="109" s="1"/>
  <c r="F5" i="112"/>
  <c r="G31" i="109" s="1"/>
  <c r="E5" i="112"/>
  <c r="F31" i="109" s="1"/>
  <c r="J4" i="112"/>
  <c r="J5" i="112" s="1"/>
  <c r="I5" i="111"/>
  <c r="J29" i="109" s="1"/>
  <c r="H5" i="111"/>
  <c r="I29" i="109" s="1"/>
  <c r="F5" i="111"/>
  <c r="G29" i="109" s="1"/>
  <c r="E5" i="111"/>
  <c r="F29" i="109" s="1"/>
  <c r="K29" i="109" s="1"/>
  <c r="J4" i="111"/>
  <c r="J5" i="111" s="1"/>
  <c r="I5" i="110"/>
  <c r="J23" i="109" s="1"/>
  <c r="H5" i="110"/>
  <c r="I23" i="109" s="1"/>
  <c r="F5" i="110"/>
  <c r="G23" i="109" s="1"/>
  <c r="E5" i="110"/>
  <c r="F23" i="109" s="1"/>
  <c r="J4" i="110"/>
  <c r="J5" i="110" s="1"/>
  <c r="K23" i="109" l="1"/>
  <c r="K31" i="109"/>
  <c r="K30" i="109" l="1"/>
  <c r="I5" i="108" l="1"/>
  <c r="J38" i="109" s="1"/>
  <c r="H5" i="108"/>
  <c r="I38" i="109" s="1"/>
  <c r="F5" i="108"/>
  <c r="G38" i="109" s="1"/>
  <c r="E5" i="108"/>
  <c r="F38" i="109" s="1"/>
  <c r="K38" i="109" s="1"/>
  <c r="J4" i="108"/>
  <c r="J5" i="108" s="1"/>
  <c r="I10" i="107"/>
  <c r="J37" i="109" s="1"/>
  <c r="H10" i="107"/>
  <c r="I37" i="109" s="1"/>
  <c r="F10" i="107"/>
  <c r="G37" i="109" s="1"/>
  <c r="E10" i="107"/>
  <c r="F37" i="109" s="1"/>
  <c r="J9" i="107"/>
  <c r="J7" i="107"/>
  <c r="J6" i="107"/>
  <c r="J4" i="107"/>
  <c r="I11" i="105"/>
  <c r="J36" i="109" s="1"/>
  <c r="H11" i="105"/>
  <c r="I36" i="109" s="1"/>
  <c r="F11" i="105"/>
  <c r="G36" i="109" s="1"/>
  <c r="E11" i="105"/>
  <c r="F36" i="109" s="1"/>
  <c r="J10" i="105"/>
  <c r="J11" i="105" s="1"/>
  <c r="I6" i="104"/>
  <c r="J35" i="109" s="1"/>
  <c r="H6" i="104"/>
  <c r="I35" i="109" s="1"/>
  <c r="F6" i="104"/>
  <c r="G35" i="109" s="1"/>
  <c r="E6" i="104"/>
  <c r="F35" i="109" s="1"/>
  <c r="J6" i="104"/>
  <c r="I7" i="103"/>
  <c r="J34" i="109" s="1"/>
  <c r="H7" i="103"/>
  <c r="I34" i="109" s="1"/>
  <c r="F7" i="103"/>
  <c r="G34" i="109" s="1"/>
  <c r="E7" i="103"/>
  <c r="F34" i="109" s="1"/>
  <c r="J6" i="103"/>
  <c r="J4" i="103"/>
  <c r="I7" i="102"/>
  <c r="J33" i="109" s="1"/>
  <c r="H7" i="102"/>
  <c r="I33" i="109" s="1"/>
  <c r="F7" i="102"/>
  <c r="G33" i="109" s="1"/>
  <c r="E7" i="102"/>
  <c r="F33" i="109" s="1"/>
  <c r="J6" i="102"/>
  <c r="J7" i="102" s="1"/>
  <c r="J9" i="101"/>
  <c r="I6" i="100"/>
  <c r="J27" i="109" s="1"/>
  <c r="H6" i="100"/>
  <c r="I27" i="109" s="1"/>
  <c r="F6" i="100"/>
  <c r="G27" i="109" s="1"/>
  <c r="E6" i="100"/>
  <c r="F27" i="109" s="1"/>
  <c r="J5" i="100"/>
  <c r="J6" i="100" s="1"/>
  <c r="I10" i="99"/>
  <c r="J26" i="109" s="1"/>
  <c r="H10" i="99"/>
  <c r="I26" i="109" s="1"/>
  <c r="F10" i="99"/>
  <c r="G26" i="109" s="1"/>
  <c r="E10" i="99"/>
  <c r="F26" i="109" s="1"/>
  <c r="J9" i="99"/>
  <c r="J10" i="99" s="1"/>
  <c r="I20" i="98"/>
  <c r="J25" i="109" s="1"/>
  <c r="H20" i="98"/>
  <c r="I25" i="109" s="1"/>
  <c r="F20" i="98"/>
  <c r="G25" i="109" s="1"/>
  <c r="E20" i="98"/>
  <c r="F25" i="109" s="1"/>
  <c r="J17" i="98"/>
  <c r="J16" i="98"/>
  <c r="J14" i="98"/>
  <c r="J12" i="98"/>
  <c r="I11" i="97"/>
  <c r="J24" i="109" s="1"/>
  <c r="H11" i="97"/>
  <c r="I24" i="109" s="1"/>
  <c r="F11" i="97"/>
  <c r="G24" i="109" s="1"/>
  <c r="E11" i="97"/>
  <c r="F24" i="109" s="1"/>
  <c r="J10" i="97"/>
  <c r="J4" i="97"/>
  <c r="I12" i="96"/>
  <c r="J22" i="109" s="1"/>
  <c r="H12" i="96"/>
  <c r="I22" i="109" s="1"/>
  <c r="F12" i="96"/>
  <c r="G22" i="109" s="1"/>
  <c r="E12" i="96"/>
  <c r="F22" i="109" s="1"/>
  <c r="K22" i="109" s="1"/>
  <c r="J11" i="96"/>
  <c r="J10" i="96"/>
  <c r="J8" i="96"/>
  <c r="J5" i="96"/>
  <c r="I15" i="94"/>
  <c r="J21" i="109" s="1"/>
  <c r="H15" i="94"/>
  <c r="I21" i="109" s="1"/>
  <c r="F15" i="94"/>
  <c r="G21" i="109" s="1"/>
  <c r="E15" i="94"/>
  <c r="F21" i="109" s="1"/>
  <c r="J14" i="94"/>
  <c r="J13" i="94"/>
  <c r="J12" i="94"/>
  <c r="J10" i="94"/>
  <c r="J6" i="94"/>
  <c r="J4" i="94"/>
  <c r="I16" i="93"/>
  <c r="J19" i="109" s="1"/>
  <c r="H16" i="93"/>
  <c r="I19" i="109" s="1"/>
  <c r="F16" i="93"/>
  <c r="G19" i="109" s="1"/>
  <c r="E16" i="93"/>
  <c r="F19" i="109" s="1"/>
  <c r="J15" i="93"/>
  <c r="J7" i="93"/>
  <c r="J6" i="93"/>
  <c r="J4" i="93"/>
  <c r="K21" i="109" l="1"/>
  <c r="K27" i="109"/>
  <c r="J15" i="94"/>
  <c r="J20" i="98"/>
  <c r="K26" i="109"/>
  <c r="K34" i="109"/>
  <c r="K19" i="109"/>
  <c r="K24" i="109"/>
  <c r="K25" i="109"/>
  <c r="K33" i="109"/>
  <c r="K37" i="109"/>
  <c r="K35" i="109"/>
  <c r="J7" i="103"/>
  <c r="K36" i="109"/>
  <c r="J12" i="101"/>
  <c r="J12" i="96"/>
  <c r="J10" i="107"/>
  <c r="J11" i="97"/>
  <c r="J16" i="93"/>
  <c r="I7" i="90"/>
  <c r="J16" i="109" s="1"/>
  <c r="H7" i="90"/>
  <c r="I16" i="109" s="1"/>
  <c r="F7" i="90"/>
  <c r="G16" i="109" s="1"/>
  <c r="E7" i="90"/>
  <c r="F16" i="109" s="1"/>
  <c r="J5" i="90"/>
  <c r="J7" i="90" s="1"/>
  <c r="I7" i="89"/>
  <c r="J14" i="109" s="1"/>
  <c r="H7" i="89"/>
  <c r="I14" i="109" s="1"/>
  <c r="F7" i="89"/>
  <c r="G14" i="109" s="1"/>
  <c r="E7" i="89"/>
  <c r="F14" i="109" s="1"/>
  <c r="J6" i="89"/>
  <c r="J7" i="89" s="1"/>
  <c r="K16" i="109" l="1"/>
  <c r="K14" i="109"/>
  <c r="E29" i="88"/>
  <c r="F13" i="109" s="1"/>
  <c r="F29" i="88"/>
  <c r="G13" i="109" s="1"/>
  <c r="H29" i="88"/>
  <c r="I13" i="109" s="1"/>
  <c r="I29" i="88"/>
  <c r="J13" i="109" s="1"/>
  <c r="K13" i="109" l="1"/>
  <c r="I6" i="86"/>
  <c r="J11" i="109" s="1"/>
  <c r="H6" i="86"/>
  <c r="I11" i="109" s="1"/>
  <c r="F6" i="86"/>
  <c r="G11" i="109" s="1"/>
  <c r="E6" i="86"/>
  <c r="F11" i="109" s="1"/>
  <c r="K11" i="109" s="1"/>
  <c r="I8" i="85"/>
  <c r="J9" i="109" s="1"/>
  <c r="H8" i="85"/>
  <c r="I9" i="109" s="1"/>
  <c r="F8" i="85"/>
  <c r="G9" i="109" s="1"/>
  <c r="E8" i="85"/>
  <c r="F9" i="109" s="1"/>
  <c r="J7" i="85"/>
  <c r="K9" i="109" l="1"/>
  <c r="J29" i="88"/>
  <c r="J8" i="85"/>
  <c r="I9" i="84"/>
  <c r="J7" i="109" s="1"/>
  <c r="H9" i="84"/>
  <c r="I7" i="109" s="1"/>
  <c r="F9" i="84"/>
  <c r="G7" i="109" s="1"/>
  <c r="E9" i="84"/>
  <c r="F7" i="109" s="1"/>
  <c r="J8" i="84"/>
  <c r="J5" i="84"/>
  <c r="H11" i="13"/>
  <c r="I6" i="109" s="1"/>
  <c r="J10" i="13"/>
  <c r="K7" i="109" l="1"/>
  <c r="I39" i="109"/>
  <c r="J9" i="84"/>
  <c r="J9" i="13"/>
  <c r="J7" i="13"/>
  <c r="J4" i="13" l="1"/>
  <c r="J11" i="13" s="1"/>
  <c r="F11" i="13" l="1"/>
  <c r="G6" i="109" s="1"/>
  <c r="G39" i="109" s="1"/>
  <c r="E11" i="13" l="1"/>
  <c r="F6" i="109" s="1"/>
  <c r="I11" i="13"/>
  <c r="J6" i="109" s="1"/>
  <c r="J39" i="109" s="1"/>
  <c r="B39" i="109"/>
  <c r="K6" i="109" l="1"/>
  <c r="K39" i="109" s="1"/>
  <c r="F39" i="109"/>
</calcChain>
</file>

<file path=xl/sharedStrings.xml><?xml version="1.0" encoding="utf-8"?>
<sst xmlns="http://schemas.openxmlformats.org/spreadsheetml/2006/main" count="802" uniqueCount="368">
  <si>
    <t>California Department of Education</t>
  </si>
  <si>
    <t>Participating Counties</t>
  </si>
  <si>
    <t>Participating Local Educational Agencies (LEAs)</t>
  </si>
  <si>
    <t>Diplomas</t>
  </si>
  <si>
    <t>General Education Development Certificates</t>
  </si>
  <si>
    <t>Certificates of Completion</t>
  </si>
  <si>
    <t>Seal Total</t>
  </si>
  <si>
    <t>Alameda</t>
  </si>
  <si>
    <t>Contra Costa</t>
  </si>
  <si>
    <t>Fresno</t>
  </si>
  <si>
    <t>Glenn</t>
  </si>
  <si>
    <t>Humboldt</t>
  </si>
  <si>
    <t>Kern</t>
  </si>
  <si>
    <t>Los Angeles</t>
  </si>
  <si>
    <t>Madera</t>
  </si>
  <si>
    <t>Monterey</t>
  </si>
  <si>
    <t>Nevada</t>
  </si>
  <si>
    <t>Orange</t>
  </si>
  <si>
    <t>Riverside</t>
  </si>
  <si>
    <t>Sacramento</t>
  </si>
  <si>
    <t>San Benito</t>
  </si>
  <si>
    <t>San Bernardino</t>
  </si>
  <si>
    <t>San Diego</t>
  </si>
  <si>
    <t>San Joaquin</t>
  </si>
  <si>
    <t>San Luis Obispo</t>
  </si>
  <si>
    <t>Santa Barbara</t>
  </si>
  <si>
    <t>Santa Clara</t>
  </si>
  <si>
    <t>Santa Cruz</t>
  </si>
  <si>
    <t>Solano</t>
  </si>
  <si>
    <t>Sonoma</t>
  </si>
  <si>
    <t>Stanislaus</t>
  </si>
  <si>
    <t>Tulare</t>
  </si>
  <si>
    <t>Ventura</t>
  </si>
  <si>
    <t>Yolo</t>
  </si>
  <si>
    <t>Participating LEAs</t>
  </si>
  <si>
    <t>Participating Schools</t>
  </si>
  <si>
    <t>Albany City Unified</t>
  </si>
  <si>
    <t>Fremont Unified</t>
  </si>
  <si>
    <t>Oakland Unified</t>
  </si>
  <si>
    <t>Pleasanton Unified</t>
  </si>
  <si>
    <t>San Leandro Unified</t>
  </si>
  <si>
    <t>Antioch Unified</t>
  </si>
  <si>
    <t>Contra Costa School of Performing Arts</t>
  </si>
  <si>
    <t>Mt. Diablo Unified</t>
  </si>
  <si>
    <t>Fresno Unified</t>
  </si>
  <si>
    <t>Sanger Unified</t>
  </si>
  <si>
    <t>Hallmark Academy; Kings River High; Sanger High; Sanger West High</t>
  </si>
  <si>
    <t>Washington Unified</t>
  </si>
  <si>
    <t>Washington Union High</t>
  </si>
  <si>
    <t>Eureka Senior High</t>
  </si>
  <si>
    <t>Kern High</t>
  </si>
  <si>
    <t>Rosamond High Early College Campus</t>
  </si>
  <si>
    <t>Alhambra Unified</t>
  </si>
  <si>
    <t>Alhambra High; Mark Keppel High; San Gabriel High</t>
  </si>
  <si>
    <t>Azusa Unified</t>
  </si>
  <si>
    <t>Azusa High</t>
  </si>
  <si>
    <t>Bellflower Unified</t>
  </si>
  <si>
    <t>Bellflower High; Mayfair High</t>
  </si>
  <si>
    <t xml:space="preserve">Centinela Valley Union High </t>
  </si>
  <si>
    <t>Lawndale High; Leuzinger High</t>
  </si>
  <si>
    <t>Claremont Unified</t>
  </si>
  <si>
    <t>Hacienda La Puente Unified</t>
  </si>
  <si>
    <t>Las Virgenes Unified</t>
  </si>
  <si>
    <t>Agoura High; Calabasas High</t>
  </si>
  <si>
    <t>Long Beach Unified</t>
  </si>
  <si>
    <t>Los Angeles County Office of Education</t>
  </si>
  <si>
    <t>International Polytechnic High</t>
  </si>
  <si>
    <t>Los Angeles Unified</t>
  </si>
  <si>
    <t>Palos Verdes Peninsula Unified</t>
  </si>
  <si>
    <t>Palos Verdes High; Palos Verdes Peninsula High</t>
  </si>
  <si>
    <t>Redondo Beach Unified</t>
  </si>
  <si>
    <t>Redondo Union High</t>
  </si>
  <si>
    <t>Santa Monica-Malibu Unified</t>
  </si>
  <si>
    <t>Santa Monica High</t>
  </si>
  <si>
    <t>Torrance Unified</t>
  </si>
  <si>
    <t>North High; South High; Torrance High; West High</t>
  </si>
  <si>
    <t>Walnut Valley Unified</t>
  </si>
  <si>
    <t>Walnut High</t>
  </si>
  <si>
    <t>ABC Unified</t>
  </si>
  <si>
    <t>Yosemite Unified</t>
  </si>
  <si>
    <t>`</t>
  </si>
  <si>
    <t>North Monterey County Unified</t>
  </si>
  <si>
    <t>North Monterey County High</t>
  </si>
  <si>
    <t>Salinas Union High</t>
  </si>
  <si>
    <t>Alisal High; Everett Alvarez High; North Salinas High; Rancho San Juan High; Salinas High</t>
  </si>
  <si>
    <t>John Muir Charter Schools</t>
  </si>
  <si>
    <t>Anaheim Union High</t>
  </si>
  <si>
    <t>Capistrano Unified</t>
  </si>
  <si>
    <t>Fullerton Joint Union High</t>
  </si>
  <si>
    <t>Garden Grove Unified</t>
  </si>
  <si>
    <t>Bolsa Grande High; Garden Grove High; Hare High; La Quinta High; Los Amigos High; Pacifica High; Rancho Alamitos High; Santiago High</t>
  </si>
  <si>
    <t>Irvine Unified</t>
  </si>
  <si>
    <t>Newport-Mesa Unified</t>
  </si>
  <si>
    <t>Back Bay High; Corona del Mar High; Costa Mesa High; Early College High; Estancia High; Monte Vista Independent Study; Newport Harbor High</t>
  </si>
  <si>
    <t>Orange County Department of Education</t>
  </si>
  <si>
    <t>Pacific Coast High</t>
  </si>
  <si>
    <t>Tustin Unified</t>
  </si>
  <si>
    <t>Alvord Unified</t>
  </si>
  <si>
    <t>Norte Vista High</t>
  </si>
  <si>
    <t>Desert Sands Unified</t>
  </si>
  <si>
    <t>Hemet Unified</t>
  </si>
  <si>
    <t>Jurupa Unified</t>
  </si>
  <si>
    <t>Jurupa Valley High; Patriot High; Rubidoux High</t>
  </si>
  <si>
    <t>Moreno Valley Unified</t>
  </si>
  <si>
    <t>Palm Springs Unified</t>
  </si>
  <si>
    <t>Riverside Unified</t>
  </si>
  <si>
    <t>Temecula Valley Unified</t>
  </si>
  <si>
    <t>Chaparral High; Great Oak High; Temecula Valley High</t>
  </si>
  <si>
    <t>Val Verde Unified</t>
  </si>
  <si>
    <t>Citrus Hill High; Orange Vista High; Rancho Verde High; Val Verde High</t>
  </si>
  <si>
    <t>Elk Grove Unified</t>
  </si>
  <si>
    <t>Natomas Unified</t>
  </si>
  <si>
    <t>Sacramento City Unified</t>
  </si>
  <si>
    <t>San Juan Unified</t>
  </si>
  <si>
    <t>San Benito High</t>
  </si>
  <si>
    <t>Hollister High</t>
  </si>
  <si>
    <t>Apple Valley Unified</t>
  </si>
  <si>
    <t>Chaffey Joint Union High</t>
  </si>
  <si>
    <t>Hesperia Unified</t>
  </si>
  <si>
    <t>Rialto Unified</t>
  </si>
  <si>
    <t>Carlsbad Unified</t>
  </si>
  <si>
    <t>Carlsbad High; Sage Creek High</t>
  </si>
  <si>
    <t>Coronado Unified</t>
  </si>
  <si>
    <t>Coronado High</t>
  </si>
  <si>
    <t>Classical Academy High</t>
  </si>
  <si>
    <t>Poway Unified</t>
  </si>
  <si>
    <t>San Diego Unified</t>
  </si>
  <si>
    <t>San Dieguito Union High</t>
  </si>
  <si>
    <t>San Marcos Unified</t>
  </si>
  <si>
    <t>Sweetwater Union High</t>
  </si>
  <si>
    <t>Manteca Unified</t>
  </si>
  <si>
    <t>Lathrop High</t>
  </si>
  <si>
    <t>San Joaquin County Office of Education</t>
  </si>
  <si>
    <t>Stockton Unified</t>
  </si>
  <si>
    <t>Lucia Mar Unified</t>
  </si>
  <si>
    <t>Nipomo High</t>
  </si>
  <si>
    <t>Paso Robles Joint Unified</t>
  </si>
  <si>
    <t>Paso Robles High</t>
  </si>
  <si>
    <t>Santa Barbara Unified</t>
  </si>
  <si>
    <t>Los Gatos Saratoga Union High</t>
  </si>
  <si>
    <t>Palo Alto Unified</t>
  </si>
  <si>
    <t>Santa Clara County Office of Education</t>
  </si>
  <si>
    <t>Pajaro Valley Unified</t>
  </si>
  <si>
    <t>Fairfield-Suisun Unified</t>
  </si>
  <si>
    <t>MIT Academy</t>
  </si>
  <si>
    <t>Roseland</t>
  </si>
  <si>
    <t>West Sonoma County Union</t>
  </si>
  <si>
    <t>Analy High</t>
  </si>
  <si>
    <t>Porterville Unified</t>
  </si>
  <si>
    <t>Tulare County Office of Education</t>
  </si>
  <si>
    <t>University Preparatory High</t>
  </si>
  <si>
    <t>Visalia Unified</t>
  </si>
  <si>
    <t>Woodlake Unified</t>
  </si>
  <si>
    <t>Woodlake High</t>
  </si>
  <si>
    <t>Conejo Valley Unified</t>
  </si>
  <si>
    <t>Oak Park Unified</t>
  </si>
  <si>
    <t>Oxnard Union High</t>
  </si>
  <si>
    <t>Simi Valley Unified</t>
  </si>
  <si>
    <t>Davis Joint Unified</t>
  </si>
  <si>
    <t>2024–2025 State Seal of Civic Engagement: List of Participating Counties, Districts, and Schools</t>
  </si>
  <si>
    <t>October, 2025</t>
  </si>
  <si>
    <t>Albany High; MacGregor Continuation High</t>
  </si>
  <si>
    <t>American High; Irvington High; Mission San Jose High; Robertson High; Vista Alternative High; Washington High</t>
  </si>
  <si>
    <t>Brenkwitz High; Hayward High; Mt. Eden High; Tennyson High</t>
  </si>
  <si>
    <t>Hayward Unified</t>
  </si>
  <si>
    <t>Castlemont High; Coliseum College Prep Academy; Fremont High; Life Academy; MetWest High (Dolores Huerta Campus); Oakland High; Oakland International High; Oakland Technical High; Skyline High</t>
  </si>
  <si>
    <t>Piedmont City Unified</t>
  </si>
  <si>
    <t>Piedmont High</t>
  </si>
  <si>
    <t>Amador Valley High; Foothill High; Pleasanton Virtual Academy</t>
  </si>
  <si>
    <t>San Leandro High; San Leandro Virtual Academy</t>
  </si>
  <si>
    <t>Alternative High School Diplomas</t>
  </si>
  <si>
    <t>John Swett Unified</t>
  </si>
  <si>
    <t>Liberty Union High</t>
  </si>
  <si>
    <t>John Swett High</t>
  </si>
  <si>
    <t>Antioch High; Deer Valley High; Dozier Libbey Medical High</t>
  </si>
  <si>
    <t>Freedom High; Heritage High; Liberty High</t>
  </si>
  <si>
    <t>Mt. Diablo High; Northgate High; Ygnacio Valley High</t>
  </si>
  <si>
    <t>El Dorado</t>
  </si>
  <si>
    <t>Clarksville Charter</t>
  </si>
  <si>
    <t>Horizon Charter</t>
  </si>
  <si>
    <t>Central Unified</t>
  </si>
  <si>
    <t>Central East High; Central Online Home; Justin Garza High; Pershing Continuation High</t>
  </si>
  <si>
    <t>Bullard High; Design Science High; Edison High; Farber Online Secondary; Farber School of Credit Attainment; Farber School of Independent Studies; Fresno High; Hoover High; McLane High; Patino Entrepreneurship High; Roosevelt High; Sunnyside High</t>
  </si>
  <si>
    <t>Willows Unified</t>
  </si>
  <si>
    <t>Willows High</t>
  </si>
  <si>
    <t>Eureka City Schools</t>
  </si>
  <si>
    <t>Northern United—Humboldt Charter</t>
  </si>
  <si>
    <t>Southern Kern Unified</t>
  </si>
  <si>
    <t>Taft Union High</t>
  </si>
  <si>
    <t>Wasco Union High School</t>
  </si>
  <si>
    <t>Wonderful College Prep Academy—Delano</t>
  </si>
  <si>
    <t>Wonderful College Prep Academy—Lost Hills</t>
  </si>
  <si>
    <t>Foothill High; Kern Valley High; Shafter High; South High; Stockdale High; West High</t>
  </si>
  <si>
    <t>Wasco High</t>
  </si>
  <si>
    <t>Wonderful College Prep Academy - Delano</t>
  </si>
  <si>
    <t>Wonderful College Prep Academy - Lost Hills</t>
  </si>
  <si>
    <t>Animo Pat Brown</t>
  </si>
  <si>
    <t>Animo Ralphe Bunche</t>
  </si>
  <si>
    <t>California School of the Arts—San Gabriel Valley</t>
  </si>
  <si>
    <t>Compton Unified</t>
  </si>
  <si>
    <t>Lynwood Unified</t>
  </si>
  <si>
    <t>Monrovia Unified</t>
  </si>
  <si>
    <t>New Village Girls Academy</t>
  </si>
  <si>
    <t>Norwalk-La Mirada Unified</t>
  </si>
  <si>
    <t>Temple City Unified</t>
  </si>
  <si>
    <t>Artesia High; Cerritos High; Gahr High; Whitney High</t>
  </si>
  <si>
    <t>Animo Pat Brown Charter High</t>
  </si>
  <si>
    <t>Animo Ralph Bunche Charter High</t>
  </si>
  <si>
    <t>Claremont High School; San Antonio High School</t>
  </si>
  <si>
    <t>Compton Early College; Compton High; Dominguez High</t>
  </si>
  <si>
    <t>La Puente High; Los Altos High; Valley Alternative High; Glen A. Wilson High; William Workman High</t>
  </si>
  <si>
    <t>Juan Rodriguez Cabrillo High; Jordan High; Long Beach Polytechnic High; Ernest McBride High; Millikan High; Renaissance High School for the Arts; Woodrow Wilson High</t>
  </si>
  <si>
    <t>Marco Antonio Firebaugh High; Lynwood High; Vista High</t>
  </si>
  <si>
    <t>Monrovia High</t>
  </si>
  <si>
    <t>Temple City High</t>
  </si>
  <si>
    <t>ArTES Magnet—Arts, Theatre, Entertainment School; Belmont High; Francisco Bravo Medical Magnet; Carson High; Chatsworth Charter High; Cleveland Charter High; Ramon C. Cortines School of Visual and Performing Arts; Eagle Rock High; East Valley High; Elizabeth Learning Center; James A. Foshay Learning Center; John H. Francis Polytechnic High; Gardena High; James A. Garfield High; Girls Academic Leadership Academy; Alexander Hamilton High; Hollywood High; Huntington Park High; John F. Kennedy High; Robert F. Kennedy Community Schools; Lake Balboa College Preparatory Magnet; John Marshall High; Maywood Center for Enriched Studies; Nathaniel Narbonne High; Harris Newmark High; North Hollywood High; Northridge Academy High; Reseda High School; Diego Rivera Learning Complex; Theodore Roosevelt High; San Pedro High; Sherman Oaks Center for Enriched Studies; Stoney Point High; Taft Charter High; Esteban E. Torres High; University High; Valley Academy of Arts and Sciences; Van Nuys High School; Dr. Richard A. Vladovic Harbor Teacher Preparatory; Venice High; Walt Whitman High; Woodrow Wilson High</t>
  </si>
  <si>
    <t>Participating schools not identified.</t>
  </si>
  <si>
    <t>Chawanakee Unified</t>
  </si>
  <si>
    <t>Glacier High School Charter</t>
  </si>
  <si>
    <t>Minarets High</t>
  </si>
  <si>
    <t>Yosemite High</t>
  </si>
  <si>
    <t>Mendocino</t>
  </si>
  <si>
    <t>Mendocino Unified</t>
  </si>
  <si>
    <t>Ukiah Unified</t>
  </si>
  <si>
    <t>Mendocino High</t>
  </si>
  <si>
    <t>Ukiah High</t>
  </si>
  <si>
    <t>South Monterey County Joint Union High</t>
  </si>
  <si>
    <t>Greenfield High; King City High</t>
  </si>
  <si>
    <t>Napa</t>
  </si>
  <si>
    <t>St. Helena Unified</t>
  </si>
  <si>
    <t>St. Helena High</t>
  </si>
  <si>
    <t>John Muir Charter</t>
  </si>
  <si>
    <t>Anaheim High; Cambridge Virtual Academy; Cypress High; Gilbert Alternative High; Katella High; John Fitzgerald Kennedy High; Loara High; Magnolia High; Oxford Academy; Polaris Independent Study High; Savanna High; Western High</t>
  </si>
  <si>
    <t>Aliso Niguel High; Capistrano Valley High; Dana Hills High; San Clemente High; San Juan Hills High; Tesoro High</t>
  </si>
  <si>
    <t>Buena Park High; Fullerton Union High; La Habra High; La Sierra High; La Vista High; Sonora High; Sunny Hills High</t>
  </si>
  <si>
    <t>Creekside High; Irvine High; Northwood High; Portola High; San Joaquin High; University High; Woodbridge High</t>
  </si>
  <si>
    <t>Laguna Beach High</t>
  </si>
  <si>
    <t>Buena Vista Virtual High; El Dorado High; Esperanza High; Parkview High; Yorba Linda High</t>
  </si>
  <si>
    <t>Laguna Hills High; Mission Viejo High; Saddleback Virtual Academy; Trabuco Hills High</t>
  </si>
  <si>
    <t>Advanced Learning Academy; Middle College High School; Saddleback High School; Santa Ana High School</t>
  </si>
  <si>
    <t>Legacy Magnet Academy; Tustin Connect High; Tustin High</t>
  </si>
  <si>
    <t>Laguna Beach Unified</t>
  </si>
  <si>
    <t>Placentia-Yorba Linda Unified</t>
  </si>
  <si>
    <t>Saddleback Valley Unified</t>
  </si>
  <si>
    <t>Santa Ana Unified</t>
  </si>
  <si>
    <t>Placer</t>
  </si>
  <si>
    <t>Placer Union High</t>
  </si>
  <si>
    <t>Western Placer Unified</t>
  </si>
  <si>
    <t>Colfax High; Del Oro High; Foresthill High</t>
  </si>
  <si>
    <t>Lincoln High</t>
  </si>
  <si>
    <t>Corona-Norco Unified</t>
  </si>
  <si>
    <t>River Springs Unified</t>
  </si>
  <si>
    <t>Norco High; Eleanor Roosevelt High</t>
  </si>
  <si>
    <t>Amistad High; Indio High; La Quinta High; Palm Desert High; Shadow Hills High; Summit High</t>
  </si>
  <si>
    <t>Academy of Innovation; Alessandro High; Hamilton High; Hemet High; Tahquitz High; Western Center Academy; West Valley High</t>
  </si>
  <si>
    <t>Moreno Valley High; Vista del Lago High</t>
  </si>
  <si>
    <t>Cathedral City High; Desert Hot Springs High; Mt. San Jacinto High; Palm Springs High; Rancho Mirage High</t>
  </si>
  <si>
    <t>River Springs Charter</t>
  </si>
  <si>
    <t>Arlington High; Martin Luther King High; Abraham Lincoln High; John W. North High; Ramona High; Riverside STEM High</t>
  </si>
  <si>
    <t>Folsom-Cordova Unified</t>
  </si>
  <si>
    <t>Futures High</t>
  </si>
  <si>
    <t>Natomas Charter</t>
  </si>
  <si>
    <t>Sacramento Charter High</t>
  </si>
  <si>
    <t>Cosumnes Oaks High; Elk Grove Charter; Elk Grove High; Florin High; Franklin High; Laguna Creek High; Monterey Trail High; Pleasant Grove High; Sheldon High; Valley High</t>
  </si>
  <si>
    <t>Cordova High; Folsom High; Vista Del Lago High</t>
  </si>
  <si>
    <t>Early College Academy; Performing and Fine Arts Academy</t>
  </si>
  <si>
    <t>Leroy Greene Academy; Inderkum High; Natomas High; Natomas Pacific Pathways Prep High</t>
  </si>
  <si>
    <t>Arthur A. Benjamin Health Professions High; Luther Burbank High; Capital City; Hiram Johnson High; John F. Kennedy High; C.K. McClatchy High; The Met Sacramento; Rosemont High; School of Engineering and Sciences; Umoja International Academy; West Campus High</t>
  </si>
  <si>
    <t>Bella Vista High; Casa Roble High, Del Campo High; El Camino High; Encina High; Meraki High; Mesa Verde High; Mira Loma High; Rio Americano High; San Juan High</t>
  </si>
  <si>
    <t>Colton Joint Unified</t>
  </si>
  <si>
    <t>Empire Springs Charter</t>
  </si>
  <si>
    <t>Silver Valley Unified</t>
  </si>
  <si>
    <t>Apple Valley High; High Desert Premier Academy</t>
  </si>
  <si>
    <t>Alta Loma High; Chaffey District Online High; Colony High; Etiwanda High; Los Osos High; Ontario High; Rancho Cucamonga High</t>
  </si>
  <si>
    <t>Bloomington High; Grand Terrace High</t>
  </si>
  <si>
    <t>Hesperia High; Oak Hills High; Shadow Ridge</t>
  </si>
  <si>
    <t>Carter High; Eisenhower High; Milor High School; Rialto High</t>
  </si>
  <si>
    <t>Silver Valley High</t>
  </si>
  <si>
    <t>Chula Vista Learning Community Charter</t>
  </si>
  <si>
    <t>Dimensions Collaborative</t>
  </si>
  <si>
    <t>e3 Civic High</t>
  </si>
  <si>
    <t>Escondido Charter High</t>
  </si>
  <si>
    <t>Health Sciences High and Middle College</t>
  </si>
  <si>
    <t>King-Chavez Community High</t>
  </si>
  <si>
    <t>Preuss School UC San Diego</t>
  </si>
  <si>
    <t>The Classical Academies</t>
  </si>
  <si>
    <t>Vista Unified</t>
  </si>
  <si>
    <t>Chula Vista Learning Community Charter High</t>
  </si>
  <si>
    <t>Escondido Charter</t>
  </si>
  <si>
    <t>Del Norte High; Mount Carmel High; Poway High; Poway to Palomar Middle College; Rancho Bernardo High; Westview High</t>
  </si>
  <si>
    <t>The Preuss School UC San Diego</t>
  </si>
  <si>
    <t>Canyon Hills High; Clairemont High; Crawford High; Hoover High; La Jolla High; Madison High; Mission Bay High; Morse High; School of Creative and Performing Arts; Scripps Ranch High; University City High</t>
  </si>
  <si>
    <t>Canyon Crest Academy; La Costa Canyon High; San Dieguito High School Academy; Sunset High (Continuation); Torrey Pines High</t>
  </si>
  <si>
    <t>Mission Hills High; San Marcos High</t>
  </si>
  <si>
    <t>Chula Vista High; Hilltop High; Mar Vista High</t>
  </si>
  <si>
    <t>Mission Vista High; Rancho Buena Vista High; Vista High</t>
  </si>
  <si>
    <t>Lammersville Unified</t>
  </si>
  <si>
    <t>Linden Unified</t>
  </si>
  <si>
    <t>one.Charter</t>
  </si>
  <si>
    <t>Mountain House High</t>
  </si>
  <si>
    <t>Linden High</t>
  </si>
  <si>
    <t>San Joaquin Community (one.Discover, one.Choice, one.Lodi)</t>
  </si>
  <si>
    <t>Franklin High; Health Careers Academy; Edward C. Merlo Institute of Environmental Studies; Pacific Law Academy; Stagg High; Stockton Early College Academy; Weber Institute of Applied Sciences and Technology</t>
  </si>
  <si>
    <t>San Mateo</t>
  </si>
  <si>
    <t>Jefferson Union High</t>
  </si>
  <si>
    <t>Jefferson High; Oceana High; Terra Nova High; Thornton High; Westmoor High</t>
  </si>
  <si>
    <t>Dos Pueblos Senior High; San Marcos Senior High; Santa Barbara Senior High</t>
  </si>
  <si>
    <t>Campbell Union High</t>
  </si>
  <si>
    <t>East Side Union High</t>
  </si>
  <si>
    <t>Gilroy Unified</t>
  </si>
  <si>
    <t>Milpitas Unified</t>
  </si>
  <si>
    <t>Santa Clara Unified</t>
  </si>
  <si>
    <t>Branham High; Del Mar High; Leigh High; Prospect High</t>
  </si>
  <si>
    <t>Evergreen Valley High; Piedmont Hills High; Silver Creek High; Yerba Buena High</t>
  </si>
  <si>
    <t>Gilroy High; Dr. TJ Owens Gilroy Early College Academy</t>
  </si>
  <si>
    <t>Los Gatos High; Saratoga High</t>
  </si>
  <si>
    <t>Milpitas High</t>
  </si>
  <si>
    <t>Gunn High; Palo Alto High; Palo Alto Middle College High</t>
  </si>
  <si>
    <t>Osborne School</t>
  </si>
  <si>
    <t>Santa Clara High</t>
  </si>
  <si>
    <t>Aptos High; Diamond Technology Institute; New School Community Day High; Pacific Coast Charter; Pajaro Valley High; Renaissance High Continuation; Virtual Academy; Watsonville High</t>
  </si>
  <si>
    <t>Shasta</t>
  </si>
  <si>
    <t>Fall River Joint Unified</t>
  </si>
  <si>
    <t>Burney Jr. Sr. High; Fall River Jr. Sr. High</t>
  </si>
  <si>
    <t>Benicia Unified</t>
  </si>
  <si>
    <t>Benicia High</t>
  </si>
  <si>
    <t>Fairfield High; The Public Safety Academy</t>
  </si>
  <si>
    <t>Windsor Unified</t>
  </si>
  <si>
    <t>Roseland Collegiate Prep; Roseland University Prep</t>
  </si>
  <si>
    <t>Modesto City Schools</t>
  </si>
  <si>
    <t>Patterson Joint Unified</t>
  </si>
  <si>
    <t>Fred C. Beyer High; Robert T. Elliott Alternative Education Center; James C. Enochs High; Joseph A. Gregori High; Johansen High; Modesto High</t>
  </si>
  <si>
    <t>Patterson High</t>
  </si>
  <si>
    <t>Farmersville Unified</t>
  </si>
  <si>
    <t>Lindsay Unified</t>
  </si>
  <si>
    <t>Tulare Joint Union High</t>
  </si>
  <si>
    <t>Farmersville High</t>
  </si>
  <si>
    <t>John J. Cairns Continuation High;  Lindsay High</t>
  </si>
  <si>
    <t>Granite Hills High; Harmony Magnet Academy; Monache High School; Porterville High; Porterville Military Academy; Strathmore High</t>
  </si>
  <si>
    <t>Tulare Union High</t>
  </si>
  <si>
    <t>El Diamante High; Mount Whitney High; Redwood High; Visalia Charter Independent Study; Visalia Technical Early College</t>
  </si>
  <si>
    <t>IvyTech Charter</t>
  </si>
  <si>
    <t>Ventura Unified</t>
  </si>
  <si>
    <t>Conejo Valley High; Newbury Park High; Thousand Oaks High; Westlake High</t>
  </si>
  <si>
    <t>Oak Park High</t>
  </si>
  <si>
    <t>Adolfo Camarillo High; Hueneme High; Oxnard High; Oxnard Middle College High; Pacifica High; Rancho Campana High; Rio Mesa High</t>
  </si>
  <si>
    <t>Monte Vista; Royal High; Santa Susana High; Simi Valley High</t>
  </si>
  <si>
    <t>Buena High; Foothill Technology High</t>
  </si>
  <si>
    <t>Da Vinci Charter Academy; Davis School for Independent Study; Davis Senior High</t>
  </si>
  <si>
    <t>3</t>
  </si>
  <si>
    <t>Grade Ten Transcripts</t>
  </si>
  <si>
    <t>Grade Eleven Transcripts</t>
  </si>
  <si>
    <t>Grade Twelve Transcripts</t>
  </si>
  <si>
    <t>Alternate High School Diplomas</t>
  </si>
  <si>
    <t>Total</t>
  </si>
  <si>
    <t>Total Participating LEAs: 7</t>
  </si>
  <si>
    <t>Total Participating LEAs: 5</t>
  </si>
  <si>
    <t>Total Participating LEAs: 2</t>
  </si>
  <si>
    <t>Total Participating LEAs: 4</t>
  </si>
  <si>
    <t>Total Participating LEAs: 1</t>
  </si>
  <si>
    <t>Total Participating LEAs: 6</t>
  </si>
  <si>
    <t>Total Participating LEAs: 25</t>
  </si>
  <si>
    <t>Total Participating LEAs: 3</t>
  </si>
  <si>
    <t>Total Participating LEAs: 12</t>
  </si>
  <si>
    <t>Total Participating LEAs: 11</t>
  </si>
  <si>
    <t>Total Participating LEAs: 8</t>
  </si>
  <si>
    <t>Total Participating LEAs: 16</t>
  </si>
  <si>
    <t>Total Participating Counties: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</si>
</sst>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slantDashDot">
        <color rgb="FF002060"/>
      </left>
      <right/>
      <top/>
      <bottom/>
      <diagonal/>
    </border>
    <border>
      <left style="thick">
        <color auto="1"/>
      </left>
      <right/>
      <top/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18" fillId="0" borderId="0" applyNumberFormat="0" applyFill="0" applyAlignment="0" applyProtection="0"/>
    <xf numFmtId="0" fontId="17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2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" fillId="0" borderId="0"/>
    <xf numFmtId="0" fontId="2" fillId="0" borderId="0"/>
    <xf numFmtId="0" fontId="18" fillId="0" borderId="0" applyNumberFormat="0" applyFill="0" applyAlignment="0" applyProtection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43"/>
    <xf numFmtId="3" fontId="2" fillId="0" borderId="0" xfId="43" applyNumberFormat="1"/>
    <xf numFmtId="0" fontId="2" fillId="0" borderId="0" xfId="43" applyAlignment="1">
      <alignment vertical="center" wrapText="1"/>
    </xf>
    <xf numFmtId="0" fontId="18" fillId="0" borderId="0" xfId="44"/>
    <xf numFmtId="3" fontId="0" fillId="0" borderId="9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3" fontId="0" fillId="0" borderId="0" xfId="0" applyNumberFormat="1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center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0" fontId="18" fillId="0" borderId="0" xfId="2"/>
    <xf numFmtId="0" fontId="17" fillId="0" borderId="0" xfId="2" applyFont="1"/>
    <xf numFmtId="0" fontId="17" fillId="0" borderId="0" xfId="2" applyFont="1" applyFill="1"/>
    <xf numFmtId="0" fontId="17" fillId="0" borderId="0" xfId="2" applyFont="1" applyAlignment="1">
      <alignment vertical="center"/>
    </xf>
    <xf numFmtId="0" fontId="0" fillId="0" borderId="10" xfId="0" applyBorder="1" applyAlignment="1">
      <alignment vertical="top"/>
    </xf>
    <xf numFmtId="3" fontId="2" fillId="0" borderId="10" xfId="43" applyNumberFormat="1" applyBorder="1"/>
    <xf numFmtId="0" fontId="19" fillId="0" borderId="0" xfId="0" applyFont="1" applyAlignment="1">
      <alignment vertical="top" wrapText="1"/>
    </xf>
    <xf numFmtId="3" fontId="2" fillId="0" borderId="0" xfId="43" applyNumberFormat="1" applyAlignment="1">
      <alignment horizontal="right"/>
    </xf>
    <xf numFmtId="3" fontId="2" fillId="0" borderId="0" xfId="43" applyNumberFormat="1" applyAlignment="1">
      <alignment vertical="top"/>
    </xf>
    <xf numFmtId="0" fontId="20" fillId="0" borderId="0" xfId="0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1 2" xfId="44" xr:uid="{6F156F83-58CF-40C9-BB14-EE03A0112B4E}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1B498AA-5CA1-4C86-A554-A9DE7C16C78A}"/>
    <cellStyle name="Normal 3" xfId="43" xr:uid="{F8F2659A-B80A-4466-818A-2CB245377D7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48"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 outline="0">
        <left style="slantDashDot">
          <color rgb="FF002060"/>
        </left>
        <right/>
        <top/>
        <bottom/>
      </border>
    </dxf>
    <dxf>
      <numFmt numFmtId="3" formatCode="#,##0"/>
      <border diagonalUp="0" diagonalDown="0">
        <left style="thick">
          <color auto="1"/>
        </left>
        <right/>
        <top/>
        <bottom/>
        <vertical/>
        <horizontal/>
      </border>
    </dxf>
    <dxf>
      <numFmt numFmtId="3" formatCode="#,##0"/>
    </dxf>
    <dxf>
      <numFmt numFmtId="3" formatCode="#,##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  <border diagonalUp="0" diagonalDown="0">
        <left style="thick">
          <color auto="1"/>
        </left>
        <right/>
        <top/>
        <bottom/>
        <vertical/>
        <horizontal/>
      </border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right" vertical="bottom" textRotation="0" wrapText="1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right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indent="0" justifyLastLine="0" shrinkToFit="0" readingOrder="0"/>
    </dxf>
    <dxf>
      <numFmt numFmtId="3" formatCode="#,##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numFmt numFmtId="3" formatCode="#,##0"/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CA48B9-5F0F-438D-9C56-22DF090E4169}" name="Table30" displayName="Table30" ref="A5:K39" totalsRowCount="1" headerRowDxfId="747">
  <autoFilter ref="A5:K38" xr:uid="{00000000-0009-0000-0100-000003000000}"/>
  <tableColumns count="11">
    <tableColumn id="1" xr3:uid="{00000000-0010-0000-0000-000001000000}" name="Participating Counties" totalsRowLabel="Total"/>
    <tableColumn id="14" xr3:uid="{00000000-0010-0000-0000-00000E000000}" name="Participating Local Educational Agencies (LEAs)" totalsRowFunction="sum" dataDxfId="19" totalsRowDxfId="9"/>
    <tableColumn id="2" xr3:uid="{00000000-0010-0000-0000-000002000000}" name="Participating Schools" totalsRowFunction="sum" dataDxfId="18" totalsRowDxfId="8"/>
    <tableColumn id="3" xr3:uid="{00000000-0010-0000-0000-000003000000}" name="Diplomas" totalsRowFunction="sum" dataDxfId="17" totalsRowDxfId="7"/>
    <tableColumn id="6" xr3:uid="{66AEAEAA-A4EB-4753-ACC5-0A3B8DFA8E3E}" name="Alternative High School Diplomas" totalsRowFunction="sum" dataDxfId="16" totalsRowDxfId="6"/>
    <tableColumn id="16" xr3:uid="{00000000-0010-0000-0000-000010000000}" name="General Education Development Certificates" totalsRowFunction="sum" dataDxfId="15" totalsRowDxfId="5" dataCellStyle="Normal 3"/>
    <tableColumn id="4" xr3:uid="{00000000-0010-0000-0000-000004000000}" name="Certificates of Completion" totalsRowFunction="sum" dataDxfId="14" totalsRowDxfId="4"/>
    <tableColumn id="7" xr3:uid="{C8A9DF5F-5E61-442C-A6E9-BCB344349898}" name="Grade Ten Transcripts" totalsRowFunction="sum" dataDxfId="13" totalsRowDxfId="3">
      <calculatedColumnFormula>Alameda!G4</calculatedColumnFormula>
    </tableColumn>
    <tableColumn id="5" xr3:uid="{CC279750-D64C-4081-BF5D-367657631092}" name="Grade Eleven Transcripts" totalsRowFunction="sum" dataDxfId="12" totalsRowDxfId="2"/>
    <tableColumn id="20" xr3:uid="{A914807D-E889-483A-ADDF-BE02EB53BF33}" name="Grade Twelve Transcripts" totalsRowFunction="sum" dataDxfId="11" totalsRowDxfId="1"/>
    <tableColumn id="15" xr3:uid="{00000000-0010-0000-0000-00000F000000}" name="Seal Total" totalsRowFunction="sum" dataDxfId="10" totalsRowDxfId="0">
      <calculatedColumnFormula>SUM(D6:J6)</calculatedColumnFormula>
    </tableColumn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counties, districts, and schools that participated in the 2024-25 California State Seal of Civic Engagement program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4E32FA9-416C-42BE-B76D-053A52893EEB}" name="Table25678910" displayName="Table25678910" ref="A3:J7" totalsRowCount="1" headerRowDxfId="658" dataDxfId="657">
  <autoFilter ref="A3:J6" xr:uid="{00000000-0009-0000-0100-000002000000}"/>
  <tableColumns count="10">
    <tableColumn id="1" xr3:uid="{44AB6BDF-DD55-4C96-9686-C74C266F95EC}" name="Participating LEAs" totalsRowLabel="Total" dataDxfId="656" totalsRowDxfId="269"/>
    <tableColumn id="2" xr3:uid="{32D44BCD-E7E6-480A-A1C3-71C1DA9B9014}" name="Participating Schools" totalsRowFunction="custom" dataDxfId="655" totalsRowDxfId="268">
      <totalsRowFormula>COUNTA(_xlfn.TEXTSPLIT(B4,";"))+COUNTA(_xlfn.TEXTSPLIT(B5,";"))+COUNTA(_xlfn.TEXTSPLIT(B6,";"))</totalsRowFormula>
    </tableColumn>
    <tableColumn id="18" xr3:uid="{22D01574-D347-42FF-8FD6-E043125F7010}" name="Diplomas" totalsRowFunction="sum" dataDxfId="654" totalsRowDxfId="267"/>
    <tableColumn id="7" xr3:uid="{23AAE0F8-1729-41E4-A8CB-64CC59CE2DD4}" name="Alternate High School Diplomas" totalsRowFunction="sum" dataDxfId="653" totalsRowDxfId="266"/>
    <tableColumn id="3" xr3:uid="{AB12F8D0-9A0E-4869-8340-DD22CFE1C52C}" name="General Education Development Certificates" totalsRowFunction="sum" dataDxfId="652" totalsRowDxfId="265"/>
    <tableColumn id="4" xr3:uid="{C02B0FB4-F2A4-4DBB-89B0-24828FA4E01D}" name="Certificates of Completion" totalsRowFunction="sum" dataDxfId="651" totalsRowDxfId="264"/>
    <tableColumn id="8" xr3:uid="{EC843F84-F07F-40C0-88FE-6503F6036F0B}" name="Grade Ten Transcripts" totalsRowFunction="sum" dataDxfId="650" totalsRowDxfId="263"/>
    <tableColumn id="6" xr3:uid="{BD51C2BE-A157-4F5E-AB0F-136EA1931A40}" name="Grade Eleven Transcripts" totalsRowFunction="sum" dataDxfId="649" totalsRowDxfId="262"/>
    <tableColumn id="5" xr3:uid="{DDFD0D6E-3198-420C-BDD6-832EFA42D31D}" name="Grade Twelve Transcripts" totalsRowFunction="sum" dataDxfId="648" totalsRowDxfId="261"/>
    <tableColumn id="21" xr3:uid="{E0DE8596-A0B7-4779-A34F-9A57A1B4CDED}" name="Seal Total" totalsRowFunction="sum" dataDxfId="647" totalsRowDxfId="26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Madera County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3D911C9-0D2E-451B-9196-326B26871E2F}" name="Table2567891032" displayName="Table2567891032" ref="A3:J6" totalsRowCount="1" headerRowDxfId="646" dataDxfId="645">
  <autoFilter ref="A3:J5" xr:uid="{00000000-0009-0000-0100-000002000000}"/>
  <tableColumns count="10">
    <tableColumn id="1" xr3:uid="{7105C841-46FB-4320-8314-58092E57A1E0}" name="Participating LEAs" totalsRowLabel="Total" dataDxfId="644" totalsRowDxfId="259"/>
    <tableColumn id="2" xr3:uid="{9720071F-6A51-4026-A864-867CE80561B2}" name="Participating Schools" totalsRowFunction="custom" dataDxfId="643" totalsRowDxfId="258">
      <totalsRowFormula>COUNTA(_xlfn.TEXTSPLIT(B4,";"))+COUNTA(_xlfn.TEXTSPLIT(B5,";"))</totalsRowFormula>
    </tableColumn>
    <tableColumn id="18" xr3:uid="{5B0B3025-EA5F-4F57-8C4C-33EAFB9F5081}" name="Diplomas" totalsRowFunction="sum" dataDxfId="642" totalsRowDxfId="257"/>
    <tableColumn id="7" xr3:uid="{8CF57281-3721-4127-AC56-089610928D29}" name="Alternate High School Diplomas" totalsRowFunction="sum" dataDxfId="641" totalsRowDxfId="256"/>
    <tableColumn id="3" xr3:uid="{A3E707F0-6042-4E50-98D8-B99036C7AE30}" name="General Education Development Certificates" totalsRowFunction="sum" dataDxfId="640" totalsRowDxfId="255"/>
    <tableColumn id="4" xr3:uid="{647F2BD1-8272-470D-B3F7-50D6EEFAF353}" name="Certificates of Completion" totalsRowFunction="sum" dataDxfId="639" totalsRowDxfId="254"/>
    <tableColumn id="8" xr3:uid="{DEDB28C8-CDA5-4763-8B00-35E101C731AE}" name="Grade Ten Transcripts" totalsRowFunction="sum" dataDxfId="638" totalsRowDxfId="253"/>
    <tableColumn id="6" xr3:uid="{1A716DD0-8C23-4E3E-A6D1-8549C212BD6F}" name="Grade Eleven Transcripts" totalsRowFunction="sum" dataDxfId="637" totalsRowDxfId="252"/>
    <tableColumn id="5" xr3:uid="{B18FC094-09F0-4352-96A3-96B8BC9A2428}" name="Grade Twelve Transcripts" totalsRowFunction="sum" dataDxfId="636" totalsRowDxfId="251"/>
    <tableColumn id="21" xr3:uid="{E1790D1E-F898-46E8-A36A-1B39A94B7ECD}" name="Seal Total" totalsRowFunction="sum" dataDxfId="635" totalsRowDxfId="25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Mendocino County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D684CF2-F443-4B18-8229-73D14A638115}" name="Table2567891011" displayName="Table2567891011" ref="A3:J7" totalsRowCount="1" headerRowDxfId="634" dataDxfId="633">
  <autoFilter ref="A3:J6" xr:uid="{00000000-0009-0000-0100-000002000000}"/>
  <tableColumns count="10">
    <tableColumn id="1" xr3:uid="{0B8C4F72-A403-425C-A5E9-6F718BF857AA}" name="Participating LEAs" totalsRowLabel="Total" dataDxfId="632" totalsRowDxfId="249"/>
    <tableColumn id="2" xr3:uid="{F0EA93C9-D0DE-434F-B0A4-CD73CDF91E47}" name="Participating Schools" totalsRowFunction="custom" dataDxfId="631" totalsRowDxfId="248">
      <totalsRowFormula>COUNTA(_xlfn.TEXTSPLIT(B4,";"))+COUNTA(_xlfn.TEXTSPLIT(B5,";"))+COUNTA(_xlfn.TEXTSPLIT(B6,";"))</totalsRowFormula>
    </tableColumn>
    <tableColumn id="18" xr3:uid="{89EC6CCE-C8F3-4331-BED7-859DDD3CAA61}" name="Diplomas" totalsRowFunction="sum" dataDxfId="630" totalsRowDxfId="247"/>
    <tableColumn id="7" xr3:uid="{C34A2C10-FE05-401E-9B79-3A4C21E141F1}" name="Alternate High School Diplomas" totalsRowFunction="sum" dataDxfId="629" totalsRowDxfId="246"/>
    <tableColumn id="3" xr3:uid="{75383670-83B3-4ACE-999A-BF65CDE3905B}" name="General Education Development Certificates" totalsRowFunction="sum" dataDxfId="628" totalsRowDxfId="245"/>
    <tableColumn id="4" xr3:uid="{128EFBE0-61E4-4FFD-9CF8-56C0933E9D63}" name="Certificates of Completion" totalsRowFunction="sum" dataDxfId="627" totalsRowDxfId="244"/>
    <tableColumn id="8" xr3:uid="{62117EA9-F338-4E65-8EE7-DB180A60A816}" name="Grade Ten Transcripts" totalsRowFunction="sum" dataDxfId="626" totalsRowDxfId="243"/>
    <tableColumn id="6" xr3:uid="{21701DA5-ADAC-4264-AD54-425B3D6DC819}" name="Grade Eleven Transcripts" totalsRowFunction="sum" dataDxfId="625" totalsRowDxfId="242"/>
    <tableColumn id="5" xr3:uid="{0EC3FB30-CC11-4CF5-8AA5-746716146678}" name="Grade Twelve Transcripts" totalsRowFunction="sum" dataDxfId="624" totalsRowDxfId="241"/>
    <tableColumn id="21" xr3:uid="{5B5A869C-C8B3-45F6-BC7A-C83BE9BC7142}" name="Seal Total" totalsRowFunction="sum" dataDxfId="623" totalsRowDxfId="24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Monterey County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2AF0279-F31C-4FA2-95B6-4F3D11FB915C}" name="Table25678910118" displayName="Table25678910118" ref="A3:J5" totalsRowCount="1" headerRowDxfId="622" dataDxfId="621">
  <autoFilter ref="A3:J4" xr:uid="{00000000-0009-0000-0100-000002000000}"/>
  <tableColumns count="10">
    <tableColumn id="1" xr3:uid="{00E19B64-A879-4B95-9E99-DDFB64C536BB}" name="Participating LEAs" totalsRowLabel="Total" dataDxfId="620" totalsRowDxfId="239"/>
    <tableColumn id="2" xr3:uid="{4E9E1EED-32AA-461D-8C56-06A8EE35E049}" name="Participating Schools" totalsRowFunction="custom" dataDxfId="619" totalsRowDxfId="238">
      <totalsRowFormula>COUNTA(_xlfn.TEXTSPLIT(B4,";"))</totalsRowFormula>
    </tableColumn>
    <tableColumn id="18" xr3:uid="{57BD8EED-0AF1-4BFC-94A1-2C1B29358B4F}" name="Diplomas" totalsRowFunction="sum" dataDxfId="618" totalsRowDxfId="237"/>
    <tableColumn id="7" xr3:uid="{9499A438-6BF3-46B2-BDBE-2400B750E70A}" name="Alternate High School Diplomas" totalsRowFunction="sum" dataDxfId="617" totalsRowDxfId="236"/>
    <tableColumn id="3" xr3:uid="{81C4CDE1-0CAA-4B57-8930-B1DA40FFAD5B}" name="General Education Development Certificates" totalsRowFunction="sum" dataDxfId="616" totalsRowDxfId="235"/>
    <tableColumn id="4" xr3:uid="{B767D7B1-4CD3-44AC-99C0-763AEC92DBAB}" name="Certificates of Completion" totalsRowFunction="sum" dataDxfId="615" totalsRowDxfId="234"/>
    <tableColumn id="8" xr3:uid="{562BD821-3215-43FE-AA93-99FFEECC5110}" name="Grade Ten Transcripts" totalsRowFunction="sum" dataDxfId="614" totalsRowDxfId="233"/>
    <tableColumn id="6" xr3:uid="{78CBFE7D-AC6C-4747-8D45-2F50F87155E1}" name="Grade Eleven Transcripts" totalsRowFunction="sum" dataDxfId="613" totalsRowDxfId="232"/>
    <tableColumn id="5" xr3:uid="{E9795FCF-095A-44D0-91B4-3EAF31677B99}" name="Grade Twelve Transcripts" totalsRowFunction="sum" dataDxfId="612" totalsRowDxfId="231"/>
    <tableColumn id="21" xr3:uid="{5B220881-703B-4C4C-B33B-2C79D8A55552}" name="Seal Total" totalsRowFunction="sum" dataDxfId="611" totalsRowDxfId="23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Napa County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007D894-E166-4A54-85DA-0A4D6B22EDAD}" name="Table25678910111233" displayName="Table25678910111233" ref="A3:J5" totalsRowCount="1" headerRowDxfId="610" dataDxfId="609">
  <autoFilter ref="A3:J4" xr:uid="{00000000-0009-0000-0100-000002000000}"/>
  <tableColumns count="10">
    <tableColumn id="1" xr3:uid="{6F0AF956-2B7E-40FA-9C35-8987917638A8}" name="Participating LEAs" totalsRowLabel="Total" dataDxfId="608" totalsRowDxfId="229"/>
    <tableColumn id="2" xr3:uid="{6376878A-2494-402B-BCCA-AB069CA27680}" name="Participating Schools" totalsRowFunction="count" dataDxfId="607" totalsRowDxfId="228"/>
    <tableColumn id="18" xr3:uid="{69F03116-EA33-4408-8C99-342AF788DBD0}" name="Diplomas" totalsRowFunction="sum" dataDxfId="606" totalsRowDxfId="227"/>
    <tableColumn id="7" xr3:uid="{E120A849-8C76-4595-83E1-F4C33012E13B}" name="Alternate High School Diplomas" totalsRowFunction="sum" dataDxfId="605" totalsRowDxfId="226"/>
    <tableColumn id="3" xr3:uid="{2B5B5497-E613-48C0-AF0E-8122B11E306F}" name="General Education Development Certificates" totalsRowFunction="sum" dataDxfId="604" totalsRowDxfId="225"/>
    <tableColumn id="4" xr3:uid="{5A4A6E8C-E4E0-4BFD-A76B-3E1094E88D70}" name="Certificates of Completion" totalsRowFunction="sum" dataDxfId="603" totalsRowDxfId="224"/>
    <tableColumn id="8" xr3:uid="{34151A63-20EE-4A72-B182-D55BC7627306}" name="Grade Ten Transcripts" totalsRowFunction="sum" dataDxfId="602" totalsRowDxfId="223"/>
    <tableColumn id="6" xr3:uid="{A3215CB4-7AB8-4AB2-A73D-76036A13FBDE}" name="Grade Eleven Transcripts" totalsRowFunction="sum" dataDxfId="601" totalsRowDxfId="222"/>
    <tableColumn id="5" xr3:uid="{D96F3E26-EC4E-45B5-AB45-92F3A01BF652}" name="Grade Twelve Transcripts" totalsRowFunction="sum" dataDxfId="600" totalsRowDxfId="221"/>
    <tableColumn id="21" xr3:uid="{A902854B-C6F2-4BD7-BAB1-04F0606C940C}" name="Seal Total" totalsRowFunction="sum" dataDxfId="599" totalsRowDxfId="22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Nevada County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47627D1-378D-4A4B-A235-FC64032DE1E4}" name="Table25678914" displayName="Table25678914" ref="A3:J16" totalsRowCount="1" headerRowDxfId="598" dataDxfId="597">
  <autoFilter ref="A3:J15" xr:uid="{00000000-0009-0000-0100-000002000000}"/>
  <tableColumns count="10">
    <tableColumn id="1" xr3:uid="{5DC87A58-052D-4DDF-99AA-96EF8B500483}" name="Participating LEAs" totalsRowLabel="Total" dataDxfId="596" totalsRowDxfId="219"/>
    <tableColumn id="2" xr3:uid="{F4BAD848-33E7-4021-B55F-A8CB3E919F23}" name="Participating Schools" totalsRowFunction="custom" dataDxfId="595" totalsRowDxfId="218">
      <totalsRowFormula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</totalsRowFormula>
    </tableColumn>
    <tableColumn id="18" xr3:uid="{DE4DBBF3-6FB5-42E0-9069-5BFEF7FB49A2}" name="Diplomas" totalsRowFunction="sum" dataDxfId="594" totalsRowDxfId="217"/>
    <tableColumn id="7" xr3:uid="{0F971149-D0CD-421F-BC0B-2E9171FE0816}" name="Alternate High School Diplomas" totalsRowFunction="sum" dataDxfId="593" totalsRowDxfId="216"/>
    <tableColumn id="3" xr3:uid="{178E77AF-926D-420E-AA29-962FA62EF4A6}" name="General Education Development Certificates" totalsRowFunction="sum" dataDxfId="592" totalsRowDxfId="215"/>
    <tableColumn id="4" xr3:uid="{0E36B53D-F166-46A8-BB72-8967B626BA25}" name="Certificates of Completion" totalsRowFunction="sum" dataDxfId="591" totalsRowDxfId="214"/>
    <tableColumn id="8" xr3:uid="{84918D96-1F14-439E-A5DE-F428B0EB6E9E}" name="Grade Ten Transcripts" totalsRowFunction="sum" dataDxfId="590" totalsRowDxfId="213"/>
    <tableColumn id="6" xr3:uid="{C726AFCE-9AD0-46CE-862D-9DDBC220906F}" name="Grade Eleven Transcripts" totalsRowFunction="sum" dataDxfId="589" totalsRowDxfId="212"/>
    <tableColumn id="5" xr3:uid="{86546DD8-A480-4312-B7C2-E54A166650B1}" name="Grade Twelve Transcripts" totalsRowFunction="sum" dataDxfId="588" totalsRowDxfId="211"/>
    <tableColumn id="21" xr3:uid="{6146C0F8-E734-41BF-9D88-477C794C4408}" name="Seal Total" totalsRowFunction="sum" dataDxfId="587" totalsRowDxfId="21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Orange County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31686C-42C9-4B91-ABD7-A6FA67E1B101}" name="Table2567891412" displayName="Table2567891412" ref="A3:J6" totalsRowCount="1" headerRowDxfId="586" dataDxfId="585">
  <autoFilter ref="A3:J5" xr:uid="{00000000-0009-0000-0100-000002000000}"/>
  <tableColumns count="10">
    <tableColumn id="1" xr3:uid="{B94CF371-98FE-4F18-BD2E-AD5A944B81B9}" name="Participating LEAs" totalsRowLabel="Total" dataDxfId="584" totalsRowDxfId="209"/>
    <tableColumn id="2" xr3:uid="{6E9C583B-D32A-437E-97E1-84FFFD8C184D}" name="Participating Schools" totalsRowFunction="custom" dataDxfId="583" totalsRowDxfId="208">
      <totalsRowFormula>COUNTA(_xlfn.TEXTSPLIT(B4,";"))+COUNTA(_xlfn.TEXTSPLIT(B5,";"))</totalsRowFormula>
    </tableColumn>
    <tableColumn id="18" xr3:uid="{ADE3B6A8-4096-42BE-BAB9-4FDCAA2027AB}" name="Diplomas" totalsRowFunction="sum" dataDxfId="582" totalsRowDxfId="207"/>
    <tableColumn id="7" xr3:uid="{6C562D56-4792-47A9-8B97-06F388024461}" name="Alternate High School Diplomas" totalsRowFunction="sum" dataDxfId="581" totalsRowDxfId="206"/>
    <tableColumn id="3" xr3:uid="{34B69CDA-0178-43A2-9415-D8C6B7C252C5}" name="General Education Development Certificates" totalsRowFunction="sum" dataDxfId="580" totalsRowDxfId="205"/>
    <tableColumn id="4" xr3:uid="{B6CC1E66-F7D4-4D58-82FB-45DDB483BAAC}" name="Certificates of Completion" totalsRowFunction="sum" dataDxfId="579" totalsRowDxfId="204"/>
    <tableColumn id="8" xr3:uid="{AEA33052-D789-41EA-9AB8-638205890DA6}" name="Grade Ten Transcripts" totalsRowFunction="sum" dataDxfId="578" totalsRowDxfId="203"/>
    <tableColumn id="6" xr3:uid="{645AD575-B643-4493-A4A0-DD2F93B73DDB}" name="Grade Eleven Transcripts" totalsRowFunction="sum" dataDxfId="577" totalsRowDxfId="202"/>
    <tableColumn id="5" xr3:uid="{8291C25E-F810-4A77-924A-17FE855C834F}" name="Grade Twelve Transcripts" totalsRowFunction="sum" dataDxfId="576" totalsRowDxfId="201"/>
    <tableColumn id="21" xr3:uid="{ED79A6AB-5E4A-4D14-9079-AF5B8F218941}" name="Seal Total" totalsRowFunction="sum" dataDxfId="575" totalsRowDxfId="20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Placer County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38C83B4-30EE-491E-8CBE-73589CD1E79A}" name="Table25678915" displayName="Table25678915" ref="A3:J15" totalsRowCount="1" headerRowDxfId="574" dataDxfId="573">
  <autoFilter ref="A3:J14" xr:uid="{00000000-0009-0000-0100-000002000000}"/>
  <tableColumns count="10">
    <tableColumn id="1" xr3:uid="{A7679CA7-9F0A-4201-BDDC-6B775B376322}" name="Participating LEAs" totalsRowLabel="Total" dataDxfId="572" totalsRowDxfId="199"/>
    <tableColumn id="2" xr3:uid="{873CEEE8-98F4-4FD5-870C-E4AADF89626D}" name="Participating Schools" totalsRowFunction="custom" dataDxfId="571" totalsRowDxfId="198">
      <totalsRowFormula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</totalsRowFormula>
    </tableColumn>
    <tableColumn id="18" xr3:uid="{2C0DB483-588F-40EF-A911-D678CB11D0F2}" name="Diplomas" totalsRowFunction="sum" dataDxfId="570" totalsRowDxfId="197"/>
    <tableColumn id="7" xr3:uid="{26F0EF13-89C3-4215-BAD8-F70AECAE46B8}" name="Alternate High School Diplomas" totalsRowFunction="sum" dataDxfId="569" totalsRowDxfId="196"/>
    <tableColumn id="3" xr3:uid="{C1C37AF0-2B6A-433A-A6A6-8142213B06F1}" name="General Education Development Certificates" totalsRowFunction="sum" dataDxfId="568" totalsRowDxfId="195"/>
    <tableColumn id="4" xr3:uid="{4B2FA61D-EB9A-4271-BCF1-19248F861CF4}" name="Certificates of Completion" totalsRowFunction="sum" dataDxfId="567" totalsRowDxfId="194"/>
    <tableColumn id="8" xr3:uid="{EECF7804-A2FD-4EDF-8F78-FC9237ACBB51}" name="Grade Ten Transcripts" totalsRowFunction="sum" dataDxfId="566" totalsRowDxfId="193"/>
    <tableColumn id="6" xr3:uid="{0CE45001-BD99-4B6B-99BE-D166DBF1A4C2}" name="Grade Eleven Transcripts" totalsRowFunction="sum" dataDxfId="565" totalsRowDxfId="192"/>
    <tableColumn id="5" xr3:uid="{EB9D1E40-77CD-4A6C-8C34-66D503449B10}" name="Grade Twelve Transcripts" totalsRowFunction="sum" dataDxfId="564" totalsRowDxfId="191"/>
    <tableColumn id="21" xr3:uid="{282EAD52-F4C7-4AC9-A134-939D8455A6A9}" name="Seal Total" totalsRowFunction="sum" dataDxfId="563" totalsRowDxfId="19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Riverside County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4E4A16-1CBA-4AB7-98C1-0F362B360995}" name="Table2567891517" displayName="Table2567891517" ref="A3:J12" totalsRowCount="1" headerRowDxfId="562" dataDxfId="561">
  <autoFilter ref="A3:J11" xr:uid="{00000000-0009-0000-0100-000002000000}"/>
  <tableColumns count="10">
    <tableColumn id="1" xr3:uid="{DA09DCE3-F6C0-4090-B718-47B705F8BEC2}" name="Participating LEAs" totalsRowLabel="Total" dataDxfId="560" totalsRowDxfId="189"/>
    <tableColumn id="2" xr3:uid="{8D79F90E-1A61-4F4C-92E8-D9B6519C8A3D}" name="Participating Schools" totalsRowFunction="custom" dataDxfId="559" totalsRowDxfId="188">
      <totalsRowFormula>COUNTA(_xlfn.TEXTSPLIT(B4,";"))+COUNTA(_xlfn.TEXTSPLIT(B5,";"))+COUNTA(_xlfn.TEXTSPLIT(B8,";"))+COUNTA(_xlfn.TEXTSPLIT(B10,";"))+COUNTA(_xlfn.TEXTSPLIT(B11,";"))+COUNTA(_xlfn.TEXTSPLIT(#REF!,";"))</totalsRowFormula>
    </tableColumn>
    <tableColumn id="18" xr3:uid="{42D9791A-03C2-49C2-99B8-BF1CDBF62FD4}" name="Diplomas" totalsRowFunction="sum" dataDxfId="558" totalsRowDxfId="187"/>
    <tableColumn id="7" xr3:uid="{11A50690-24E4-426B-A2F5-2AEA5996D1BE}" name="Alternate High School Diplomas" totalsRowFunction="sum" dataDxfId="557" totalsRowDxfId="186"/>
    <tableColumn id="3" xr3:uid="{BC6FC9E8-B816-4CD8-8EE2-D12E41B3F556}" name="General Education Development Certificates" totalsRowFunction="sum" dataDxfId="556" totalsRowDxfId="185"/>
    <tableColumn id="4" xr3:uid="{B3D9FD35-9E6A-4D44-994F-0B757840DABC}" name="Certificates of Completion" totalsRowFunction="sum" dataDxfId="555" totalsRowDxfId="184"/>
    <tableColumn id="8" xr3:uid="{78A07EAC-3E56-4D11-AE9C-0A22382ABF17}" name="Grade Ten Transcripts" totalsRowFunction="sum" dataDxfId="554" totalsRowDxfId="183"/>
    <tableColumn id="6" xr3:uid="{B6E9F1A3-4054-411D-B0B5-7764C9A59F04}" name="Grade Eleven Transcripts" totalsRowFunction="sum" dataDxfId="553" totalsRowDxfId="182"/>
    <tableColumn id="5" xr3:uid="{D10BBC90-48C3-48C4-9E1A-4F6B185DDCFB}" name="Grade Twelve Transcripts" totalsRowFunction="sum" dataDxfId="552" totalsRowDxfId="181"/>
    <tableColumn id="21" xr3:uid="{F4C1BCBE-DB29-40DA-B2C1-EB2DE6A08BB3}" name="Seal Total" totalsRowFunction="sum" dataDxfId="551" totalsRowDxfId="18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cramento County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7AF7843-0C09-49DD-AD63-C9E121D883D4}" name="Table256789151713" displayName="Table256789151713" ref="A3:J5" totalsRowCount="1" headerRowDxfId="550" dataDxfId="549">
  <autoFilter ref="A3:J4" xr:uid="{00000000-0009-0000-0100-000002000000}"/>
  <tableColumns count="10">
    <tableColumn id="1" xr3:uid="{4A2DE4D9-F541-4A2F-A62F-A45F59DA5DA4}" name="Participating LEAs" totalsRowLabel="Total" dataDxfId="548" totalsRowDxfId="179"/>
    <tableColumn id="2" xr3:uid="{F88DD50C-84CA-4D3B-8939-6F81227AD00E}" name="Participating Schools" totalsRowFunction="count" dataDxfId="547" totalsRowDxfId="178"/>
    <tableColumn id="18" xr3:uid="{37A28F26-2018-4AEF-871D-FC35852AAADE}" name="Diplomas" totalsRowFunction="sum" dataDxfId="546" totalsRowDxfId="177"/>
    <tableColumn id="7" xr3:uid="{F21294D7-7A8F-477C-8D00-D4FBED37EE9F}" name="Alternate High School Diplomas" totalsRowFunction="sum" dataDxfId="545" totalsRowDxfId="176"/>
    <tableColumn id="3" xr3:uid="{AB94FD93-9FC9-4F2A-8407-23B2773C9686}" name="General Education Development Certificates" totalsRowFunction="sum" dataDxfId="544" totalsRowDxfId="175"/>
    <tableColumn id="4" xr3:uid="{E60DFD9A-7346-4D14-89B4-D4A1341B7E98}" name="Certificates of Completion" totalsRowFunction="sum" dataDxfId="543" totalsRowDxfId="174"/>
    <tableColumn id="8" xr3:uid="{D0D84F8E-06BA-4AB2-A23C-3F8335901E8D}" name="Grade Ten Transcripts" totalsRowFunction="sum" dataDxfId="542" totalsRowDxfId="173"/>
    <tableColumn id="6" xr3:uid="{7E2992FD-7EF6-4D5D-A9D3-8936532F47AF}" name="Grade Eleven Transcripts" totalsRowFunction="sum" dataDxfId="541" totalsRowDxfId="172"/>
    <tableColumn id="5" xr3:uid="{9020679D-69D8-4BA3-B411-0DB2506E1445}" name="Grade Twelve Transcripts" totalsRowFunction="sum" dataDxfId="540" totalsRowDxfId="171"/>
    <tableColumn id="21" xr3:uid="{74E3845E-2619-4DAD-A1A1-726CC69027EC}" name="Seal Total" totalsRowFunction="sum" dataDxfId="539" totalsRowDxfId="17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Benito County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J11" totalsRowCount="1" headerRowDxfId="746" dataDxfId="745" totalsRowDxfId="744">
  <autoFilter ref="A3:J10" xr:uid="{00000000-0009-0000-0100-000002000000}"/>
  <tableColumns count="10">
    <tableColumn id="1" xr3:uid="{00000000-0010-0000-0100-000001000000}" name="Participating LEAs" totalsRowLabel="Total" dataDxfId="357" totalsRowDxfId="347"/>
    <tableColumn id="2" xr3:uid="{00000000-0010-0000-0100-000002000000}" name="Participating Schools" totalsRowFunction="custom" dataDxfId="356" totalsRowDxfId="346">
      <totalsRowFormula>COUNTA(_xlfn.TEXTSPLIT(B4,";"))+COUNTA(_xlfn.TEXTSPLIT(B5,";"))+COUNTA(_xlfn.TEXTSPLIT(B6,";"))+COUNTA(_xlfn.TEXTSPLIT(B7,";"))+COUNTA(_xlfn.TEXTSPLIT(B8,";"))+COUNTA(_xlfn.TEXTSPLIT(B9,";"))+COUNTA(_xlfn.TEXTSPLIT(B10,";"))</totalsRowFormula>
    </tableColumn>
    <tableColumn id="18" xr3:uid="{00000000-0010-0000-0100-000012000000}" name="Diplomas" totalsRowFunction="sum" dataDxfId="355" totalsRowDxfId="345"/>
    <tableColumn id="7" xr3:uid="{6DDA2C6D-4B25-491E-8582-B44E40D5D390}" name="Alternate High School Diplomas" totalsRowFunction="sum" dataDxfId="354" totalsRowDxfId="344"/>
    <tableColumn id="3" xr3:uid="{00000000-0010-0000-0100-000003000000}" name="General Education Development Certificates" totalsRowFunction="sum" dataDxfId="353" totalsRowDxfId="343"/>
    <tableColumn id="4" xr3:uid="{FE2F6E01-73F4-424C-8ACE-4A11F3162658}" name="Certificates of Completion" totalsRowFunction="sum" dataDxfId="352" totalsRowDxfId="342"/>
    <tableColumn id="8" xr3:uid="{29E60649-6E8E-4CFD-B3AD-81437943A6F6}" name="Grade Ten Transcripts" totalsRowFunction="sum" dataDxfId="351" totalsRowDxfId="341"/>
    <tableColumn id="6" xr3:uid="{3A78DA2A-9558-47B8-8F68-655005E9B491}" name="Grade Eleven Transcripts" totalsRowFunction="sum" dataDxfId="350" totalsRowDxfId="340"/>
    <tableColumn id="5" xr3:uid="{00000000-0010-0000-0100-000005000000}" name="Grade Twelve Transcripts" totalsRowFunction="sum" dataDxfId="349" totalsRowDxfId="339"/>
    <tableColumn id="21" xr3:uid="{E2CFAE4C-C294-4BD4-A235-4C30B9097555}" name="Seal Total" totalsRowFunction="sum" dataDxfId="348" totalsRowDxfId="338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Alameda County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97AD455-C147-4608-BF7B-1A3E471FE2E6}" name="Table256789151718" displayName="Table256789151718" ref="A3:J11" totalsRowCount="1" headerRowDxfId="538" dataDxfId="537">
  <autoFilter ref="A3:J10" xr:uid="{00000000-0009-0000-0100-000002000000}"/>
  <tableColumns count="10">
    <tableColumn id="1" xr3:uid="{77BCA5A3-37B8-4E03-9617-F0B9B64CC327}" name="Participating LEAs" totalsRowLabel="Total" dataDxfId="536" totalsRowDxfId="169"/>
    <tableColumn id="2" xr3:uid="{3F030304-4A87-40A8-BEF4-1C2ED48BBBA2}" name="Participating Schools" totalsRowFunction="custom" dataDxfId="535" totalsRowDxfId="168">
      <totalsRowFormula>COUNTA(_xlfn.TEXTSPLIT(B4,";"))+COUNTA(_xlfn.TEXTSPLIT(B5,";"))+COUNTA(_xlfn.TEXTSPLIT(B6,";"))+COUNTA(_xlfn.TEXTSPLIT(B7,";"))+COUNTA(_xlfn.TEXTSPLIT(B8,";"))+COUNTA(_xlfn.TEXTSPLIT(B9,";"))+COUNTA(_xlfn.TEXTSPLIT(B10,";"))</totalsRowFormula>
    </tableColumn>
    <tableColumn id="18" xr3:uid="{9FE67F20-4536-4EB1-85CA-72379C3F6D2D}" name="Diplomas" totalsRowFunction="sum" dataDxfId="534" totalsRowDxfId="167"/>
    <tableColumn id="7" xr3:uid="{D5D5739B-4243-46A1-A6F3-FCA308A8C1C7}" name="Alternate High School Diplomas" totalsRowFunction="sum" dataDxfId="533" totalsRowDxfId="166"/>
    <tableColumn id="3" xr3:uid="{6782049D-7FC8-4E6A-86AE-11DC99F297B9}" name="General Education Development Certificates" totalsRowFunction="sum" dataDxfId="532" totalsRowDxfId="165"/>
    <tableColumn id="4" xr3:uid="{AC58249C-33A4-48CB-AE20-5A777D4A8D82}" name="Certificates of Completion" totalsRowFunction="sum" dataDxfId="531" totalsRowDxfId="164"/>
    <tableColumn id="8" xr3:uid="{67B6F0AA-8E92-44EA-8930-CF0E1FA6CC96}" name="Grade Ten Transcripts" totalsRowFunction="sum" dataDxfId="530" totalsRowDxfId="163"/>
    <tableColumn id="6" xr3:uid="{3BC5650C-73FE-487C-B3E9-597330B81E66}" name="Grade Eleven Transcripts" totalsRowFunction="sum" dataDxfId="529" totalsRowDxfId="162"/>
    <tableColumn id="5" xr3:uid="{9DFDA50E-434C-428E-9CD5-8CB8919605EA}" name="Grade Twelve Transcripts" totalsRowFunction="sum" dataDxfId="528" totalsRowDxfId="161"/>
    <tableColumn id="21" xr3:uid="{F82C4216-2F7D-4F45-8F15-092759D39FEB}" name="Seal Total" totalsRowFunction="sum" dataDxfId="527" totalsRowDxfId="16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Berdardino County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6EE6966-3A56-4A7B-8E7E-EF088CBD97F3}" name="Table25678915171819" displayName="Table25678915171819" ref="A3:J20" totalsRowCount="1" headerRowDxfId="526" dataDxfId="525">
  <autoFilter ref="A3:J19" xr:uid="{00000000-0009-0000-0100-000002000000}"/>
  <tableColumns count="10">
    <tableColumn id="1" xr3:uid="{C701A9BE-14D1-4A0A-A4D2-5C780069AFA5}" name="Participating LEAs" totalsRowLabel="Total" dataDxfId="524" totalsRowDxfId="159"/>
    <tableColumn id="2" xr3:uid="{8B371CCD-1CF9-4428-BCD8-1593A607E262}" name="Participating Schools" totalsRowFunction="custom" dataDxfId="523" totalsRowDxfId="158">
      <totalsRowFormula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+COUNTA(_xlfn.TEXTSPLIT(B16,";"))+COUNTA(_xlfn.TEXTSPLIT(B17,";"))+COUNTA(_xlfn.TEXTSPLIT(B18,";"))+COUNTA(_xlfn.TEXTSPLIT(B19,";"))</totalsRowFormula>
    </tableColumn>
    <tableColumn id="18" xr3:uid="{F6DCAB63-E64D-43C9-8316-24B6AB556C8A}" name="Diplomas" totalsRowFunction="sum" dataDxfId="522" totalsRowDxfId="157"/>
    <tableColumn id="7" xr3:uid="{F09900D9-8082-4F5F-8777-5114B044C95F}" name="Alternate High School Diplomas" totalsRowFunction="sum" dataDxfId="521" totalsRowDxfId="156"/>
    <tableColumn id="3" xr3:uid="{AD26C988-F3E1-4C7F-ACA8-EB9125631AA0}" name="General Education Development Certificates" totalsRowFunction="sum" dataDxfId="520" totalsRowDxfId="155"/>
    <tableColumn id="4" xr3:uid="{56B0CE8E-7350-4CD0-A5B7-364AC845F911}" name="Certificates of Completion" totalsRowFunction="sum" dataDxfId="519" totalsRowDxfId="154"/>
    <tableColumn id="8" xr3:uid="{D71F7E30-B939-4CF5-8CFA-7F2E9AB5FB43}" name="Grade Ten Transcripts" totalsRowFunction="sum" dataDxfId="518" totalsRowDxfId="153"/>
    <tableColumn id="6" xr3:uid="{AA2CA5D1-8324-4875-AFAA-AF4E5191A6BB}" name="Grade Eleven Transcripts" totalsRowFunction="sum" dataDxfId="517" totalsRowDxfId="152"/>
    <tableColumn id="5" xr3:uid="{D1D5D5F8-4B0E-4BAD-A0D0-3A681FA6D11A}" name="Grade Twelve Transcripts" totalsRowFunction="sum" dataDxfId="516" totalsRowDxfId="151"/>
    <tableColumn id="21" xr3:uid="{19809DA2-8064-4F71-9E87-77B501B42920}" name="Seal Total" totalsRowFunction="sum" dataDxfId="515" totalsRowDxfId="15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Diego County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20B8BAA-8EB5-4140-9F51-F2BB93B82878}" name="Table2567891517181920" displayName="Table2567891517181920" ref="A3:J10" totalsRowCount="1" headerRowDxfId="514" dataDxfId="513">
  <autoFilter ref="A3:J9" xr:uid="{00000000-0009-0000-0100-000002000000}"/>
  <tableColumns count="10">
    <tableColumn id="1" xr3:uid="{B2F6F3AC-FA76-421E-8BF7-C32BF14A077E}" name="Participating LEAs" totalsRowLabel="Total" dataDxfId="512" totalsRowDxfId="149"/>
    <tableColumn id="2" xr3:uid="{93987480-0E13-41C0-AB86-831BAC368D59}" name="Participating Schools" totalsRowFunction="custom" dataDxfId="511" totalsRowDxfId="148">
      <totalsRowFormula>COUNTA(_xlfn.TEXTSPLIT(B4,";"))+COUNTA(_xlfn.TEXTSPLIT(B5,";"))+COUNTA(_xlfn.TEXTSPLIT(B6,";"))+COUNTA(_xlfn.TEXTSPLIT(B7,";"))+COUNTA(_xlfn.TEXTSPLIT(B8,";"))+COUNTA(_xlfn.TEXTSPLIT(B9,";"))</totalsRowFormula>
    </tableColumn>
    <tableColumn id="18" xr3:uid="{5F1B69C0-C3A2-4868-9E79-33931880EED1}" name="Diplomas" totalsRowFunction="sum" dataDxfId="510" totalsRowDxfId="147"/>
    <tableColumn id="7" xr3:uid="{22EC84B7-D6E7-440F-8981-C5165BFAD696}" name="Alternate High School Diplomas" totalsRowFunction="sum" dataDxfId="509" totalsRowDxfId="146"/>
    <tableColumn id="3" xr3:uid="{0FD1A68D-3AFC-44A4-ACFA-C7F498366333}" name="General Education Development Certificates" totalsRowFunction="sum" dataDxfId="508" totalsRowDxfId="145"/>
    <tableColumn id="4" xr3:uid="{AF9F00F4-10C4-4628-9E01-B3EA510816CB}" name="Certificates of Completion" totalsRowFunction="sum" dataDxfId="507" totalsRowDxfId="144"/>
    <tableColumn id="8" xr3:uid="{9ECF1806-D63C-491E-8611-F9AB308314C3}" name="Grade Ten Transcripts" totalsRowFunction="sum" dataDxfId="506" totalsRowDxfId="143"/>
    <tableColumn id="6" xr3:uid="{03FDCA47-29F0-47FC-A817-8F12B7E49E94}" name="Grade Eleven Transcripts" totalsRowFunction="sum" dataDxfId="505" totalsRowDxfId="142"/>
    <tableColumn id="5" xr3:uid="{D71AF62F-D12A-4817-A20B-12EB61AB4EB9}" name="Grade Twelve Transcripts" totalsRowFunction="sum" dataDxfId="504" totalsRowDxfId="141"/>
    <tableColumn id="21" xr3:uid="{08A66E5B-DA72-4A1A-BA78-9F2AC004CEB8}" name="Seal Total" totalsRowFunction="sum" dataDxfId="503" totalsRowDxfId="14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Joaquin County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1411835-200F-45E4-B564-A5DF120549B2}" name="Table256789151718192021" displayName="Table256789151718192021" ref="A3:J6" totalsRowCount="1" headerRowDxfId="502" dataDxfId="501">
  <autoFilter ref="A3:J5" xr:uid="{00000000-0009-0000-0100-000002000000}"/>
  <tableColumns count="10">
    <tableColumn id="1" xr3:uid="{3EA06900-3695-4557-BEB9-1D8FD86622DA}" name="Participating LEAs" totalsRowLabel="Total" dataDxfId="500" totalsRowDxfId="139"/>
    <tableColumn id="2" xr3:uid="{B8C7344A-BFE7-4AB4-BBCA-6B41878C433A}" name="Participating Schools" totalsRowFunction="custom" dataDxfId="499" totalsRowDxfId="138">
      <totalsRowFormula>COUNTA(_xlfn.TEXTSPLIT(B4,";"))+COUNTA(_xlfn.TEXTSPLIT(B5,";"))</totalsRowFormula>
    </tableColumn>
    <tableColumn id="18" xr3:uid="{F35B329D-0A00-48E5-900F-7A81B25E8060}" name="Diplomas" totalsRowFunction="sum" dataDxfId="498" totalsRowDxfId="137"/>
    <tableColumn id="7" xr3:uid="{CB0FBA47-84B9-4585-BA04-BE11AEACC40B}" name="Alternate High School Diplomas" totalsRowFunction="sum" dataDxfId="497" totalsRowDxfId="136"/>
    <tableColumn id="3" xr3:uid="{B315BEF4-092A-40BC-9ECA-6ACCC49935FF}" name="General Education Development Certificates" totalsRowFunction="sum" dataDxfId="496" totalsRowDxfId="135"/>
    <tableColumn id="4" xr3:uid="{05D9A51B-8ED8-46B5-A768-05CAF9179435}" name="Certificates of Completion" totalsRowFunction="sum" dataDxfId="495" totalsRowDxfId="134"/>
    <tableColumn id="8" xr3:uid="{8745F37F-D64A-4D1F-AA3E-0AFCD4337F9E}" name="Grade Ten Transcripts" totalsRowFunction="sum" dataDxfId="494" totalsRowDxfId="133"/>
    <tableColumn id="6" xr3:uid="{BE96060C-FBC0-456F-971A-D9FB007486BB}" name="Grade Eleven Transcripts" totalsRowFunction="sum" dataDxfId="493" totalsRowDxfId="132"/>
    <tableColumn id="5" xr3:uid="{E655EE5C-8D86-4FFC-BFC3-0002ED1843A8}" name="Grade Twelve Transcripts" totalsRowFunction="sum" dataDxfId="492" totalsRowDxfId="131"/>
    <tableColumn id="21" xr3:uid="{91055A3F-7226-4C3F-9917-285E2E92A6A1}" name="Seal Total" totalsRowFunction="sum" dataDxfId="491" totalsRowDxfId="13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Luis Obispo County.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FC4BD6B-FD5F-4351-8F18-CD4414006EFE}" name="Table25678915171819202136" displayName="Table25678915171819202136" ref="A3:J5" totalsRowCount="1" headerRowDxfId="490" dataDxfId="489">
  <autoFilter ref="A3:J4" xr:uid="{00000000-0009-0000-0100-000002000000}"/>
  <tableColumns count="10">
    <tableColumn id="1" xr3:uid="{1E70A8F7-A806-421A-A241-A57E3DAF78EA}" name="Participating LEAs" totalsRowLabel="Total" dataDxfId="488" totalsRowDxfId="129"/>
    <tableColumn id="2" xr3:uid="{ABAF75E4-3165-4A82-918B-5D1DEBF7D89C}" name="Participating Schools" totalsRowFunction="custom" dataDxfId="487" totalsRowDxfId="128">
      <totalsRowFormula>COUNTA(_xlfn.TEXTSPLIT(B4,";"))</totalsRowFormula>
    </tableColumn>
    <tableColumn id="18" xr3:uid="{8CF99626-47E2-49BB-B30E-310263A667EF}" name="Diplomas" totalsRowFunction="sum" dataDxfId="486" totalsRowDxfId="127"/>
    <tableColumn id="7" xr3:uid="{C00D1B7D-F292-466D-921C-F79D05449A89}" name="Alternate High School Diplomas" totalsRowFunction="sum" dataDxfId="485" totalsRowDxfId="126"/>
    <tableColumn id="3" xr3:uid="{7A588586-8A1D-4769-9654-14D7B65CFBA2}" name="General Education Development Certificates" totalsRowFunction="sum" dataDxfId="484" totalsRowDxfId="125"/>
    <tableColumn id="4" xr3:uid="{B2EB53EC-0136-48D6-8049-815CBFE96BB8}" name="Certificates of Completion" totalsRowFunction="sum" dataDxfId="483" totalsRowDxfId="124"/>
    <tableColumn id="8" xr3:uid="{1BAB55EB-6A6B-481B-9BF2-D79A8E7B6474}" name="Grade Ten Transcripts" totalsRowFunction="sum" dataDxfId="482" totalsRowDxfId="123"/>
    <tableColumn id="6" xr3:uid="{5EB191A9-6EB4-4543-A2EE-6C5CAB7A7239}" name="Grade Eleven Transcripts" totalsRowFunction="sum" dataDxfId="481" totalsRowDxfId="122"/>
    <tableColumn id="5" xr3:uid="{035E6FBE-2A9E-44F5-A36E-5E984F142D45}" name="Grade Twelve Transcripts" totalsRowFunction="sum" dataDxfId="480" totalsRowDxfId="121"/>
    <tableColumn id="21" xr3:uid="{27D181C4-81F1-4756-ABD8-8C42A5E4A812}" name="Seal Total" totalsRowFunction="sum" dataDxfId="479" totalsRowDxfId="12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 Mateo County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06B67F-9076-4E1C-A132-49E817AD5F34}" name="Table25678915171819202116" displayName="Table25678915171819202116" ref="A3:J5" totalsRowCount="1" headerRowDxfId="478" dataDxfId="477">
  <autoFilter ref="A3:J4" xr:uid="{00000000-0009-0000-0100-000002000000}"/>
  <tableColumns count="10">
    <tableColumn id="1" xr3:uid="{9DD278A2-6A4D-4690-9D28-4E4647EFE1B2}" name="Participating LEAs" totalsRowLabel="Total" dataDxfId="476" totalsRowDxfId="119"/>
    <tableColumn id="2" xr3:uid="{57B44FE2-4F99-4DF1-9928-C0A4685D1A53}" name="Participating Schools" totalsRowFunction="custom" dataDxfId="475" totalsRowDxfId="118">
      <totalsRowFormula>COUNTA(_xlfn.TEXTSPLIT(B4,";"))</totalsRowFormula>
    </tableColumn>
    <tableColumn id="18" xr3:uid="{59EDB2A5-0A5A-4E5F-A555-B16211EBAE54}" name="Diplomas" totalsRowFunction="sum" dataDxfId="474" totalsRowDxfId="117"/>
    <tableColumn id="7" xr3:uid="{371A5B2D-8D71-48DE-9FE1-01D1A968C400}" name="Alternate High School Diplomas" totalsRowFunction="sum" dataDxfId="473" totalsRowDxfId="116"/>
    <tableColumn id="3" xr3:uid="{E82ED712-E73A-49FC-A223-B0BA8989B53C}" name="General Education Development Certificates" totalsRowFunction="sum" dataDxfId="472" totalsRowDxfId="115"/>
    <tableColumn id="4" xr3:uid="{173EEF74-99FC-4B34-81F2-C239320FF139}" name="Certificates of Completion" totalsRowFunction="sum" dataDxfId="471" totalsRowDxfId="114"/>
    <tableColumn id="8" xr3:uid="{A53519E7-C5BA-4C9B-B2A1-84944EF6EE62}" name="Grade Ten Transcripts" totalsRowFunction="sum" dataDxfId="470" totalsRowDxfId="113"/>
    <tableColumn id="6" xr3:uid="{C8C670E2-72FA-49B5-9557-7D8FB518495D}" name="Grade Eleven Transcripts" totalsRowFunction="sum" dataDxfId="469" totalsRowDxfId="112"/>
    <tableColumn id="5" xr3:uid="{5CE81E12-62E5-4214-AB06-A64306596D51}" name="Grade Twelve Transcripts" totalsRowFunction="sum" dataDxfId="468" totalsRowDxfId="111"/>
    <tableColumn id="21" xr3:uid="{86FF0101-A5F5-4546-9418-31B260204FC8}" name="Seal Total" totalsRowFunction="sum" dataDxfId="467" totalsRowDxfId="11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ta Barbara County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CD916D0-CBB4-43FE-89B2-51ED1B636EC5}" name="Table25678915171819202122" displayName="Table25678915171819202122" ref="A3:J12" totalsRowCount="1" headerRowDxfId="466" dataDxfId="465">
  <autoFilter ref="A3:J11" xr:uid="{00000000-0009-0000-0100-000002000000}"/>
  <tableColumns count="10">
    <tableColumn id="1" xr3:uid="{4A97AC19-CE57-4D61-BF36-85C34A4CF198}" name="Participating LEAs" totalsRowLabel="Total" dataDxfId="464" totalsRowDxfId="109"/>
    <tableColumn id="2" xr3:uid="{4D78B3FF-6DB2-45B0-9A46-9A0DFE8195DE}" name="Participating Schools" totalsRowFunction="custom" dataDxfId="463" totalsRowDxfId="108">
      <totalsRowFormula>COUNTA(_xlfn.TEXTSPLIT(B4,";"))+COUNTA(_xlfn.TEXTSPLIT(B5,";"))+COUNTA(_xlfn.TEXTSPLIT(B6,";"))+COUNTA(_xlfn.TEXTSPLIT(B7,";"))+COUNTA(_xlfn.TEXTSPLIT(B8,";"))+COUNTA(_xlfn.TEXTSPLIT(B9,";"))+COUNTA(_xlfn.TEXTSPLIT(B10,";"))+COUNTA(_xlfn.TEXTSPLIT(B11,";"))</totalsRowFormula>
    </tableColumn>
    <tableColumn id="18" xr3:uid="{F24D410A-BAD1-4A0C-8D0D-27AF8E0713A4}" name="Diplomas" totalsRowFunction="sum" dataDxfId="462" totalsRowDxfId="107"/>
    <tableColumn id="8" xr3:uid="{23720B67-BD24-4A0F-820A-9A938D712FEA}" name="Alternate High School Diplomas" totalsRowFunction="sum" dataDxfId="461" totalsRowDxfId="106"/>
    <tableColumn id="3" xr3:uid="{3BB95003-A534-43E4-B47E-364C513ACE9C}" name="General Education Development Certificates" totalsRowFunction="sum" dataDxfId="460" totalsRowDxfId="105"/>
    <tableColumn id="4" xr3:uid="{6B018AA2-5DCE-4B42-90CB-B61D2DFCFA14}" name="Certificates of Completion" totalsRowFunction="sum" dataDxfId="459" totalsRowDxfId="104"/>
    <tableColumn id="9" xr3:uid="{5456DA3B-953A-405F-B477-F83FC1A199FA}" name="Grade Ten Transcripts" totalsRowFunction="sum" dataDxfId="458" totalsRowDxfId="103"/>
    <tableColumn id="6" xr3:uid="{32CFFFB1-9241-4931-8D9C-B19625F3026F}" name="Grade Eleven Transcripts" totalsRowFunction="sum" dataDxfId="457" totalsRowDxfId="102"/>
    <tableColumn id="5" xr3:uid="{4E5C95BC-1789-4A45-A387-EBD19CC68B3C}" name="Grade Twelve Transcripts" totalsRowFunction="sum" dataDxfId="456" totalsRowDxfId="101"/>
    <tableColumn id="21" xr3:uid="{6E7CFFC3-7C04-4BB7-B331-D9071D0080F7}" name="Seal Total" totalsRowFunction="sum" dataDxfId="455" totalsRowDxfId="10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ta Clara County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157CCF0-66BF-4252-83A2-F034B44AF36B}" name="Table2567891517181920212229" displayName="Table2567891517181920212229" ref="A3:J5" totalsRowCount="1" headerRowDxfId="454" dataDxfId="453">
  <autoFilter ref="A3:J4" xr:uid="{00000000-0009-0000-0100-000002000000}"/>
  <tableColumns count="10">
    <tableColumn id="1" xr3:uid="{DE59B2F4-5B59-4AB5-B2A8-CC519A964928}" name="Participating LEAs" totalsRowLabel="Total" dataDxfId="452" totalsRowDxfId="99"/>
    <tableColumn id="2" xr3:uid="{7D6A0D03-90AB-4D9C-8827-BD9FE4D78CBB}" name="Participating Schools" totalsRowFunction="custom" dataDxfId="451" totalsRowDxfId="98">
      <totalsRowFormula>COUNTA(_xlfn.TEXTSPLIT(B4,";"))</totalsRowFormula>
    </tableColumn>
    <tableColumn id="18" xr3:uid="{5E83B029-1670-42F9-ACFC-5A1C41BFE72F}" name="Diplomas" totalsRowFunction="sum" dataDxfId="450" totalsRowDxfId="97"/>
    <tableColumn id="7" xr3:uid="{784DE886-BC27-4C56-A3A5-D4974CBB77A5}" name="Alternate High School Diplomas" totalsRowFunction="sum" dataDxfId="449" totalsRowDxfId="96"/>
    <tableColumn id="3" xr3:uid="{D61E7D2A-66B5-40C1-97FA-2CF8E447010F}" name="General Education Development Certificates" totalsRowFunction="sum" dataDxfId="448" totalsRowDxfId="95"/>
    <tableColumn id="4" xr3:uid="{4D36AE33-5432-4930-AA04-3C294B6AF5B8}" name="Certificates of Completion" totalsRowFunction="sum" dataDxfId="447" totalsRowDxfId="94"/>
    <tableColumn id="8" xr3:uid="{58EB9F2D-8C2D-4FAF-905E-4DEDF58953A4}" name="Grade Ten Transcripts" totalsRowFunction="sum" dataDxfId="446" totalsRowDxfId="93"/>
    <tableColumn id="6" xr3:uid="{B5CD21CA-F893-4D82-B580-2FDF539DA739}" name="Grade Eleven Transcripts" totalsRowFunction="sum" dataDxfId="445" totalsRowDxfId="92"/>
    <tableColumn id="5" xr3:uid="{9FD4E0BF-8B81-42C4-A052-591FC8A95CF5}" name="Grade Twelve Transcripts" totalsRowFunction="sum" dataDxfId="444" totalsRowDxfId="91"/>
    <tableColumn id="21" xr3:uid="{8C3840C1-E4F4-4094-AD8A-CE27EB5E8984}" name="Seal Total" totalsRowFunction="sum" dataDxfId="443" totalsRowDxfId="9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anta Cruz County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FE51C21-A169-4D7E-96DF-F83FC854333E}" name="Table256789151718192021222937" displayName="Table256789151718192021222937" ref="A3:J5" totalsRowCount="1" headerRowDxfId="442" dataDxfId="441">
  <autoFilter ref="A3:J4" xr:uid="{00000000-0009-0000-0100-000002000000}"/>
  <tableColumns count="10">
    <tableColumn id="1" xr3:uid="{2136B949-A923-4082-8A6F-958158C2F27D}" name="Participating LEAs" totalsRowLabel="Total" dataDxfId="440" totalsRowDxfId="89"/>
    <tableColumn id="2" xr3:uid="{43D78494-C9CE-4ABD-B056-D39C4D52811B}" name="Participating Schools" totalsRowFunction="custom" dataDxfId="439" totalsRowDxfId="88">
      <totalsRowFormula>COUNTA(_xlfn.TEXTSPLIT(B4,";"))</totalsRowFormula>
    </tableColumn>
    <tableColumn id="18" xr3:uid="{AD8B4845-536E-4B0E-AE32-E14BCF40DA96}" name="Diplomas" totalsRowFunction="sum" dataDxfId="438" totalsRowDxfId="87"/>
    <tableColumn id="7" xr3:uid="{A30B8B9A-C0B0-44D9-A1C7-D78BAAE739F6}" name="Alternate High School Diplomas" totalsRowFunction="sum" dataDxfId="437" totalsRowDxfId="86"/>
    <tableColumn id="3" xr3:uid="{F92ABA1D-1052-4182-8BCF-5C166B9B0E7C}" name="General Education Development Certificates" totalsRowFunction="sum" dataDxfId="436" totalsRowDxfId="85"/>
    <tableColumn id="4" xr3:uid="{C8CA5E28-FA69-4EB0-A58D-8012134CF9E3}" name="Certificates of Completion" totalsRowFunction="sum" dataDxfId="435" totalsRowDxfId="84"/>
    <tableColumn id="8" xr3:uid="{3EFC99A4-A88A-4AA5-B8D7-CD33383A8FB5}" name="Grade Ten Transcripts" totalsRowFunction="sum" dataDxfId="434" totalsRowDxfId="83"/>
    <tableColumn id="6" xr3:uid="{25314DCC-6267-4A34-957A-73BCEA26574B}" name="Grade Eleven Transcripts" totalsRowFunction="sum" dataDxfId="433" totalsRowDxfId="82"/>
    <tableColumn id="5" xr3:uid="{836A8638-B2A4-4B0C-BE30-2F2E367DE1C1}" name="Grade Twelve Transcripts" totalsRowFunction="sum" dataDxfId="432" totalsRowDxfId="81"/>
    <tableColumn id="21" xr3:uid="{B004090C-0344-442E-8A02-D8D494143C09}" name="Seal Total" totalsRowFunction="sum" dataDxfId="431" totalsRowDxfId="8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hasta County.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81BAA9A-DCBC-444A-9EAA-31732AD078AF}" name="Table2567891517181920212223" displayName="Table2567891517181920212223" ref="A3:J7" totalsRowCount="1" headerRowDxfId="430" dataDxfId="429">
  <autoFilter ref="A3:J6" xr:uid="{00000000-0009-0000-0100-000002000000}"/>
  <tableColumns count="10">
    <tableColumn id="1" xr3:uid="{377F0151-F81C-4EB4-9286-BF1B023311B1}" name="Participating LEAs" totalsRowLabel="Total" dataDxfId="428" totalsRowDxfId="79"/>
    <tableColumn id="2" xr3:uid="{4C817D07-D4C4-42B0-9B81-2E2F00A96CB2}" name="Participating Schools" totalsRowFunction="custom" dataDxfId="427" totalsRowDxfId="78">
      <totalsRowFormula>COUNTA(_xlfn.TEXTSPLIT(B4,";"))+COUNTA(_xlfn.TEXTSPLIT(B5,";"))+COUNTA(_xlfn.TEXTSPLIT(B6,";"))</totalsRowFormula>
    </tableColumn>
    <tableColumn id="18" xr3:uid="{01753C0D-BE88-4651-9413-91F64D4A20F4}" name="Diplomas" totalsRowFunction="sum" dataDxfId="426" totalsRowDxfId="77"/>
    <tableColumn id="7" xr3:uid="{DE516C29-48E4-4984-AC8C-55F2F5D04701}" name="Alternate High School Diplomas" totalsRowFunction="sum" dataDxfId="425" totalsRowDxfId="76"/>
    <tableColumn id="3" xr3:uid="{E587D280-5EFC-4B1F-BDCB-2F4D55D1F6B9}" name="General Education Development Certificates" totalsRowFunction="sum" dataDxfId="424" totalsRowDxfId="75"/>
    <tableColumn id="4" xr3:uid="{D5A9E4BB-3E83-46AE-8CDF-44811F0BC015}" name="Certificates of Completion" totalsRowFunction="sum" dataDxfId="423" totalsRowDxfId="74"/>
    <tableColumn id="8" xr3:uid="{A61E0D33-04CC-4701-93E6-5F7A80957F6D}" name="Grade Ten Transcripts" totalsRowFunction="sum" dataDxfId="422" totalsRowDxfId="73"/>
    <tableColumn id="6" xr3:uid="{1C0A68BF-E7CA-4F16-A5AD-73569CCC72D8}" name="Grade Eleven Transcripts" totalsRowFunction="sum" dataDxfId="421" totalsRowDxfId="72"/>
    <tableColumn id="5" xr3:uid="{A95F6D4E-0B41-46AC-A1D3-94AEB641605D}" name="Grade Twelve Transcripts" totalsRowFunction="sum" dataDxfId="420" totalsRowDxfId="71"/>
    <tableColumn id="21" xr3:uid="{0312F6B6-EE34-4C63-B13D-00EFD04C8A4D}" name="Seal Total" totalsRowFunction="sum" dataDxfId="419" totalsRowDxfId="7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olano County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49015F-F471-4589-8027-401FC87DCEF5}" name="Table25" displayName="Table25" ref="A3:J9" totalsRowCount="1" headerRowDxfId="743" dataDxfId="742">
  <autoFilter ref="A3:J8" xr:uid="{00000000-0009-0000-0100-000002000000}"/>
  <tableColumns count="10">
    <tableColumn id="1" xr3:uid="{16F27DB7-918C-476B-86B2-22AA5686013E}" name="Participating LEAs" totalsRowLabel="Total" dataDxfId="741" totalsRowDxfId="337"/>
    <tableColumn id="2" xr3:uid="{9A4DCB89-0A58-40C7-8443-A499B82929EA}" name="Participating Schools" totalsRowFunction="custom" dataDxfId="740" totalsRowDxfId="336">
      <totalsRowFormula>COUNTA(_xlfn.TEXTSPLIT(B4,";"))+COUNTA(_xlfn.TEXTSPLIT(B5,";"))+COUNTA(_xlfn.TEXTSPLIT(B6,";"))+COUNTA(_xlfn.TEXTSPLIT(B7,";"))+COUNTA(_xlfn.TEXTSPLIT(B8,";"))</totalsRowFormula>
    </tableColumn>
    <tableColumn id="18" xr3:uid="{9BC9B0CE-BD26-46EE-83C9-DAA8E440CF78}" name="Diplomas" totalsRowFunction="sum" dataDxfId="739" totalsRowDxfId="335"/>
    <tableColumn id="7" xr3:uid="{BA11A3D1-2428-4063-A84E-515D0C58D156}" name="Alternate High School Diplomas" totalsRowFunction="sum" dataDxfId="738" totalsRowDxfId="334"/>
    <tableColumn id="3" xr3:uid="{A4AB858D-6603-490A-8B16-FBBB9CF6EF93}" name="General Education Development Certificates" totalsRowFunction="sum" dataDxfId="737" totalsRowDxfId="333"/>
    <tableColumn id="4" xr3:uid="{00CF663E-EE4C-42B0-90A8-CDF45A489A22}" name="Certificates of Completion" totalsRowFunction="sum" dataDxfId="736" totalsRowDxfId="332"/>
    <tableColumn id="8" xr3:uid="{6DE900C8-B986-43FB-A9B8-0238FB74C5F9}" name="Grade Ten Transcripts" totalsRowFunction="sum" dataDxfId="735" totalsRowDxfId="331"/>
    <tableColumn id="6" xr3:uid="{BF87D050-B7A4-402B-B440-E85403AF196B}" name="Grade Eleven Transcripts" totalsRowFunction="sum" dataDxfId="734" totalsRowDxfId="330"/>
    <tableColumn id="5" xr3:uid="{786562F6-657D-4EDF-807D-B6300F52A9EF}" name="Grade Twelve Transcripts" totalsRowFunction="sum" dataDxfId="733" totalsRowDxfId="329"/>
    <tableColumn id="21" xr3:uid="{D683E08E-A884-4285-B72A-7CD7A0239E14}" name="Seal Total" totalsRowFunction="custom" dataDxfId="732" totalsRowDxfId="328">
      <calculatedColumnFormula>SUM(C4:I4)</calculatedColumnFormula>
      <totalsRowFormula>SUM(J4:J8)</totalsRow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Contra Costa County.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A2D6F7F-E5BA-4018-8F85-B9A2D2B5A965}" name="Table256789151718192021222324" displayName="Table256789151718192021222324" ref="A3:J7" totalsRowCount="1" headerRowDxfId="418" dataDxfId="417" totalsRowDxfId="416">
  <autoFilter ref="A3:J6" xr:uid="{00000000-0009-0000-0100-000002000000}"/>
  <tableColumns count="10">
    <tableColumn id="1" xr3:uid="{355D3700-C032-4CEA-8FBA-C7A1011CDD7B}" name="Participating LEAs" totalsRowLabel="Total" dataDxfId="415" totalsRowDxfId="69"/>
    <tableColumn id="2" xr3:uid="{C90BCE1A-15E0-4DD3-BCD2-5A5AED70B498}" name="Participating Schools" totalsRowLabel="3" dataDxfId="414" totalsRowDxfId="68"/>
    <tableColumn id="18" xr3:uid="{838CBFBD-36E0-471D-B169-CFD412233DDD}" name="Diplomas" totalsRowFunction="sum" dataDxfId="413" totalsRowDxfId="67"/>
    <tableColumn id="7" xr3:uid="{39DD5775-B166-402F-A9B9-3BFC027D12E5}" name="Alternate High School Diplomas" totalsRowFunction="sum" dataDxfId="412" totalsRowDxfId="66"/>
    <tableColumn id="3" xr3:uid="{9AB52B6D-6EDB-4D73-8781-8542767724DF}" name="General Education Development Certificates" totalsRowFunction="sum" dataDxfId="411" totalsRowDxfId="65"/>
    <tableColumn id="4" xr3:uid="{7FD34084-5526-4506-B35F-AFF81C08B5DC}" name="Certificates of Completion" totalsRowFunction="sum" dataDxfId="410" totalsRowDxfId="64"/>
    <tableColumn id="8" xr3:uid="{C71D145B-D98A-45CE-AB00-23BC4FF05CA8}" name="Grade Ten Transcripts" totalsRowFunction="sum" dataDxfId="409" totalsRowDxfId="63"/>
    <tableColumn id="6" xr3:uid="{18B77BA0-7329-4F61-AFE1-E9E3218F091B}" name="Grade Eleven Transcripts" totalsRowFunction="sum" dataDxfId="408" totalsRowDxfId="62"/>
    <tableColumn id="5" xr3:uid="{BF35D31F-CA18-4EBB-B4AF-AC6C7ECE7AF8}" name="Grade Twelve Transcripts" totalsRowFunction="sum" dataDxfId="407" totalsRowDxfId="61"/>
    <tableColumn id="21" xr3:uid="{39D55993-A0E7-4DA4-8C70-6C72D13116A0}" name="Seal Total" totalsRowFunction="sum" dataDxfId="406" totalsRowDxfId="6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onoma County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1DDBD33-79F5-407B-8BD7-66E5882F6B4E}" name="Table25678915171819202122232425" displayName="Table25678915171819202122232425" ref="A3:J6" totalsRowCount="1" headerRowDxfId="405" dataDxfId="404">
  <autoFilter ref="A3:J5" xr:uid="{00000000-0009-0000-0100-000002000000}"/>
  <tableColumns count="10">
    <tableColumn id="1" xr3:uid="{4E16AFD0-549F-491E-9418-1E5B0BD285F5}" name="Participating LEAs" totalsRowLabel="Total" dataDxfId="403" totalsRowDxfId="59"/>
    <tableColumn id="2" xr3:uid="{1AF3BA9B-BE32-43E0-89FA-3285A7BFEAD6}" name="Participating Schools" totalsRowFunction="custom" dataDxfId="402" totalsRowDxfId="58">
      <totalsRowFormula>COUNTA(_xlfn.TEXTSPLIT(B4,";"))+COUNTA(_xlfn.TEXTSPLIT(B5,";"))</totalsRowFormula>
    </tableColumn>
    <tableColumn id="18" xr3:uid="{B7B550B5-9877-43D6-949C-1056AC43B579}" name="Diplomas" totalsRowFunction="sum" dataDxfId="401" totalsRowDxfId="57"/>
    <tableColumn id="9" xr3:uid="{50354634-9947-453F-A267-20CF942F2C00}" name="Alternative High School Diplomas" totalsRowFunction="sum" dataDxfId="400" totalsRowDxfId="56"/>
    <tableColumn id="3" xr3:uid="{6BC26523-620D-448F-BC58-F47871F650A7}" name="General Education Development Certificates" totalsRowFunction="sum" dataDxfId="399" totalsRowDxfId="55"/>
    <tableColumn id="4" xr3:uid="{BC43D17F-33A8-4E8B-9399-6805D568BC29}" name="Certificates of Completion" totalsRowFunction="sum" dataDxfId="398" totalsRowDxfId="54"/>
    <tableColumn id="8" xr3:uid="{F4721CB9-EE52-424F-8954-3A8974528B92}" name="Grade Ten Transcripts" totalsRowFunction="sum" dataDxfId="397" totalsRowDxfId="53"/>
    <tableColumn id="6" xr3:uid="{5BC11845-59FC-4B8A-BC13-5860AE725502}" name="Grade Eleven Transcripts" totalsRowFunction="sum" dataDxfId="396" totalsRowDxfId="52"/>
    <tableColumn id="5" xr3:uid="{D310E19A-A282-4B9B-80BD-7D70CC499901}" name="Grade Twelve Transcripts" totalsRowFunction="sum" dataDxfId="395" totalsRowDxfId="51"/>
    <tableColumn id="21" xr3:uid="{CB2574D9-DB65-480A-9781-D6908332E1A7}" name="Seal Total" totalsRowFunction="sum" dataDxfId="394" totalsRowDxfId="5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Stanislaus County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70207A8-FFE8-4E77-A4AD-29BE6B23FF81}" name="Table2567891517181920212223242526" displayName="Table2567891517181920212223242526" ref="A3:J11" totalsRowCount="1" headerRowDxfId="393" dataDxfId="392">
  <autoFilter ref="A3:J10" xr:uid="{00000000-0009-0000-0100-000002000000}"/>
  <tableColumns count="10">
    <tableColumn id="1" xr3:uid="{A9A3E1BD-40FC-42D3-ADE4-1A802C397EB8}" name="Participating LEAs" totalsRowLabel="Total" dataDxfId="391" totalsRowDxfId="49"/>
    <tableColumn id="2" xr3:uid="{3B5FE937-8DD8-47E8-A09B-08392BD6E3B3}" name="Participating Schools" totalsRowFunction="custom" dataDxfId="390" totalsRowDxfId="48">
      <totalsRowFormula>COUNTA(_xlfn.TEXTSPLIT(B4,";"))+COUNTA(_xlfn.TEXTSPLIT(B5,";"))+COUNTA(_xlfn.TEXTSPLIT(B6,";"))+COUNTA(_xlfn.TEXTSPLIT(B7,";"))+COUNTA(_xlfn.TEXTSPLIT(B8,";"))+COUNTA(_xlfn.TEXTSPLIT(B9,";"))+COUNTA(_xlfn.TEXTSPLIT(B10,";"))</totalsRowFormula>
    </tableColumn>
    <tableColumn id="18" xr3:uid="{A923583E-53C4-46B6-847A-79338301EF26}" name="Diplomas" totalsRowFunction="sum" dataDxfId="389" totalsRowDxfId="47"/>
    <tableColumn id="7" xr3:uid="{C1B2D075-78FA-48DB-AC3D-36DD42BE2031}" name="Alternate High School Diplomas" totalsRowFunction="sum" dataDxfId="388" totalsRowDxfId="46"/>
    <tableColumn id="3" xr3:uid="{1D3056EE-5D95-442F-B8DF-688C8919AA2B}" name="General Education Development Certificates" totalsRowFunction="sum" dataDxfId="387" totalsRowDxfId="45"/>
    <tableColumn id="4" xr3:uid="{0E755DE6-C23A-4A07-AE5D-47E5A3BBCA61}" name="Certificates of Completion" totalsRowFunction="sum" dataDxfId="386" totalsRowDxfId="44"/>
    <tableColumn id="8" xr3:uid="{BEEFCF9B-229B-4F5B-9E84-45B5380C6AA4}" name="Grade Ten Transcripts" totalsRowFunction="sum" dataDxfId="385" totalsRowDxfId="43"/>
    <tableColumn id="6" xr3:uid="{3430DB19-D85E-4A63-BD40-C285EEA16F81}" name="Grade Eleven Transcripts" totalsRowFunction="sum" dataDxfId="384" totalsRowDxfId="42"/>
    <tableColumn id="5" xr3:uid="{A2DADFCC-7B44-4F1E-A5D5-F25F4422B09C}" name="Grade Twelve Transcripts" totalsRowFunction="sum" dataDxfId="383" totalsRowDxfId="41"/>
    <tableColumn id="21" xr3:uid="{4A564EC6-6FFD-4905-BFA8-48F266994BEE}" name="Seal Total" totalsRowFunction="sum" dataDxfId="382" totalsRowDxfId="4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Tulare County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2F6BA79-179A-4B08-A556-39684FE7E317}" name="Table256789151718192021222324252627" displayName="Table256789151718192021222324252627" ref="A3:J10" totalsRowCount="1" headerRowDxfId="381" dataDxfId="380">
  <autoFilter ref="A3:J9" xr:uid="{00000000-0009-0000-0100-000002000000}"/>
  <tableColumns count="10">
    <tableColumn id="1" xr3:uid="{82BC9BC4-CAE4-4F47-920C-28438CD210B2}" name="Participating LEAs" totalsRowLabel="Total" dataDxfId="379" totalsRowDxfId="39"/>
    <tableColumn id="2" xr3:uid="{30B27711-5EE3-447B-8BB6-B8D99E790FBB}" name="Participating Schools" totalsRowFunction="custom" dataDxfId="378" totalsRowDxfId="38">
      <totalsRowFormula>COUNTA(_xlfn.TEXTSPLIT(B4,";"))+COUNTA(_xlfn.TEXTSPLIT(B5,";"))+COUNTA(_xlfn.TEXTSPLIT(B6,";"))+COUNTA(_xlfn.TEXTSPLIT(B7,";"))+COUNTA(_xlfn.TEXTSPLIT(B8,";"))+COUNTA(_xlfn.TEXTSPLIT(B9,";"))</totalsRowFormula>
    </tableColumn>
    <tableColumn id="18" xr3:uid="{A8462C2E-4219-44B6-A1ED-503F30D4A297}" name="Diplomas" totalsRowFunction="sum" dataDxfId="377" totalsRowDxfId="37"/>
    <tableColumn id="7" xr3:uid="{00EAB958-8D5D-4892-ABEC-3EAEC76D208A}" name="Alternate High School Diplomas" totalsRowFunction="sum" dataDxfId="376" totalsRowDxfId="36"/>
    <tableColumn id="3" xr3:uid="{A39C8EAC-04FD-491E-8991-5E42A336C23A}" name="General Education Development Certificates" totalsRowFunction="sum" dataDxfId="375" totalsRowDxfId="35"/>
    <tableColumn id="4" xr3:uid="{4F0072F4-A40F-4CEB-9F86-D83325A63C32}" name="Certificates of Completion" totalsRowFunction="sum" dataDxfId="374" totalsRowDxfId="34"/>
    <tableColumn id="8" xr3:uid="{D96A2C4F-D3D4-4D56-A230-530981E935D1}" name="Grade Ten Transcripts" totalsRowFunction="sum" dataDxfId="373" totalsRowDxfId="33"/>
    <tableColumn id="6" xr3:uid="{B917C205-A3E5-4AAC-AFAC-58F583B5CA00}" name="Grade Eleven Transcripts" totalsRowFunction="sum" dataDxfId="372" totalsRowDxfId="32"/>
    <tableColumn id="5" xr3:uid="{B7DADB0C-FCFF-45D0-A478-09DAC406C5C9}" name="Grade Twelve Transcripts" totalsRowFunction="sum" dataDxfId="371" totalsRowDxfId="31"/>
    <tableColumn id="21" xr3:uid="{882037C1-BDF2-43A4-B882-DF14138312BF}" name="Seal Total" totalsRowFunction="sum" dataDxfId="370" totalsRowDxfId="3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Ventura County.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3E376A5-937A-4302-B709-5A43F9364AB0}" name="Table25678915171819202122232425262728" displayName="Table25678915171819202122232425262728" ref="A3:J5" totalsRowCount="1" headerRowDxfId="369" dataDxfId="368">
  <autoFilter ref="A3:J4" xr:uid="{00000000-0009-0000-0100-000002000000}"/>
  <tableColumns count="10">
    <tableColumn id="1" xr3:uid="{B67F5241-091D-46F4-B63A-2E8224AFB5AF}" name="Participating LEAs" totalsRowLabel="Total" dataDxfId="367" totalsRowDxfId="29"/>
    <tableColumn id="2" xr3:uid="{DD6620E7-5D5E-454D-A86A-A45406572BBD}" name="Participating Schools" totalsRowFunction="custom" dataDxfId="366" totalsRowDxfId="28">
      <totalsRowFormula>COUNTA(_xlfn.TEXTSPLIT(B4,";"))</totalsRowFormula>
    </tableColumn>
    <tableColumn id="18" xr3:uid="{63AE17C0-F00F-4012-96CC-799B223DE879}" name="Diplomas" totalsRowFunction="sum" dataDxfId="365" totalsRowDxfId="27"/>
    <tableColumn id="7" xr3:uid="{7CEE453F-FD98-474D-9C21-C73E43BE9044}" name="Alternate High School Diplomas" totalsRowFunction="sum" dataDxfId="364" totalsRowDxfId="26"/>
    <tableColumn id="3" xr3:uid="{7C947529-A815-4837-99CD-71EA5BCF31B3}" name="General Education Development Certificates" totalsRowFunction="sum" dataDxfId="363" totalsRowDxfId="25"/>
    <tableColumn id="4" xr3:uid="{6FD527F7-B0C5-4F4E-BE15-03D12CD0452F}" name="Certificates of Completion" totalsRowFunction="sum" dataDxfId="362" totalsRowDxfId="24"/>
    <tableColumn id="8" xr3:uid="{EEBEDDBF-E880-4D4E-B8BF-794B7FAA03B0}" name="Grade Ten Transcripts" totalsRowFunction="sum" dataDxfId="361" totalsRowDxfId="23"/>
    <tableColumn id="6" xr3:uid="{B9E81F7D-AACE-4C8D-A9C3-C74A9E7A129D}" name="Grade Eleven Transcripts" totalsRowFunction="sum" dataDxfId="360" totalsRowDxfId="22"/>
    <tableColumn id="5" xr3:uid="{4AD5C53B-CB0C-44CB-BA3C-CEEDB9550913}" name="Grade Twelve Transcripts" totalsRowFunction="sum" dataDxfId="359" totalsRowDxfId="21"/>
    <tableColumn id="21" xr3:uid="{00F838BF-DEC5-4449-BD83-D8AD47419CA9}" name="Seal Total" totalsRowFunction="sum" dataDxfId="358" totalsRowDxfId="20">
      <calculatedColumnFormula>SUM(C4:I4)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Yolo County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B4F6C9-A375-4B18-BCF2-F88E05D9A2FD}" name="Table252" displayName="Table252" ref="A3:J6" totalsRowCount="1" headerRowDxfId="731" dataDxfId="730">
  <autoFilter ref="A3:J5" xr:uid="{00000000-0009-0000-0100-000002000000}"/>
  <tableColumns count="10">
    <tableColumn id="1" xr3:uid="{80DC1FC3-F556-45C5-B89B-E4A1D280CAA6}" name="Participating LEAs" totalsRowLabel="Total" dataDxfId="729" totalsRowDxfId="327"/>
    <tableColumn id="2" xr3:uid="{267B5607-BAF2-4E1B-AEE7-9B32B592EDF7}" name="Participating Schools" totalsRowFunction="custom" dataDxfId="728" totalsRowDxfId="326">
      <totalsRowFormula>COUNTA(_xlfn.TEXTSPLIT(B4,";"))+COUNTA(_xlfn.TEXTSPLIT(B5,";"))</totalsRowFormula>
    </tableColumn>
    <tableColumn id="18" xr3:uid="{A4F7C349-2659-4535-92E0-64457CB1D30F}" name="Diplomas" totalsRowFunction="sum" dataDxfId="727" totalsRowDxfId="325"/>
    <tableColumn id="7" xr3:uid="{9A6E5111-02FD-4DB4-B844-7CDA57D6AC9A}" name="Alternate High School Diplomas" totalsRowFunction="sum" dataDxfId="726" totalsRowDxfId="324"/>
    <tableColumn id="3" xr3:uid="{35F5E391-55BD-4DB3-B5EF-C9E12BE996F7}" name="General Education Development Certificates" totalsRowFunction="sum" dataDxfId="725" totalsRowDxfId="323"/>
    <tableColumn id="4" xr3:uid="{E55C67F3-7673-4330-A2C3-30060579DD89}" name="Certificates of Completion" totalsRowFunction="sum" dataDxfId="724" totalsRowDxfId="322"/>
    <tableColumn id="8" xr3:uid="{CAB8BDCB-810A-4A45-B20D-D4C4947B64A2}" name="Grade Ten Transcripts" totalsRowFunction="sum" dataDxfId="723" totalsRowDxfId="321"/>
    <tableColumn id="6" xr3:uid="{5EEA881F-CFC1-404F-B886-36E91607E115}" name="Grade Eleven Transcripts" totalsRowFunction="sum" dataDxfId="722" totalsRowDxfId="320"/>
    <tableColumn id="5" xr3:uid="{62800958-3DD0-43C6-9031-FC79422F8DAB}" name="Grade Twelve Transcripts" totalsRowFunction="sum" dataDxfId="721" totalsRowDxfId="319"/>
    <tableColumn id="21" xr3:uid="{2BF0EC49-421B-4E37-A688-7CD1C1DB6609}" name="Seal Total" totalsRowFunction="custom" dataDxfId="720" totalsRowDxfId="318">
      <calculatedColumnFormula>SUM(C4:I4)</calculatedColumnFormula>
      <totalsRowFormula>SUM(J4:J5)</totalsRow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El Dorado County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1971F4A-FD0F-44C1-9B46-717A3DBFD5C0}" name="Table256" displayName="Table256" ref="A3:J8" totalsRowCount="1" headerRowDxfId="719" dataDxfId="718">
  <autoFilter ref="A3:J7" xr:uid="{00000000-0009-0000-0100-000002000000}"/>
  <tableColumns count="10">
    <tableColumn id="1" xr3:uid="{BE510A49-0601-4538-A53B-384F204A11F8}" name="Participating LEAs" totalsRowLabel="Total" dataDxfId="717" totalsRowDxfId="317"/>
    <tableColumn id="2" xr3:uid="{9E645708-DFF4-4C02-A919-D04C9A5A912A}" name="Participating Schools" totalsRowFunction="custom" dataDxfId="716" totalsRowDxfId="316">
      <totalsRowFormula>COUNTA(_xlfn.TEXTSPLIT(B4,";"))+COUNTA(_xlfn.TEXTSPLIT(B5,";"))+COUNTA(_xlfn.TEXTSPLIT(B6,";"))+COUNTA(_xlfn.TEXTSPLIT(B7,";"))</totalsRowFormula>
    </tableColumn>
    <tableColumn id="18" xr3:uid="{97561C23-AD9E-45DB-815D-9B6C72469D5F}" name="Diplomas" totalsRowFunction="sum" dataDxfId="715" totalsRowDxfId="315"/>
    <tableColumn id="7" xr3:uid="{D2CBDB58-3C72-4A84-87ED-45FB92BE5F1C}" name="Alternate High School Diplomas" totalsRowFunction="sum" dataDxfId="714" totalsRowDxfId="314"/>
    <tableColumn id="3" xr3:uid="{C41BBF39-0006-4EA2-855B-5B955C94F000}" name="General Education Development Certificates" totalsRowFunction="sum" dataDxfId="713" totalsRowDxfId="313"/>
    <tableColumn id="4" xr3:uid="{D2C68328-DD24-441B-B087-7BAB7FAB742E}" name="Certificates of Completion" totalsRowFunction="sum" dataDxfId="712" totalsRowDxfId="312"/>
    <tableColumn id="8" xr3:uid="{D787BAAF-5A20-42B1-8E37-712AFB5AF901}" name="Grade Ten Transcripts" totalsRowFunction="sum" dataDxfId="711" totalsRowDxfId="311"/>
    <tableColumn id="6" xr3:uid="{D1B7DB34-6656-4E28-9928-1D93B1064615}" name="Grade Eleven Transcripts" totalsRowFunction="sum" dataDxfId="710" totalsRowDxfId="310"/>
    <tableColumn id="5" xr3:uid="{946D04D1-23AA-485A-87B8-8BCD20A76A07}" name="Grade Twelve Transcripts" totalsRowFunction="sum" dataDxfId="709" totalsRowDxfId="309"/>
    <tableColumn id="21" xr3:uid="{9EB3D7B5-377F-42BA-A5B5-5AF6694311C7}" name="Seal Total" totalsRowFunction="custom" dataDxfId="708" totalsRowDxfId="308">
      <calculatedColumnFormula>SUM(C4:I4)</calculatedColumnFormula>
      <totalsRowFormula>SUM(J4:J7)</totalsRow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Fresno County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9F5C4DF-CF19-4495-9615-EE17A08EAC76}" name="Table25635" displayName="Table25635" ref="A3:J5" totalsRowCount="1" headerRowDxfId="707" dataDxfId="706">
  <autoFilter ref="A3:J4" xr:uid="{00000000-0009-0000-0100-000002000000}"/>
  <tableColumns count="10">
    <tableColumn id="1" xr3:uid="{623E8F5C-BD1D-4DFA-B311-C41347D4C1B3}" name="Participating LEAs" totalsRowLabel="Total" dataDxfId="705" totalsRowDxfId="307"/>
    <tableColumn id="2" xr3:uid="{3461B8C5-94C3-4C77-9B83-DF169839DCF2}" name="Participating Schools" totalsRowFunction="count" dataDxfId="704" totalsRowDxfId="306"/>
    <tableColumn id="18" xr3:uid="{3590A913-6FF3-454B-BED5-1B3AFCF0B350}" name="Diplomas" totalsRowFunction="sum" dataDxfId="703" totalsRowDxfId="305"/>
    <tableColumn id="7" xr3:uid="{1607BAF7-9A5A-4551-834D-7A7B3EDE0637}" name="Alternate High School Diplomas" totalsRowFunction="sum" dataDxfId="702" totalsRowDxfId="304"/>
    <tableColumn id="3" xr3:uid="{8A54771E-1692-4992-AD37-FF7434A8460C}" name="General Education Development Certificates" totalsRowFunction="sum" dataDxfId="701" totalsRowDxfId="303"/>
    <tableColumn id="4" xr3:uid="{BC5F126D-C864-4F70-8D80-13D115AF3EB3}" name="Certificates of Completion" totalsRowFunction="sum" dataDxfId="700" totalsRowDxfId="302"/>
    <tableColumn id="8" xr3:uid="{0464133E-28C9-4F42-98D1-5E175B97A89C}" name="Grade Ten Transcripts" totalsRowFunction="sum" dataDxfId="699" totalsRowDxfId="301"/>
    <tableColumn id="6" xr3:uid="{C3A3A9CF-280D-4839-8EF1-F835889CDE5D}" name="Grade Eleven Transcripts" totalsRowFunction="sum" dataDxfId="698" totalsRowDxfId="300"/>
    <tableColumn id="5" xr3:uid="{4FFEFBE6-8678-40CB-85EF-1B065EA9F493}" name="Grade Twelve Transcripts" totalsRowFunction="sum" dataDxfId="697" totalsRowDxfId="299"/>
    <tableColumn id="21" xr3:uid="{2431907A-4BAD-4974-9366-D8A26F40945F}" name="Seal Total" totalsRowFunction="custom" dataDxfId="696" totalsRowDxfId="298">
      <calculatedColumnFormula>SUM(C4:I4)</calculatedColumnFormula>
      <totalsRowFormula>SUM(J4:J4)</totalsRow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Glenn County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A79695E-4D22-4CBC-8C08-928293F86D3D}" name="Table2567" displayName="Table2567" ref="A3:J6" totalsRowCount="1" headerRowDxfId="695" dataDxfId="694">
  <autoFilter ref="A3:J5" xr:uid="{00000000-0009-0000-0100-000002000000}"/>
  <tableColumns count="10">
    <tableColumn id="1" xr3:uid="{C288956B-6AB7-4BC7-BCF3-9949EA09AAF3}" name="Participating LEAs" totalsRowLabel="Total" dataDxfId="693"/>
    <tableColumn id="2" xr3:uid="{20412467-C8BF-4B04-9148-4040B4E6FEEC}" name="Participating Schools" totalsRowFunction="custom" dataDxfId="692" totalsRowDxfId="297">
      <totalsRowFormula>COUNTA(_xlfn.TEXTSPLIT(B4,";"))+COUNTA(_xlfn.TEXTSPLIT(B5,";"))</totalsRowFormula>
    </tableColumn>
    <tableColumn id="18" xr3:uid="{C0994275-5FA7-4621-8004-546EECC486D0}" name="Diplomas" totalsRowFunction="sum" dataDxfId="691" totalsRowDxfId="296"/>
    <tableColumn id="7" xr3:uid="{0DAB8708-4687-4BD8-B072-B276081778E2}" name="Alternate High School Diplomas" totalsRowFunction="sum" dataDxfId="690" totalsRowDxfId="295"/>
    <tableColumn id="3" xr3:uid="{76507931-A877-4F06-8A91-7BC36AD6198E}" name="General Education Development Certificates" totalsRowFunction="sum" dataDxfId="689" totalsRowDxfId="294"/>
    <tableColumn id="4" xr3:uid="{485D857A-C065-45AC-A3CD-27F1219311DA}" name="Certificates of Completion" totalsRowFunction="sum" dataDxfId="688" totalsRowDxfId="293"/>
    <tableColumn id="8" xr3:uid="{8945ADFB-A393-409A-BAF8-9FF1C84B9B03}" name="Grade Ten Transcripts" totalsRowFunction="sum" dataDxfId="687" totalsRowDxfId="292"/>
    <tableColumn id="6" xr3:uid="{6DE7BEA7-3F66-4098-A567-24967ADC59DC}" name="Grade Eleven Transcripts" totalsRowFunction="sum" dataDxfId="686" totalsRowDxfId="291"/>
    <tableColumn id="5" xr3:uid="{8CFD38C4-8627-4FED-8B8E-866C6A115766}" name="Grade Twelve Transcripts" totalsRowFunction="sum" dataDxfId="685" totalsRowDxfId="290"/>
    <tableColumn id="21" xr3:uid="{27D5B7C1-D8C1-4405-B96E-544B4CDF446A}" name="Seal Total" totalsRowFunction="sum" dataDxfId="684" totalsRowDxfId="289">
      <calculatedColumnFormula>SUM(Table2567[[#This Row],[Diplomas]:[Grade Twelve Transcripts]])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Humbolt County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F92EA42-76AE-488E-8787-8AC4B6E2C626}" name="Table256731" displayName="Table256731" ref="A3:J10" totalsRowCount="1" headerRowDxfId="683" dataDxfId="682">
  <autoFilter ref="A3:J9" xr:uid="{00000000-0009-0000-0100-000002000000}"/>
  <tableColumns count="10">
    <tableColumn id="1" xr3:uid="{2F4EA817-299C-4AD7-A2E4-D0D3A8CA983B}" name="Participating LEAs" totalsRowLabel="Total" dataDxfId="681"/>
    <tableColumn id="2" xr3:uid="{7CF6EB90-5022-4894-AA3F-59B92346BEC8}" name="Participating Schools" totalsRowFunction="custom" dataDxfId="680" totalsRowDxfId="288">
      <totalsRowFormula>COUNTA(_xlfn.TEXTSPLIT(B4,";"))+COUNTA(_xlfn.TEXTSPLIT(B5,";"))+COUNTA(_xlfn.TEXTSPLIT(B6,";"))+COUNTA(_xlfn.TEXTSPLIT(B7,";"))+COUNTA(_xlfn.TEXTSPLIT(B8,";"))+COUNTA(_xlfn.TEXTSPLIT(B9,";"))</totalsRowFormula>
    </tableColumn>
    <tableColumn id="18" xr3:uid="{CE0AE0E9-09B3-43E6-A623-78908FCF7685}" name="Diplomas" totalsRowFunction="sum" dataDxfId="679" totalsRowDxfId="287"/>
    <tableColumn id="7" xr3:uid="{EFEABEAB-98C3-422C-9E64-1EBC74390BC5}" name="Alternate High School Diplomas" totalsRowFunction="sum" dataDxfId="678" totalsRowDxfId="286"/>
    <tableColumn id="3" xr3:uid="{62D6C015-928E-41FB-9784-02C54AC5DFC6}" name="General Education Development Certificates" totalsRowFunction="sum" dataDxfId="677" totalsRowDxfId="285"/>
    <tableColumn id="4" xr3:uid="{D9286356-A9E0-4362-9604-5A6D72A2266B}" name="Certificates of Completion" totalsRowFunction="sum" dataDxfId="676" totalsRowDxfId="284"/>
    <tableColumn id="8" xr3:uid="{8E684513-ADB1-4191-8888-479E6621FDD8}" name="Grade Ten Transcripts" totalsRowFunction="sum" dataDxfId="675" totalsRowDxfId="283"/>
    <tableColumn id="6" xr3:uid="{6A412C82-F1AE-4E4D-9067-D39065C0B913}" name="Grade Eleven Transcripts" totalsRowFunction="sum" dataDxfId="674" totalsRowDxfId="282"/>
    <tableColumn id="5" xr3:uid="{541CB7A3-B806-47CF-A219-7C9D4B7E05CD}" name="Grade Twelve Transcripts" totalsRowFunction="sum" dataDxfId="673" totalsRowDxfId="281"/>
    <tableColumn id="21" xr3:uid="{EA698B9E-80B5-4787-8931-9E9EAB1A489D}" name="Seal Total" totalsRowFunction="sum" dataDxfId="672" totalsRowDxfId="280">
      <calculatedColumnFormula>SUM(Table256731[[#This Row],[Diplomas]:[Grade Twelve Transcripts]])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Kern County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0A7D260-41A0-4D89-8BF7-A2D2C92A247C}" name="Table256789" displayName="Table256789" ref="A3:J29" totalsRowCount="1" headerRowDxfId="671" dataDxfId="670" totalsRowDxfId="669">
  <autoFilter ref="A3:J28" xr:uid="{00000000-0009-0000-0100-000002000000}"/>
  <tableColumns count="10">
    <tableColumn id="1" xr3:uid="{97F5A3D0-D8F3-4325-88A6-4C91E1294AA2}" name="Participating LEAs" totalsRowLabel="Total" dataDxfId="668" totalsRowDxfId="279"/>
    <tableColumn id="2" xr3:uid="{4F328300-C2EC-4334-A56D-AE85A05CE3E5}" name="Participating Schools" totalsRowFunction="custom" dataDxfId="667" totalsRowDxfId="278">
      <totalsRowFormula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+COUNTA(_xlfn.TEXTSPLIT(B16,";"))+COUNTA(_xlfn.TEXTSPLIT(B17,";"))+COUNTA(_xlfn.TEXTSPLIT(B18,";"))+COUNTA(_xlfn.TEXTSPLIT(B19,";"))+COUNTA(_xlfn.TEXTSPLIT(B20,";"))+COUNTA(_xlfn.TEXTSPLIT(B21,";"))+COUNTA(_xlfn.TEXTSPLIT(B22,";"))+COUNTA(_xlfn.TEXTSPLIT(B23,";"))+COUNTA(_xlfn.TEXTSPLIT(B24,";"))+COUNTA(_xlfn.TEXTSPLIT(B25,";"))+COUNTA(_xlfn.TEXTSPLIT(B26,";"))+COUNTA(_xlfn.TEXTSPLIT(B27,";"))+COUNTA(_xlfn.TEXTSPLIT(B28,";"))</totalsRowFormula>
    </tableColumn>
    <tableColumn id="18" xr3:uid="{DD6BCEB0-916E-4D5A-A912-C98607469995}" name="Diplomas" totalsRowFunction="sum" dataDxfId="666" totalsRowDxfId="277"/>
    <tableColumn id="7" xr3:uid="{B84E8634-F309-4281-B8AA-FE8EFC16C40F}" name="Alternate High School Diplomas" totalsRowFunction="sum" dataDxfId="665" totalsRowDxfId="276"/>
    <tableColumn id="3" xr3:uid="{87852BDE-16F6-45A9-892D-CA46AF644DBF}" name="General Education Development Certificates" totalsRowFunction="sum" dataDxfId="664" totalsRowDxfId="275"/>
    <tableColumn id="4" xr3:uid="{5913666F-96FC-42D3-B8A6-C34C53734B00}" name="Certificates of Completion" totalsRowFunction="sum" dataDxfId="663" totalsRowDxfId="274"/>
    <tableColumn id="8" xr3:uid="{C4871E13-C949-4212-A267-171C012BD78B}" name="Grade Ten Transcripts" totalsRowFunction="sum" dataDxfId="662" totalsRowDxfId="273"/>
    <tableColumn id="6" xr3:uid="{F6A7C0F4-4A6F-4AE1-901B-37AE2FF1F930}" name="Grade Eleven Transcripts" totalsRowFunction="sum" dataDxfId="661" totalsRowDxfId="272"/>
    <tableColumn id="5" xr3:uid="{1A16F2C4-2AA3-4EE8-9BD2-BC6B00BAEBD1}" name="Grade Twelve Transcripts" totalsRowFunction="sum" dataDxfId="660" totalsRowDxfId="271"/>
    <tableColumn id="21" xr3:uid="{C413A831-F5ED-4878-B157-E65A8BFE99AB}" name="Seal Total" totalsRowFunction="sum" dataDxfId="659" totalsRowDxfId="270">
      <calculatedColumnFormula>SUM(Table256789[[#This Row],[Diplomas]:[Grade Twelve Transcripts]])</calculatedColumnFormula>
    </tableColumn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This table includes the total number of districts and schools that participated in the 2024–25 California State Seal of Civic Engagement program in Los Angeles Count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7AA9-86A4-4931-AA12-C5CA4FFFB55B}">
  <dimension ref="A1:K40"/>
  <sheetViews>
    <sheetView tabSelected="1" workbookViewId="0"/>
  </sheetViews>
  <sheetFormatPr defaultColWidth="9.26953125" defaultRowHeight="15" x14ac:dyDescent="0.25"/>
  <cols>
    <col min="1" max="3" width="15.7265625" style="4" customWidth="1"/>
    <col min="4" max="10" width="14.7265625" style="4" customWidth="1"/>
    <col min="11" max="11" width="11.54296875" style="4" customWidth="1"/>
    <col min="12" max="21" width="27.08984375" style="4" customWidth="1"/>
    <col min="22" max="16384" width="9.26953125" style="4"/>
  </cols>
  <sheetData>
    <row r="1" spans="1:11" ht="22.8" x14ac:dyDescent="0.4">
      <c r="A1" s="18" t="s">
        <v>159</v>
      </c>
      <c r="B1" s="7"/>
    </row>
    <row r="2" spans="1:11" x14ac:dyDescent="0.25">
      <c r="A2" s="4" t="s">
        <v>0</v>
      </c>
    </row>
    <row r="3" spans="1:11" x14ac:dyDescent="0.25">
      <c r="A3" s="4" t="s">
        <v>160</v>
      </c>
    </row>
    <row r="4" spans="1:11" x14ac:dyDescent="0.25">
      <c r="A4" s="4" t="s">
        <v>367</v>
      </c>
    </row>
    <row r="5" spans="1:11" ht="81" customHeight="1" x14ac:dyDescent="0.25">
      <c r="A5" s="6" t="s">
        <v>1</v>
      </c>
      <c r="B5" s="6" t="s">
        <v>2</v>
      </c>
      <c r="C5" s="6" t="s">
        <v>35</v>
      </c>
      <c r="D5" s="6" t="s">
        <v>3</v>
      </c>
      <c r="E5" s="6" t="s">
        <v>170</v>
      </c>
      <c r="F5" s="6" t="s">
        <v>4</v>
      </c>
      <c r="G5" s="6" t="s">
        <v>5</v>
      </c>
      <c r="H5" s="6" t="s">
        <v>350</v>
      </c>
      <c r="I5" s="6" t="s">
        <v>351</v>
      </c>
      <c r="J5" s="6" t="s">
        <v>352</v>
      </c>
      <c r="K5" s="6" t="s">
        <v>6</v>
      </c>
    </row>
    <row r="6" spans="1:11" x14ac:dyDescent="0.25">
      <c r="A6" s="4" t="s">
        <v>7</v>
      </c>
      <c r="B6" s="22">
        <v>7</v>
      </c>
      <c r="C6" s="25">
        <f>Table2[[#Totals],[Participating Schools]]</f>
        <v>27</v>
      </c>
      <c r="D6" s="11">
        <f>Table2[[#Totals],[Diplomas]]</f>
        <v>804</v>
      </c>
      <c r="E6" s="11">
        <f>Table2[[#Totals],[Alternate High School Diplomas]]</f>
        <v>4</v>
      </c>
      <c r="F6" s="11">
        <f>Table2[[#Totals],[General Education Development Certificates]]</f>
        <v>0</v>
      </c>
      <c r="G6" s="11">
        <f>Table2[[#Totals],[Certificates of Completion]]</f>
        <v>0</v>
      </c>
      <c r="H6" s="11">
        <f>Table2[[#Totals],[Grade Ten Transcripts]]</f>
        <v>0</v>
      </c>
      <c r="I6" s="11">
        <f>Table2[[#Totals],[Grade Eleven Transcripts]]</f>
        <v>0</v>
      </c>
      <c r="J6" s="11">
        <f>Table2[[#Totals],[Grade Twelve Transcripts]]</f>
        <v>0</v>
      </c>
      <c r="K6" s="23">
        <f t="shared" ref="K6:K38" si="0">SUM(D6:J6)</f>
        <v>808</v>
      </c>
    </row>
    <row r="7" spans="1:11" x14ac:dyDescent="0.25">
      <c r="A7" s="4" t="s">
        <v>8</v>
      </c>
      <c r="B7" s="22">
        <v>5</v>
      </c>
      <c r="C7" s="25">
        <f>Table25[[#Totals],[Participating Schools]]</f>
        <v>11</v>
      </c>
      <c r="D7" s="25">
        <f>Table25[[#Totals],[Diplomas]]</f>
        <v>876</v>
      </c>
      <c r="E7" s="25">
        <f>Table25[[#Totals],[Alternate High School Diplomas]]</f>
        <v>0</v>
      </c>
      <c r="F7" s="25">
        <f>Table25[[#Totals],[General Education Development Certificates]]</f>
        <v>0</v>
      </c>
      <c r="G7" s="25">
        <f>Table25[[#Totals],[Certificates of Completion]]</f>
        <v>0</v>
      </c>
      <c r="H7" s="25">
        <f>Table25[[#Totals],[Grade Ten Transcripts]]</f>
        <v>0</v>
      </c>
      <c r="I7" s="25">
        <f>Table25[[#Totals],[Grade Eleven Transcripts]]</f>
        <v>0</v>
      </c>
      <c r="J7" s="25">
        <f>Table25[[#Totals],[Grade Twelve Transcripts]]</f>
        <v>0</v>
      </c>
      <c r="K7" s="23">
        <f t="shared" si="0"/>
        <v>876</v>
      </c>
    </row>
    <row r="8" spans="1:11" x14ac:dyDescent="0.25">
      <c r="A8" s="4" t="s">
        <v>177</v>
      </c>
      <c r="B8" s="22">
        <v>2</v>
      </c>
      <c r="C8" s="25">
        <f>Table252[[#Totals],[Participating Schools]]</f>
        <v>2</v>
      </c>
      <c r="D8" s="25">
        <f>Table252[[#Totals],[Diplomas]]</f>
        <v>5</v>
      </c>
      <c r="E8" s="26">
        <f>Table252[[#Totals],[Alternate High School Diplomas]]</f>
        <v>0</v>
      </c>
      <c r="F8" s="5">
        <f>Table252[[#Totals],[General Education Development Certificates]]</f>
        <v>0</v>
      </c>
      <c r="G8" s="25">
        <f>Table252[[#Totals],[Certificates of Completion]]</f>
        <v>0</v>
      </c>
      <c r="H8" s="26">
        <f>Table252[[#Totals],[Grade Ten Transcripts]]</f>
        <v>0</v>
      </c>
      <c r="I8" s="25">
        <f>Table252[[#Totals],[Grade Eleven Transcripts]]</f>
        <v>0</v>
      </c>
      <c r="J8" s="25">
        <f>Table252[[#Totals],[Grade Twelve Transcripts]]</f>
        <v>0</v>
      </c>
      <c r="K8" s="23">
        <f t="shared" si="0"/>
        <v>5</v>
      </c>
    </row>
    <row r="9" spans="1:11" x14ac:dyDescent="0.25">
      <c r="A9" s="4" t="s">
        <v>9</v>
      </c>
      <c r="B9" s="22">
        <v>4</v>
      </c>
      <c r="C9" s="25">
        <f>Table256[[#Totals],[Participating Schools]]</f>
        <v>21</v>
      </c>
      <c r="D9" s="11">
        <f>Table256[[#Totals],[Diplomas]]</f>
        <v>481</v>
      </c>
      <c r="E9" s="11">
        <f>Table256[[#Totals],[Alternate High School Diplomas]]</f>
        <v>55</v>
      </c>
      <c r="F9" s="11">
        <f>Table256[[#Totals],[General Education Development Certificates]]</f>
        <v>0</v>
      </c>
      <c r="G9" s="11">
        <f>Table256[[#Totals],[Certificates of Completion]]</f>
        <v>9</v>
      </c>
      <c r="H9" s="11">
        <f>Table256[[#Totals],[Grade Ten Transcripts]]</f>
        <v>0</v>
      </c>
      <c r="I9" s="11">
        <f>Table256[[#Totals],[Grade Eleven Transcripts]]</f>
        <v>0</v>
      </c>
      <c r="J9" s="11">
        <f>Table256[[#Totals],[Grade Twelve Transcripts]]</f>
        <v>0</v>
      </c>
      <c r="K9" s="23">
        <f t="shared" si="0"/>
        <v>545</v>
      </c>
    </row>
    <row r="10" spans="1:11" x14ac:dyDescent="0.25">
      <c r="A10" s="4" t="s">
        <v>10</v>
      </c>
      <c r="B10" s="22">
        <v>1</v>
      </c>
      <c r="C10" s="25">
        <f>Table25635[[#Totals],[Participating Schools]]</f>
        <v>1</v>
      </c>
      <c r="D10" s="11">
        <f>Table25635[[#Totals],[Diplomas]]</f>
        <v>2</v>
      </c>
      <c r="E10" s="11">
        <f>Table25635[[#Totals],[Alternate High School Diplomas]]</f>
        <v>0</v>
      </c>
      <c r="F10" s="5">
        <f>Table25635[[#Totals],[General Education Development Certificates]]</f>
        <v>0</v>
      </c>
      <c r="G10" s="11">
        <f>Table25635[[#Totals],[Certificates of Completion]]</f>
        <v>0</v>
      </c>
      <c r="H10" s="11">
        <f>Table25635[[#Totals],[Grade Ten Transcripts]]</f>
        <v>0</v>
      </c>
      <c r="I10" s="11">
        <f>Table25635[[#Totals],[Grade Eleven Transcripts]]</f>
        <v>0</v>
      </c>
      <c r="J10" s="11">
        <f>Table25635[[#Totals],[Grade Twelve Transcripts]]</f>
        <v>0</v>
      </c>
      <c r="K10" s="23">
        <f t="shared" si="0"/>
        <v>2</v>
      </c>
    </row>
    <row r="11" spans="1:11" x14ac:dyDescent="0.25">
      <c r="A11" s="4" t="s">
        <v>11</v>
      </c>
      <c r="B11" s="22">
        <v>2</v>
      </c>
      <c r="C11" s="25">
        <f>Table2567[[#Totals],[Participating Schools]]</f>
        <v>2</v>
      </c>
      <c r="D11" s="15">
        <f>Table2567[[#Totals],[Diplomas]]</f>
        <v>12</v>
      </c>
      <c r="E11" s="15">
        <f>Table2567[[#Totals],[Alternate High School Diplomas]]</f>
        <v>0</v>
      </c>
      <c r="F11" s="15">
        <f>Table2567[[#Totals],[General Education Development Certificates]]</f>
        <v>0</v>
      </c>
      <c r="G11" s="15">
        <f>Table2567[[#Totals],[Certificates of Completion]]</f>
        <v>0</v>
      </c>
      <c r="H11" s="15">
        <f>Table2567[[#Totals],[Grade Ten Transcripts]]</f>
        <v>0</v>
      </c>
      <c r="I11" s="15">
        <f>Table2567[[#Totals],[Grade Eleven Transcripts]]</f>
        <v>0</v>
      </c>
      <c r="J11" s="15">
        <f>Table2567[[#Totals],[Grade Twelve Transcripts]]</f>
        <v>0</v>
      </c>
      <c r="K11" s="23">
        <f t="shared" si="0"/>
        <v>12</v>
      </c>
    </row>
    <row r="12" spans="1:11" x14ac:dyDescent="0.25">
      <c r="A12" s="4" t="s">
        <v>12</v>
      </c>
      <c r="B12" s="22">
        <v>6</v>
      </c>
      <c r="C12" s="25">
        <f>Table256731[[#Totals],[Participating Schools]]</f>
        <v>11</v>
      </c>
      <c r="D12" s="15">
        <f>Table256731[[#Totals],[Diplomas]]</f>
        <v>982</v>
      </c>
      <c r="E12" s="15">
        <f>Table256731[[#Totals],[Alternate High School Diplomas]]</f>
        <v>0</v>
      </c>
      <c r="F12" s="5">
        <f>Table256731[[#Totals],[General Education Development Certificates]]</f>
        <v>0</v>
      </c>
      <c r="G12" s="15">
        <f>Table256731[[#Totals],[Certificates of Completion]]</f>
        <v>0</v>
      </c>
      <c r="H12" s="15">
        <f>Table256731[[#Totals],[Grade Ten Transcripts]]</f>
        <v>0</v>
      </c>
      <c r="I12" s="15">
        <f>Table256731[[#Totals],[Grade Eleven Transcripts]]</f>
        <v>0</v>
      </c>
      <c r="J12" s="15">
        <f>Table256731[[#Totals],[Grade Twelve Transcripts]]</f>
        <v>0</v>
      </c>
      <c r="K12" s="23">
        <f t="shared" si="0"/>
        <v>982</v>
      </c>
    </row>
    <row r="13" spans="1:11" x14ac:dyDescent="0.25">
      <c r="A13" s="4" t="s">
        <v>13</v>
      </c>
      <c r="B13" s="22">
        <v>25</v>
      </c>
      <c r="C13" s="25">
        <f>Table256789[[#Totals],[Participating Schools]]</f>
        <v>93</v>
      </c>
      <c r="D13" s="11">
        <f>Table256789[[#Totals],[Diplomas]]</f>
        <v>3664</v>
      </c>
      <c r="E13" s="11">
        <f>Table256789[[#Totals],[Alternate High School Diplomas]]</f>
        <v>15</v>
      </c>
      <c r="F13" s="11">
        <f>Table256789[[#Totals],[General Education Development Certificates]]</f>
        <v>2</v>
      </c>
      <c r="G13" s="11">
        <f>Table256789[[#Totals],[Certificates of Completion]]</f>
        <v>55</v>
      </c>
      <c r="H13" s="11">
        <f>Table256789[[#Totals],[Grade Ten Transcripts]]</f>
        <v>0</v>
      </c>
      <c r="I13" s="11">
        <f>Table256789[[#Totals],[Grade Eleven Transcripts]]</f>
        <v>0</v>
      </c>
      <c r="J13" s="11">
        <f>Table256789[[#Totals],[Grade Twelve Transcripts]]</f>
        <v>0</v>
      </c>
      <c r="K13" s="23">
        <f t="shared" si="0"/>
        <v>3736</v>
      </c>
    </row>
    <row r="14" spans="1:11" x14ac:dyDescent="0.25">
      <c r="A14" s="4" t="s">
        <v>14</v>
      </c>
      <c r="B14" s="22">
        <v>3</v>
      </c>
      <c r="C14" s="25">
        <f>Table25678910[[#Totals],[Participating Schools]]</f>
        <v>3</v>
      </c>
      <c r="D14" s="11">
        <f>Table25678910[[#Totals],[Diplomas]]</f>
        <v>36</v>
      </c>
      <c r="E14" s="11">
        <f>Table25678910[[#Totals],[Alternate High School Diplomas]]</f>
        <v>0</v>
      </c>
      <c r="F14" s="11">
        <f>Table25678910[[#Totals],[General Education Development Certificates]]</f>
        <v>0</v>
      </c>
      <c r="G14" s="11">
        <f>Table25678910[[#Totals],[Certificates of Completion]]</f>
        <v>0</v>
      </c>
      <c r="H14" s="11">
        <f>Table25678910[[#Totals],[Grade Ten Transcripts]]</f>
        <v>0</v>
      </c>
      <c r="I14" s="11">
        <f>Table25678910[[#Totals],[Grade Eleven Transcripts]]</f>
        <v>0</v>
      </c>
      <c r="J14" s="11">
        <f>Table25678910[[#Totals],[Grade Twelve Transcripts]]</f>
        <v>0</v>
      </c>
      <c r="K14" s="23">
        <f t="shared" si="0"/>
        <v>36</v>
      </c>
    </row>
    <row r="15" spans="1:11" x14ac:dyDescent="0.25">
      <c r="A15" s="4" t="s">
        <v>221</v>
      </c>
      <c r="B15" s="22">
        <v>2</v>
      </c>
      <c r="C15" s="25">
        <f>Table2567891032[[#Totals],[Participating Schools]]</f>
        <v>2</v>
      </c>
      <c r="D15" s="11">
        <f>Table2567891032[[#Totals],[Diplomas]]</f>
        <v>11</v>
      </c>
      <c r="E15" s="11">
        <f>Table2567891032[[#Totals],[Alternate High School Diplomas]]</f>
        <v>0</v>
      </c>
      <c r="F15" s="5">
        <f>Table2567891032[[#Totals],[General Education Development Certificates]]</f>
        <v>0</v>
      </c>
      <c r="G15" s="11">
        <f>Table2567891032[[#Totals],[Certificates of Completion]]</f>
        <v>0</v>
      </c>
      <c r="H15" s="11">
        <f>Table2567891032[[#Totals],[Grade Ten Transcripts]]</f>
        <v>0</v>
      </c>
      <c r="I15" s="11">
        <f>Table2567891032[[#Totals],[Grade Eleven Transcripts]]</f>
        <v>0</v>
      </c>
      <c r="J15" s="11">
        <f>Table2567891032[[#Totals],[Grade Twelve Transcripts]]</f>
        <v>0</v>
      </c>
      <c r="K15" s="23">
        <f t="shared" si="0"/>
        <v>11</v>
      </c>
    </row>
    <row r="16" spans="1:11" x14ac:dyDescent="0.25">
      <c r="A16" s="4" t="s">
        <v>15</v>
      </c>
      <c r="B16" s="22">
        <v>3</v>
      </c>
      <c r="C16" s="25">
        <f>Table2567891011[[#Totals],[Participating Schools]]</f>
        <v>8</v>
      </c>
      <c r="D16" s="11">
        <f>Table2567891011[[#Totals],[Diplomas]]</f>
        <v>294</v>
      </c>
      <c r="E16" s="11">
        <f>Table2567891011[[#Totals],[Alternate High School Diplomas]]</f>
        <v>0</v>
      </c>
      <c r="F16" s="11">
        <f>Table2567891011[[#Totals],[General Education Development Certificates]]</f>
        <v>0</v>
      </c>
      <c r="G16" s="11">
        <f>Table2567891011[[#Totals],[Certificates of Completion]]</f>
        <v>0</v>
      </c>
      <c r="H16" s="11">
        <f>Table2567891011[[#Totals],[Grade Ten Transcripts]]</f>
        <v>0</v>
      </c>
      <c r="I16" s="11">
        <f>Table2567891011[[#Totals],[Grade Eleven Transcripts]]</f>
        <v>0</v>
      </c>
      <c r="J16" s="11">
        <f>Table2567891011[[#Totals],[Grade Twelve Transcripts]]</f>
        <v>0</v>
      </c>
      <c r="K16" s="23">
        <f t="shared" si="0"/>
        <v>294</v>
      </c>
    </row>
    <row r="17" spans="1:11" x14ac:dyDescent="0.25">
      <c r="A17" s="4" t="s">
        <v>228</v>
      </c>
      <c r="B17" s="22">
        <v>1</v>
      </c>
      <c r="C17" s="25">
        <f>Table25678910118[[#Totals],[Participating Schools]]</f>
        <v>1</v>
      </c>
      <c r="D17" s="11">
        <f>Table25678910118[[#Totals],[Diplomas]]</f>
        <v>1</v>
      </c>
      <c r="E17" s="11">
        <f>Table25678910118[[#Totals],[Alternate High School Diplomas]]</f>
        <v>0</v>
      </c>
      <c r="F17" s="5">
        <f>Table25678910118[[#Totals],[General Education Development Certificates]]</f>
        <v>0</v>
      </c>
      <c r="G17" s="11">
        <f>Table25678910118[[#Totals],[Certificates of Completion]]</f>
        <v>0</v>
      </c>
      <c r="H17" s="11">
        <f>Table25678910118[[#Totals],[Grade Ten Transcripts]]</f>
        <v>0</v>
      </c>
      <c r="I17" s="11">
        <f>Table25678910118[[#Totals],[Grade Eleven Transcripts]]</f>
        <v>0</v>
      </c>
      <c r="J17" s="11">
        <f>Table25678910118[[#Totals],[Grade Twelve Transcripts]]</f>
        <v>0</v>
      </c>
      <c r="K17" s="23">
        <f t="shared" si="0"/>
        <v>1</v>
      </c>
    </row>
    <row r="18" spans="1:11" x14ac:dyDescent="0.25">
      <c r="A18" s="4" t="s">
        <v>16</v>
      </c>
      <c r="B18" s="22">
        <v>1</v>
      </c>
      <c r="C18" s="25">
        <f>Table25678910111233[[#Totals],[Participating Schools]]</f>
        <v>1</v>
      </c>
      <c r="D18" s="11">
        <f>Table25678910111233[[#Totals],[Diplomas]]</f>
        <v>14</v>
      </c>
      <c r="E18" s="11">
        <f>Table25678910111233[[#Totals],[Alternate High School Diplomas]]</f>
        <v>0</v>
      </c>
      <c r="F18" s="11">
        <f>Table25678910111233[[#Totals],[General Education Development Certificates]]</f>
        <v>0</v>
      </c>
      <c r="G18" s="11">
        <f>Table25678910111233[[#Totals],[Certificates of Completion]]</f>
        <v>0</v>
      </c>
      <c r="H18" s="11">
        <f>Table25678910111233[[#Totals],[Grade Ten Transcripts]]</f>
        <v>0</v>
      </c>
      <c r="I18" s="11">
        <f>Table25678910111233[[#Totals],[Grade Eleven Transcripts]]</f>
        <v>0</v>
      </c>
      <c r="J18" s="11">
        <f>Table25678910111233[[#Totals],[Grade Twelve Transcripts]]</f>
        <v>0</v>
      </c>
      <c r="K18" s="23">
        <f t="shared" si="0"/>
        <v>14</v>
      </c>
    </row>
    <row r="19" spans="1:11" x14ac:dyDescent="0.25">
      <c r="A19" s="4" t="s">
        <v>17</v>
      </c>
      <c r="B19" s="22">
        <v>12</v>
      </c>
      <c r="C19" s="25">
        <f>Table25678914[[#Totals],[Participating Schools]]</f>
        <v>65</v>
      </c>
      <c r="D19" s="11">
        <f>Table25678914[[#Totals],[Diplomas]]</f>
        <v>4791</v>
      </c>
      <c r="E19" s="11">
        <f>Table25678914[[#Totals],[Alternate High School Diplomas]]</f>
        <v>43</v>
      </c>
      <c r="F19" s="11">
        <f>Table25678914[[#Totals],[General Education Development Certificates]]</f>
        <v>0</v>
      </c>
      <c r="G19" s="11">
        <f>Table25678914[[#Totals],[Certificates of Completion]]</f>
        <v>0</v>
      </c>
      <c r="H19" s="11">
        <f>Table25678914[[#Totals],[Grade Ten Transcripts]]</f>
        <v>0</v>
      </c>
      <c r="I19" s="11">
        <f>Table25678914[[#Totals],[Grade Eleven Transcripts]]</f>
        <v>190</v>
      </c>
      <c r="J19" s="11">
        <f>Table25678914[[#Totals],[Grade Twelve Transcripts]]</f>
        <v>0</v>
      </c>
      <c r="K19" s="23">
        <f t="shared" si="0"/>
        <v>5024</v>
      </c>
    </row>
    <row r="20" spans="1:11" x14ac:dyDescent="0.25">
      <c r="A20" s="4" t="s">
        <v>245</v>
      </c>
      <c r="B20" s="22">
        <v>2</v>
      </c>
      <c r="C20" s="25">
        <f>Table2567891412[[#Totals],[Participating Schools]]</f>
        <v>4</v>
      </c>
      <c r="D20" s="11">
        <f>Table2567891412[[#Totals],[Diplomas]]</f>
        <v>12</v>
      </c>
      <c r="E20" s="11">
        <f>Table2567891412[[#Totals],[Alternate High School Diplomas]]</f>
        <v>0</v>
      </c>
      <c r="F20" s="5">
        <f>Table2567891412[[#Totals],[General Education Development Certificates]]</f>
        <v>0</v>
      </c>
      <c r="G20" s="11">
        <f>Table2567891412[[#Totals],[Certificates of Completion]]</f>
        <v>0</v>
      </c>
      <c r="H20" s="11">
        <f>Table2567891412[[#Totals],[Grade Ten Transcripts]]</f>
        <v>0</v>
      </c>
      <c r="I20" s="11">
        <f>Table2567891412[[#Totals],[Grade Eleven Transcripts]]</f>
        <v>1</v>
      </c>
      <c r="J20" s="11">
        <f>Table2567891412[[#Totals],[Grade Twelve Transcripts]]</f>
        <v>0</v>
      </c>
      <c r="K20" s="23">
        <f t="shared" si="0"/>
        <v>13</v>
      </c>
    </row>
    <row r="21" spans="1:11" x14ac:dyDescent="0.25">
      <c r="A21" s="4" t="s">
        <v>18</v>
      </c>
      <c r="B21" s="22">
        <v>11</v>
      </c>
      <c r="C21" s="25">
        <f>Table25678915[[#Totals],[Participating Schools]]</f>
        <v>40</v>
      </c>
      <c r="D21" s="11">
        <f>Table25678915[[#Totals],[Diplomas]]</f>
        <v>2171</v>
      </c>
      <c r="E21" s="11">
        <f>Table25678915[[#Totals],[Alternate High School Diplomas]]</f>
        <v>29</v>
      </c>
      <c r="F21" s="11">
        <f>Table25678915[[#Totals],[General Education Development Certificates]]</f>
        <v>0</v>
      </c>
      <c r="G21" s="11">
        <f>Table25678915[[#Totals],[Certificates of Completion]]</f>
        <v>4</v>
      </c>
      <c r="H21" s="11">
        <f>Table25678915[[#Totals],[Grade Ten Transcripts]]</f>
        <v>0</v>
      </c>
      <c r="I21" s="11">
        <f>Table25678915[[#Totals],[Grade Eleven Transcripts]]</f>
        <v>0</v>
      </c>
      <c r="J21" s="11">
        <f>Table25678915[[#Totals],[Grade Twelve Transcripts]]</f>
        <v>1018</v>
      </c>
      <c r="K21" s="23">
        <f t="shared" si="0"/>
        <v>3222</v>
      </c>
    </row>
    <row r="22" spans="1:11" x14ac:dyDescent="0.25">
      <c r="A22" s="4" t="s">
        <v>19</v>
      </c>
      <c r="B22" s="22">
        <v>8</v>
      </c>
      <c r="C22" s="25">
        <f>Table2567891517[[#Totals],[Participating Schools]]</f>
        <v>38</v>
      </c>
      <c r="D22" s="11">
        <f>Table2567891517[[#Totals],[Diplomas]]</f>
        <v>1298</v>
      </c>
      <c r="E22" s="11">
        <f>Table2567891517[[#Totals],[Alternate High School Diplomas]]</f>
        <v>0</v>
      </c>
      <c r="F22" s="11">
        <f>Table2567891517[[#Totals],[General Education Development Certificates]]</f>
        <v>0</v>
      </c>
      <c r="G22" s="11">
        <f>Table2567891517[[#Totals],[Certificates of Completion]]</f>
        <v>0</v>
      </c>
      <c r="H22" s="11">
        <f>Table2567891517[[#Totals],[Grade Ten Transcripts]]</f>
        <v>0</v>
      </c>
      <c r="I22" s="11">
        <f>Table2567891517[[#Totals],[Grade Eleven Transcripts]]</f>
        <v>119</v>
      </c>
      <c r="J22" s="11">
        <f>Table2567891517[[#Totals],[Grade Twelve Transcripts]]</f>
        <v>0</v>
      </c>
      <c r="K22" s="23">
        <f t="shared" si="0"/>
        <v>1417</v>
      </c>
    </row>
    <row r="23" spans="1:11" x14ac:dyDescent="0.25">
      <c r="A23" s="4" t="s">
        <v>20</v>
      </c>
      <c r="B23" s="22">
        <v>1</v>
      </c>
      <c r="C23" s="25">
        <f>Table256789151713[[#Totals],[Participating Schools]]</f>
        <v>1</v>
      </c>
      <c r="D23" s="11">
        <f>Table256789151713[[#Totals],[Diplomas]]</f>
        <v>133</v>
      </c>
      <c r="E23" s="11">
        <f>Table256789151713[[#Totals],[Alternate High School Diplomas]]</f>
        <v>0</v>
      </c>
      <c r="F23" s="11">
        <f>Table256789151713[[#Totals],[General Education Development Certificates]]</f>
        <v>0</v>
      </c>
      <c r="G23" s="11">
        <f>Table256789151713[[#Totals],[Certificates of Completion]]</f>
        <v>0</v>
      </c>
      <c r="H23" s="11">
        <f>Table256789151713[[#Totals],[Grade Ten Transcripts]]</f>
        <v>0</v>
      </c>
      <c r="I23" s="11">
        <f>Table256789151713[[#Totals],[Grade Eleven Transcripts]]</f>
        <v>65</v>
      </c>
      <c r="J23" s="11">
        <f>Table256789151713[[#Totals],[Grade Twelve Transcripts]]</f>
        <v>0</v>
      </c>
      <c r="K23" s="23">
        <f t="shared" si="0"/>
        <v>198</v>
      </c>
    </row>
    <row r="24" spans="1:11" x14ac:dyDescent="0.25">
      <c r="A24" s="4" t="s">
        <v>21</v>
      </c>
      <c r="B24" s="22">
        <v>7</v>
      </c>
      <c r="C24" s="25">
        <f>Table256789151718[[#Totals],[Participating Schools]]</f>
        <v>20</v>
      </c>
      <c r="D24" s="11">
        <f>Table256789151718[[#Totals],[Diplomas]]</f>
        <v>309</v>
      </c>
      <c r="E24" s="11">
        <f>Table256789151718[[#Totals],[Alternate High School Diplomas]]</f>
        <v>1</v>
      </c>
      <c r="F24" s="11">
        <f>Table256789151718[[#Totals],[General Education Development Certificates]]</f>
        <v>0</v>
      </c>
      <c r="G24" s="11">
        <f>Table256789151718[[#Totals],[Certificates of Completion]]</f>
        <v>0</v>
      </c>
      <c r="H24" s="11">
        <f>Table256789151718[[#Totals],[Grade Ten Transcripts]]</f>
        <v>0</v>
      </c>
      <c r="I24" s="11">
        <f>Table256789151718[[#Totals],[Grade Eleven Transcripts]]</f>
        <v>0</v>
      </c>
      <c r="J24" s="11">
        <f>Table256789151718[[#Totals],[Grade Twelve Transcripts]]</f>
        <v>15</v>
      </c>
      <c r="K24" s="23">
        <f t="shared" si="0"/>
        <v>325</v>
      </c>
    </row>
    <row r="25" spans="1:11" x14ac:dyDescent="0.25">
      <c r="A25" s="4" t="s">
        <v>22</v>
      </c>
      <c r="B25" s="22">
        <v>16</v>
      </c>
      <c r="C25" s="25">
        <f>Table25678915171819[[#Totals],[Participating Schools]]</f>
        <v>41</v>
      </c>
      <c r="D25" s="11">
        <f>Table25678915171819[[#Totals],[Diplomas]]</f>
        <v>2801</v>
      </c>
      <c r="E25" s="11">
        <f>Table25678915171819[[#Totals],[Alternate High School Diplomas]]</f>
        <v>3</v>
      </c>
      <c r="F25" s="11">
        <f>Table25678915171819[[#Totals],[General Education Development Certificates]]</f>
        <v>0</v>
      </c>
      <c r="G25" s="11">
        <f>Table25678915171819[[#Totals],[Certificates of Completion]]</f>
        <v>1</v>
      </c>
      <c r="H25" s="11">
        <f>Table25678915171819[[#Totals],[Grade Ten Transcripts]]</f>
        <v>0</v>
      </c>
      <c r="I25" s="11">
        <f>Table25678915171819[[#Totals],[Grade Eleven Transcripts]]</f>
        <v>71</v>
      </c>
      <c r="J25" s="11">
        <f>Table25678915171819[[#Totals],[Grade Twelve Transcripts]]</f>
        <v>0</v>
      </c>
      <c r="K25" s="23">
        <f t="shared" si="0"/>
        <v>2876</v>
      </c>
    </row>
    <row r="26" spans="1:11" x14ac:dyDescent="0.25">
      <c r="A26" s="4" t="s">
        <v>23</v>
      </c>
      <c r="B26" s="22">
        <v>6</v>
      </c>
      <c r="C26" s="25">
        <f>Table2567891517181920[[#Totals],[Participating Schools]]</f>
        <v>12</v>
      </c>
      <c r="D26" s="11">
        <f>Table2567891517181920[[#Totals],[Diplomas]]</f>
        <v>110</v>
      </c>
      <c r="E26" s="11">
        <f>Table2567891517181920[[#Totals],[Alternate High School Diplomas]]</f>
        <v>0</v>
      </c>
      <c r="F26" s="11">
        <f>Table2567891517181920[[#Totals],[General Education Development Certificates]]</f>
        <v>0</v>
      </c>
      <c r="G26" s="11">
        <f>Table2567891517181920[[#Totals],[Certificates of Completion]]</f>
        <v>0</v>
      </c>
      <c r="H26" s="11">
        <f>Table2567891517181920[[#Totals],[Grade Ten Transcripts]]</f>
        <v>0</v>
      </c>
      <c r="I26" s="11">
        <f>Table2567891517181920[[#Totals],[Grade Eleven Transcripts]]</f>
        <v>0</v>
      </c>
      <c r="J26" s="11">
        <f>Table2567891517181920[[#Totals],[Grade Twelve Transcripts]]</f>
        <v>0</v>
      </c>
      <c r="K26" s="23">
        <f t="shared" si="0"/>
        <v>110</v>
      </c>
    </row>
    <row r="27" spans="1:11" x14ac:dyDescent="0.25">
      <c r="A27" s="4" t="s">
        <v>24</v>
      </c>
      <c r="B27" s="22">
        <v>2</v>
      </c>
      <c r="C27" s="25">
        <f>Table256789151718192021[[#Totals],[Participating Schools]]</f>
        <v>2</v>
      </c>
      <c r="D27" s="11">
        <f>Table256789151718192021[[#Totals],[Diplomas]]</f>
        <v>8</v>
      </c>
      <c r="E27" s="11">
        <f>Table256789151718192021[[#Totals],[Alternate High School Diplomas]]</f>
        <v>0</v>
      </c>
      <c r="F27" s="11">
        <f>Table256789151718192021[[#Totals],[General Education Development Certificates]]</f>
        <v>0</v>
      </c>
      <c r="G27" s="11">
        <f>Table256789151718192021[[#Totals],[Certificates of Completion]]</f>
        <v>0</v>
      </c>
      <c r="H27" s="11">
        <f>Table256789151718192021[[#Totals],[Grade Ten Transcripts]]</f>
        <v>0</v>
      </c>
      <c r="I27" s="11">
        <f>Table256789151718192021[[#Totals],[Grade Eleven Transcripts]]</f>
        <v>0</v>
      </c>
      <c r="J27" s="11">
        <f>Table256789151718192021[[#Totals],[Grade Twelve Transcripts]]</f>
        <v>0</v>
      </c>
      <c r="K27" s="23">
        <f t="shared" si="0"/>
        <v>8</v>
      </c>
    </row>
    <row r="28" spans="1:11" x14ac:dyDescent="0.25">
      <c r="A28" s="4" t="s">
        <v>303</v>
      </c>
      <c r="B28" s="22">
        <v>1</v>
      </c>
      <c r="C28" s="25">
        <f>Table25678915171819202136[[#Totals],[Participating Schools]]</f>
        <v>5</v>
      </c>
      <c r="D28" s="11">
        <f>Table25678915171819202136[[#Totals],[Diplomas]]</f>
        <v>250</v>
      </c>
      <c r="E28" s="11">
        <f>Table25678915171819202136[[#Totals],[Alternate High School Diplomas]]</f>
        <v>0</v>
      </c>
      <c r="F28" s="5">
        <f>Table25678915171819202136[[#Totals],[General Education Development Certificates]]</f>
        <v>0</v>
      </c>
      <c r="G28" s="11">
        <f>Table25678915171819202136[[#Totals],[Certificates of Completion]]</f>
        <v>0</v>
      </c>
      <c r="H28" s="11">
        <f>Table25678915171819202136[[#Totals],[Grade Ten Transcripts]]</f>
        <v>0</v>
      </c>
      <c r="I28" s="11">
        <f>Table25678915171819202136[[#Totals],[Grade Eleven Transcripts]]</f>
        <v>0</v>
      </c>
      <c r="J28" s="11">
        <f>Table25678915171819202136[[#Totals],[Grade Twelve Transcripts]]</f>
        <v>0</v>
      </c>
      <c r="K28" s="23">
        <f t="shared" si="0"/>
        <v>250</v>
      </c>
    </row>
    <row r="29" spans="1:11" x14ac:dyDescent="0.25">
      <c r="A29" s="4" t="s">
        <v>25</v>
      </c>
      <c r="B29" s="22">
        <v>1</v>
      </c>
      <c r="C29" s="25">
        <f>Table25678915171819202116[[#Totals],[Participating Schools]]</f>
        <v>3</v>
      </c>
      <c r="D29" s="11">
        <f>Table25678915171819202116[[#Totals],[Diplomas]]</f>
        <v>179</v>
      </c>
      <c r="E29" s="11">
        <f>Table25678915171819202116[[#Totals],[Alternate High School Diplomas]]</f>
        <v>0</v>
      </c>
      <c r="F29" s="11">
        <f>Table25678915171819202116[[#Totals],[General Education Development Certificates]]</f>
        <v>0</v>
      </c>
      <c r="G29" s="11">
        <f>Table25678915171819202116[[#Totals],[Certificates of Completion]]</f>
        <v>1</v>
      </c>
      <c r="H29" s="11">
        <f>Table25678915171819202116[[#Totals],[Grade Ten Transcripts]]</f>
        <v>0</v>
      </c>
      <c r="I29" s="11">
        <f>Table25678915171819202116[[#Totals],[Grade Eleven Transcripts]]</f>
        <v>0</v>
      </c>
      <c r="J29" s="11">
        <f>Table25678915171819202116[[#Totals],[Grade Twelve Transcripts]]</f>
        <v>0</v>
      </c>
      <c r="K29" s="23">
        <f t="shared" si="0"/>
        <v>180</v>
      </c>
    </row>
    <row r="30" spans="1:11" x14ac:dyDescent="0.25">
      <c r="A30" s="4" t="s">
        <v>26</v>
      </c>
      <c r="B30" s="22">
        <v>8</v>
      </c>
      <c r="C30" s="25">
        <f>Table25678915171819202122[[#Totals],[Participating Schools]]</f>
        <v>18</v>
      </c>
      <c r="D30" s="11">
        <f>Table25678915171819202122[[#Totals],[Diplomas]]</f>
        <v>965</v>
      </c>
      <c r="E30" s="11">
        <f>Table25678915171819202122[[#Totals],[Alternate High School Diplomas]]</f>
        <v>0</v>
      </c>
      <c r="F30" s="11">
        <f>Table25678915171819202122[[#Totals],[General Education Development Certificates]]</f>
        <v>0</v>
      </c>
      <c r="G30" s="11">
        <f>Table25678915171819202122[[#Totals],[Certificates of Completion]]</f>
        <v>0</v>
      </c>
      <c r="H30" s="11">
        <f>Table25678915171819202122[[#Totals],[Grade Ten Transcripts]]</f>
        <v>0</v>
      </c>
      <c r="I30" s="11">
        <f>Table25678915171819202122[[#Totals],[Grade Eleven Transcripts]]</f>
        <v>0</v>
      </c>
      <c r="J30" s="11">
        <f>Table25678915171819202122[[#Totals],[Grade Twelve Transcripts]]</f>
        <v>0</v>
      </c>
      <c r="K30" s="23">
        <f t="shared" si="0"/>
        <v>965</v>
      </c>
    </row>
    <row r="31" spans="1:11" x14ac:dyDescent="0.25">
      <c r="A31" s="4" t="s">
        <v>27</v>
      </c>
      <c r="B31" s="22">
        <v>1</v>
      </c>
      <c r="C31" s="25">
        <f>Table2567891517181920212229[[#Totals],[Participating Schools]]</f>
        <v>8</v>
      </c>
      <c r="D31" s="11">
        <f>Table2567891517181920212229[[#Totals],[Diplomas]]</f>
        <v>153</v>
      </c>
      <c r="E31" s="11">
        <f>Table2567891517181920212229[[#Totals],[Alternate High School Diplomas]]</f>
        <v>0</v>
      </c>
      <c r="F31" s="11">
        <f>Table2567891517181920212229[[#Totals],[General Education Development Certificates]]</f>
        <v>0</v>
      </c>
      <c r="G31" s="11">
        <f>Table2567891517181920212229[[#Totals],[Certificates of Completion]]</f>
        <v>0</v>
      </c>
      <c r="H31" s="11">
        <f>Table2567891517181920212229[[#Totals],[Grade Ten Transcripts]]</f>
        <v>0</v>
      </c>
      <c r="I31" s="11">
        <f>Table2567891517181920212229[[#Totals],[Grade Eleven Transcripts]]</f>
        <v>0</v>
      </c>
      <c r="J31" s="11">
        <f>Table2567891517181920212229[[#Totals],[Grade Twelve Transcripts]]</f>
        <v>0</v>
      </c>
      <c r="K31" s="23">
        <f t="shared" si="0"/>
        <v>153</v>
      </c>
    </row>
    <row r="32" spans="1:11" x14ac:dyDescent="0.25">
      <c r="A32" s="4" t="s">
        <v>321</v>
      </c>
      <c r="B32" s="22">
        <v>1</v>
      </c>
      <c r="C32" s="25">
        <f>Table256789151718192021222937[[#Totals],[Participating Schools]]</f>
        <v>2</v>
      </c>
      <c r="D32" s="11">
        <f>Table256789151718192021222937[[#Totals],[Diplomas]]</f>
        <v>13</v>
      </c>
      <c r="E32" s="11">
        <f>Table256789151718192021222937[[#Totals],[Alternate High School Diplomas]]</f>
        <v>0</v>
      </c>
      <c r="F32" s="5">
        <f>Table256789151718192021222937[[#Totals],[General Education Development Certificates]]</f>
        <v>0</v>
      </c>
      <c r="G32" s="11">
        <f>Table256789151718192021222937[[#Totals],[Certificates of Completion]]</f>
        <v>0</v>
      </c>
      <c r="H32" s="11">
        <f>Table256789151718192021222937[[#Totals],[Grade Ten Transcripts]]</f>
        <v>0</v>
      </c>
      <c r="I32" s="11">
        <f>Table256789151718192021222937[[#Totals],[Grade Eleven Transcripts]]</f>
        <v>0</v>
      </c>
      <c r="J32" s="11">
        <f>Table256789151718192021222937[[#Totals],[Grade Twelve Transcripts]]</f>
        <v>0</v>
      </c>
      <c r="K32" s="23">
        <f t="shared" si="0"/>
        <v>13</v>
      </c>
    </row>
    <row r="33" spans="1:11" x14ac:dyDescent="0.25">
      <c r="A33" s="4" t="s">
        <v>28</v>
      </c>
      <c r="B33" s="22">
        <v>3</v>
      </c>
      <c r="C33" s="25">
        <f>Table2567891517181920212223[[#Totals],[Participating Schools]]</f>
        <v>4</v>
      </c>
      <c r="D33" s="11">
        <f>Table2567891517181920212223[[#Totals],[Diplomas]]</f>
        <v>8</v>
      </c>
      <c r="E33" s="11">
        <f>Table2567891517181920212223[[#Totals],[Alternate High School Diplomas]]</f>
        <v>0</v>
      </c>
      <c r="F33" s="11">
        <f>Table2567891517181920212223[[#Totals],[General Education Development Certificates]]</f>
        <v>0</v>
      </c>
      <c r="G33" s="11">
        <f>Table2567891517181920212223[[#Totals],[Certificates of Completion]]</f>
        <v>0</v>
      </c>
      <c r="H33" s="11">
        <f>Table2567891517181920212223[[#Totals],[Grade Ten Transcripts]]</f>
        <v>0</v>
      </c>
      <c r="I33" s="11">
        <f>Table2567891517181920212223[[#Totals],[Grade Eleven Transcripts]]</f>
        <v>0</v>
      </c>
      <c r="J33" s="11">
        <f>Table2567891517181920212223[[#Totals],[Grade Twelve Transcripts]]</f>
        <v>0</v>
      </c>
      <c r="K33" s="23">
        <f t="shared" si="0"/>
        <v>8</v>
      </c>
    </row>
    <row r="34" spans="1:11" x14ac:dyDescent="0.25">
      <c r="A34" s="4" t="s">
        <v>29</v>
      </c>
      <c r="B34" s="22">
        <v>3</v>
      </c>
      <c r="C34" s="25" t="str">
        <f>Table256789151718192021222324[[#Totals],[Participating Schools]]</f>
        <v>3</v>
      </c>
      <c r="D34" s="11">
        <f>Table256789151718192021222324[[#Totals],[Diplomas]]</f>
        <v>58</v>
      </c>
      <c r="E34" s="11">
        <f>Table256789151718192021222324[[#Totals],[Alternate High School Diplomas]]</f>
        <v>0</v>
      </c>
      <c r="F34" s="11">
        <f>Table256789151718192021222324[[#Totals],[General Education Development Certificates]]</f>
        <v>0</v>
      </c>
      <c r="G34" s="11">
        <f>Table256789151718192021222324[[#Totals],[Certificates of Completion]]</f>
        <v>0</v>
      </c>
      <c r="H34" s="11">
        <f>Table256789151718192021222324[[#Totals],[Grade Ten Transcripts]]</f>
        <v>0</v>
      </c>
      <c r="I34" s="11">
        <f>Table256789151718192021222324[[#Totals],[Grade Eleven Transcripts]]</f>
        <v>0</v>
      </c>
      <c r="J34" s="11">
        <f>Table256789151718192021222324[[#Totals],[Grade Twelve Transcripts]]</f>
        <v>0</v>
      </c>
      <c r="K34" s="23">
        <f t="shared" si="0"/>
        <v>58</v>
      </c>
    </row>
    <row r="35" spans="1:11" x14ac:dyDescent="0.25">
      <c r="A35" s="4" t="s">
        <v>30</v>
      </c>
      <c r="B35" s="22">
        <v>2</v>
      </c>
      <c r="C35" s="25">
        <f>Table25678915171819202122232425[[#Totals],[Participating Schools]]</f>
        <v>7</v>
      </c>
      <c r="D35" s="11">
        <f>SUBTOTAL(109,Table25678915171819202122232425[Diplomas])</f>
        <v>29</v>
      </c>
      <c r="E35" s="11">
        <v>1</v>
      </c>
      <c r="F35" s="11">
        <f>Table25678915171819202122232425[[#Totals],[General Education Development Certificates]]</f>
        <v>0</v>
      </c>
      <c r="G35" s="11">
        <f>Table25678915171819202122232425[[#Totals],[Certificates of Completion]]</f>
        <v>0</v>
      </c>
      <c r="H35" s="11">
        <f>Table25678915171819202122232425[[#Totals],[Grade Ten Transcripts]]</f>
        <v>0</v>
      </c>
      <c r="I35" s="11">
        <f>Table25678915171819202122232425[[#Totals],[Grade Eleven Transcripts]]</f>
        <v>0</v>
      </c>
      <c r="J35" s="11">
        <f>Table25678915171819202122232425[[#Totals],[Grade Twelve Transcripts]]</f>
        <v>0</v>
      </c>
      <c r="K35" s="23">
        <f t="shared" si="0"/>
        <v>30</v>
      </c>
    </row>
    <row r="36" spans="1:11" x14ac:dyDescent="0.25">
      <c r="A36" s="4" t="s">
        <v>31</v>
      </c>
      <c r="B36" s="22">
        <v>7</v>
      </c>
      <c r="C36" s="25">
        <f>Table2567891517181920212223242526[[#Totals],[Participating Schools]]</f>
        <v>17</v>
      </c>
      <c r="D36" s="11">
        <f>Table2567891517181920212223242526[[#Totals],[Diplomas]]</f>
        <v>385</v>
      </c>
      <c r="E36" s="11">
        <f>Table2567891517181920212223242526[[#Totals],[Alternate High School Diplomas]]</f>
        <v>16</v>
      </c>
      <c r="F36" s="5">
        <f>Table2567891517181920212223242526[[#Totals],[General Education Development Certificates]]</f>
        <v>0</v>
      </c>
      <c r="G36" s="5">
        <f>Table2567891517181920212223242526[[#Totals],[Certificates of Completion]]</f>
        <v>0</v>
      </c>
      <c r="H36" s="5">
        <f>Table2567891517181920212223242526[[#Totals],[Grade Ten Transcripts]]</f>
        <v>0</v>
      </c>
      <c r="I36" s="5">
        <f>Table2567891517181920212223242526[[#Totals],[Grade Eleven Transcripts]]</f>
        <v>2</v>
      </c>
      <c r="J36" s="5">
        <f>Table2567891517181920212223242526[[#Totals],[Grade Twelve Transcripts]]</f>
        <v>0</v>
      </c>
      <c r="K36" s="23">
        <f t="shared" si="0"/>
        <v>403</v>
      </c>
    </row>
    <row r="37" spans="1:11" x14ac:dyDescent="0.25">
      <c r="A37" s="4" t="s">
        <v>32</v>
      </c>
      <c r="B37" s="22">
        <v>6</v>
      </c>
      <c r="C37" s="25">
        <f>Table256789151718192021222324252627[[#Totals],[Participating Schools]]</f>
        <v>19</v>
      </c>
      <c r="D37" s="11">
        <f>Table256789151718192021222324252627[[#Totals],[Diplomas]]</f>
        <v>337</v>
      </c>
      <c r="E37" s="11">
        <f>Table256789151718192021222324252627[[#Totals],[Alternate High School Diplomas]]</f>
        <v>2</v>
      </c>
      <c r="F37" s="11">
        <f>Table256789151718192021222324252627[[#Totals],[General Education Development Certificates]]</f>
        <v>0</v>
      </c>
      <c r="G37" s="11">
        <f>Table256789151718192021222324252627[[#Totals],[Certificates of Completion]]</f>
        <v>4</v>
      </c>
      <c r="H37" s="11">
        <f>Table256789151718192021222324252627[[#Totals],[Grade Ten Transcripts]]</f>
        <v>0</v>
      </c>
      <c r="I37" s="11">
        <f>Table256789151718192021222324252627[[#Totals],[Grade Eleven Transcripts]]</f>
        <v>0</v>
      </c>
      <c r="J37" s="11">
        <f>Table256789151718192021222324252627[[#Totals],[Grade Twelve Transcripts]]</f>
        <v>0</v>
      </c>
      <c r="K37" s="23">
        <f t="shared" si="0"/>
        <v>343</v>
      </c>
    </row>
    <row r="38" spans="1:11" x14ac:dyDescent="0.25">
      <c r="A38" s="4" t="s">
        <v>33</v>
      </c>
      <c r="B38" s="22">
        <v>1</v>
      </c>
      <c r="C38" s="25">
        <f>Table25678915171819202122232425262728[[#Totals],[Participating Schools]]</f>
        <v>3</v>
      </c>
      <c r="D38" s="11">
        <f>Table25678915171819202122232425262728[[#Totals],[Diplomas]]</f>
        <v>121</v>
      </c>
      <c r="E38" s="11">
        <f>Table25678915171819202122232425262728[[#Totals],[Alternate High School Diplomas]]</f>
        <v>1</v>
      </c>
      <c r="F38" s="11">
        <f>Table25678915171819202122232425262728[[#Totals],[General Education Development Certificates]]</f>
        <v>0</v>
      </c>
      <c r="G38" s="11">
        <f>Table25678915171819202122232425262728[[#Totals],[Certificates of Completion]]</f>
        <v>0</v>
      </c>
      <c r="H38" s="11">
        <f>Table25678915171819202122232425262728[[#Totals],[Grade Ten Transcripts]]</f>
        <v>0</v>
      </c>
      <c r="I38" s="11">
        <f>Table25678915171819202122232425262728[[#Totals],[Grade Eleven Transcripts]]</f>
        <v>0</v>
      </c>
      <c r="J38" s="11">
        <f>Table25678915171819202122232425262728[[#Totals],[Grade Twelve Transcripts]]</f>
        <v>0</v>
      </c>
      <c r="K38" s="23">
        <f t="shared" si="0"/>
        <v>122</v>
      </c>
    </row>
    <row r="39" spans="1:11" x14ac:dyDescent="0.25">
      <c r="A39" t="s">
        <v>354</v>
      </c>
      <c r="B39" s="8">
        <f>SUBTOTAL(109,Table30[Participating Local Educational Agencies (LEAs)])</f>
        <v>161</v>
      </c>
      <c r="C39" s="8">
        <f>SUBTOTAL(109,Table30[Participating Schools])</f>
        <v>492</v>
      </c>
      <c r="D39" s="8">
        <f>SUBTOTAL(109,Table30[Diplomas])</f>
        <v>21284</v>
      </c>
      <c r="E39" s="8">
        <f>SUBTOTAL(109,Table30[Alternative High School Diplomas])</f>
        <v>170</v>
      </c>
      <c r="F39" s="8">
        <f>SUBTOTAL(109,Table30[General Education Development Certificates])</f>
        <v>2</v>
      </c>
      <c r="G39" s="8">
        <f>SUBTOTAL(109,Table30[Certificates of Completion])</f>
        <v>74</v>
      </c>
      <c r="H39" s="8">
        <f>SUBTOTAL(109,Table30[Grade Ten Transcripts])</f>
        <v>0</v>
      </c>
      <c r="I39" s="8">
        <f>SUBTOTAL(109,Table30[Grade Eleven Transcripts])</f>
        <v>448</v>
      </c>
      <c r="J39" s="8">
        <f>SUBTOTAL(109,Table30[Grade Twelve Transcripts])</f>
        <v>1033</v>
      </c>
      <c r="K39" s="8">
        <f>SUBTOTAL(109,Table30[Seal Total])</f>
        <v>23040</v>
      </c>
    </row>
    <row r="40" spans="1:11" x14ac:dyDescent="0.25">
      <c r="B40" s="5"/>
    </row>
  </sheetData>
  <pageMargins left="0.7" right="0.7" top="0.75" bottom="0.75" header="0.3" footer="0.3"/>
  <pageSetup orientation="portrait" r:id="rId1"/>
  <ignoredErrors>
    <ignoredError sqref="K36:K38 K11 K13:K14 K33:K35 K9 K6:K7 K16 K18:K19 K21:K27 K29:K31" formulaRange="1"/>
    <ignoredError sqref="H6:H7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FD68-E720-4844-A702-6E0FF9994663}">
  <dimension ref="A1:J10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14</v>
      </c>
    </row>
    <row r="2" spans="1:10" x14ac:dyDescent="0.25">
      <c r="A2" t="s">
        <v>362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x14ac:dyDescent="0.25">
      <c r="A4" s="10" t="s">
        <v>217</v>
      </c>
      <c r="B4" s="10" t="s">
        <v>219</v>
      </c>
      <c r="C4" s="11">
        <v>15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15</v>
      </c>
    </row>
    <row r="5" spans="1:10" s="9" customFormat="1" x14ac:dyDescent="0.25">
      <c r="A5" s="10" t="s">
        <v>218</v>
      </c>
      <c r="B5" s="10" t="s">
        <v>218</v>
      </c>
      <c r="C5" s="11">
        <v>5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>SUM(C5:I5)</f>
        <v>5</v>
      </c>
    </row>
    <row r="6" spans="1:10" x14ac:dyDescent="0.25">
      <c r="A6" s="9" t="s">
        <v>79</v>
      </c>
      <c r="B6" s="10" t="s">
        <v>220</v>
      </c>
      <c r="C6" s="11">
        <v>16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>SUM(C6:I6)</f>
        <v>16</v>
      </c>
    </row>
    <row r="7" spans="1:10" x14ac:dyDescent="0.25">
      <c r="A7" s="9" t="s">
        <v>354</v>
      </c>
      <c r="B7" s="13">
        <f>COUNTA(_xlfn.TEXTSPLIT(B4,";"))+COUNTA(_xlfn.TEXTSPLIT(B5,";"))+COUNTA(_xlfn.TEXTSPLIT(B6,";"))</f>
        <v>3</v>
      </c>
      <c r="C7" s="11">
        <f>SUBTOTAL(109,Table25678910[Diplomas])</f>
        <v>36</v>
      </c>
      <c r="D7" s="11">
        <f>SUBTOTAL(109,Table25678910[Alternate High School Diplomas])</f>
        <v>0</v>
      </c>
      <c r="E7" s="11">
        <f>SUBTOTAL(109,Table25678910[General Education Development Certificates])</f>
        <v>0</v>
      </c>
      <c r="F7" s="11">
        <f>SUBTOTAL(109,Table25678910[Certificates of Completion])</f>
        <v>0</v>
      </c>
      <c r="G7" s="11">
        <f>SUBTOTAL(109,Table25678910[Grade Ten Transcripts])</f>
        <v>0</v>
      </c>
      <c r="H7" s="11">
        <f>SUBTOTAL(109,Table25678910[Grade Eleven Transcripts])</f>
        <v>0</v>
      </c>
      <c r="I7" s="11">
        <f>SUBTOTAL(109,Table25678910[Grade Twelve Transcripts])</f>
        <v>0</v>
      </c>
      <c r="J7" s="11">
        <f>SUBTOTAL(109,Table25678910[Seal Total])</f>
        <v>36</v>
      </c>
    </row>
    <row r="10" spans="1:10" x14ac:dyDescent="0.25">
      <c r="G10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26E49-713B-459B-9EF8-61F9A4D083E4}">
  <dimension ref="A1:J12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221</v>
      </c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x14ac:dyDescent="0.25">
      <c r="A4" s="10" t="s">
        <v>222</v>
      </c>
      <c r="B4" s="10" t="s">
        <v>224</v>
      </c>
      <c r="C4" s="11">
        <v>10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10</v>
      </c>
    </row>
    <row r="5" spans="1:10" x14ac:dyDescent="0.25">
      <c r="A5" s="10" t="s">
        <v>223</v>
      </c>
      <c r="B5" s="10" t="s">
        <v>225</v>
      </c>
      <c r="C5" s="11">
        <v>1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>SUM(C5:I5)</f>
        <v>1</v>
      </c>
    </row>
    <row r="6" spans="1:10" x14ac:dyDescent="0.25">
      <c r="A6" s="9" t="s">
        <v>354</v>
      </c>
      <c r="B6" s="13">
        <f>COUNTA(_xlfn.TEXTSPLIT(B4,";"))+COUNTA(_xlfn.TEXTSPLIT(B5,";"))</f>
        <v>2</v>
      </c>
      <c r="C6" s="11">
        <f>SUBTOTAL(109,Table2567891032[Diplomas])</f>
        <v>11</v>
      </c>
      <c r="D6" s="11">
        <f>SUBTOTAL(109,Table2567891032[Alternate High School Diplomas])</f>
        <v>0</v>
      </c>
      <c r="E6" s="11">
        <f>SUBTOTAL(109,Table2567891032[General Education Development Certificates])</f>
        <v>0</v>
      </c>
      <c r="F6" s="11">
        <f>SUBTOTAL(109,Table2567891032[Certificates of Completion])</f>
        <v>0</v>
      </c>
      <c r="G6" s="11">
        <f>SUBTOTAL(109,Table2567891032[Grade Ten Transcripts])</f>
        <v>0</v>
      </c>
      <c r="H6" s="11">
        <f>SUBTOTAL(109,Table2567891032[Grade Eleven Transcripts])</f>
        <v>0</v>
      </c>
      <c r="I6" s="11">
        <f>SUBTOTAL(109,Table2567891032[Grade Twelve Transcripts])</f>
        <v>0</v>
      </c>
      <c r="J6" s="11">
        <f>SUBTOTAL(109,Table2567891032[Seal Total])</f>
        <v>11</v>
      </c>
    </row>
    <row r="9" spans="1:10" x14ac:dyDescent="0.25">
      <c r="G9" s="3"/>
    </row>
    <row r="12" spans="1:10" x14ac:dyDescent="0.25">
      <c r="B12" t="s">
        <v>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2008-AD93-4940-8B7A-B12F75A64806}">
  <dimension ref="A1:J10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15</v>
      </c>
    </row>
    <row r="2" spans="1:10" x14ac:dyDescent="0.25">
      <c r="A2" t="s">
        <v>362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81</v>
      </c>
      <c r="B4" s="10" t="s">
        <v>82</v>
      </c>
      <c r="C4" s="11">
        <v>5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5</v>
      </c>
    </row>
    <row r="5" spans="1:10" s="9" customFormat="1" ht="30" x14ac:dyDescent="0.25">
      <c r="A5" s="10" t="s">
        <v>83</v>
      </c>
      <c r="B5" s="10" t="s">
        <v>84</v>
      </c>
      <c r="C5" s="11">
        <v>239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>SUM(C5:I5)</f>
        <v>239</v>
      </c>
    </row>
    <row r="6" spans="1:10" ht="30" x14ac:dyDescent="0.25">
      <c r="A6" s="10" t="s">
        <v>226</v>
      </c>
      <c r="B6" s="10" t="s">
        <v>227</v>
      </c>
      <c r="C6" s="11">
        <v>50</v>
      </c>
      <c r="D6" s="11">
        <v>0</v>
      </c>
      <c r="E6" s="11">
        <v>0</v>
      </c>
      <c r="F6" s="11">
        <v>0</v>
      </c>
      <c r="G6" s="11">
        <v>0</v>
      </c>
      <c r="H6" s="11"/>
      <c r="I6" s="11"/>
      <c r="J6" s="12">
        <f>SUM(C6:I6)</f>
        <v>50</v>
      </c>
    </row>
    <row r="7" spans="1:10" x14ac:dyDescent="0.25">
      <c r="A7" s="9" t="s">
        <v>354</v>
      </c>
      <c r="B7" s="13">
        <f>COUNTA(_xlfn.TEXTSPLIT(B4,";"))+COUNTA(_xlfn.TEXTSPLIT(B5,";"))+COUNTA(_xlfn.TEXTSPLIT(B6,";"))</f>
        <v>8</v>
      </c>
      <c r="C7" s="11">
        <f>SUBTOTAL(109,Table2567891011[Diplomas])</f>
        <v>294</v>
      </c>
      <c r="D7" s="11">
        <f>SUBTOTAL(109,Table2567891011[Alternate High School Diplomas])</f>
        <v>0</v>
      </c>
      <c r="E7" s="11">
        <f>SUBTOTAL(109,Table2567891011[General Education Development Certificates])</f>
        <v>0</v>
      </c>
      <c r="F7" s="11">
        <f>SUBTOTAL(109,Table2567891011[Certificates of Completion])</f>
        <v>0</v>
      </c>
      <c r="G7" s="11">
        <f>SUBTOTAL(109,Table2567891011[Grade Ten Transcripts])</f>
        <v>0</v>
      </c>
      <c r="H7" s="11">
        <f>SUBTOTAL(109,Table2567891011[Grade Eleven Transcripts])</f>
        <v>0</v>
      </c>
      <c r="I7" s="11">
        <f>SUBTOTAL(109,Table2567891011[Grade Twelve Transcripts])</f>
        <v>0</v>
      </c>
      <c r="J7" s="11">
        <f>SUBTOTAL(109,Table2567891011[Seal Total])</f>
        <v>294</v>
      </c>
    </row>
    <row r="10" spans="1:10" x14ac:dyDescent="0.25">
      <c r="G10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93B0-5435-4C53-B0F1-0F1BAC55D6A9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228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229</v>
      </c>
      <c r="B4" s="10" t="s">
        <v>230</v>
      </c>
      <c r="C4" s="11">
        <v>1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1</v>
      </c>
    </row>
    <row r="5" spans="1:10" x14ac:dyDescent="0.25">
      <c r="A5" s="9" t="s">
        <v>354</v>
      </c>
      <c r="B5" s="13">
        <f>COUNTA(_xlfn.TEXTSPLIT(B4,";"))</f>
        <v>1</v>
      </c>
      <c r="C5" s="11">
        <f>SUBTOTAL(109,Table25678910118[Diplomas])</f>
        <v>1</v>
      </c>
      <c r="D5" s="11">
        <f>SUBTOTAL(109,Table25678910118[Alternate High School Diplomas])</f>
        <v>0</v>
      </c>
      <c r="E5" s="11">
        <f>SUBTOTAL(109,Table25678910118[General Education Development Certificates])</f>
        <v>0</v>
      </c>
      <c r="F5" s="11">
        <f>SUBTOTAL(109,Table25678910118[Certificates of Completion])</f>
        <v>0</v>
      </c>
      <c r="G5" s="11">
        <f>SUBTOTAL(109,Table25678910118[Grade Ten Transcripts])</f>
        <v>0</v>
      </c>
      <c r="H5" s="11">
        <f>SUBTOTAL(109,Table25678910118[Grade Eleven Transcripts])</f>
        <v>0</v>
      </c>
      <c r="I5" s="11">
        <f>SUBTOTAL(109,Table25678910118[Grade Twelve Transcripts])</f>
        <v>0</v>
      </c>
      <c r="J5" s="11">
        <f>SUBTOTAL(109,Table25678910118[Seal Total])</f>
        <v>1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ED72-935B-4DAE-8B50-F279EC7A0B13}">
  <dimension ref="A1:J5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16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231</v>
      </c>
      <c r="B4" s="10" t="s">
        <v>85</v>
      </c>
      <c r="C4" s="11">
        <v>14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SUM(C4:I4)</f>
        <v>14</v>
      </c>
    </row>
    <row r="5" spans="1:10" s="9" customFormat="1" x14ac:dyDescent="0.25">
      <c r="A5" s="9" t="s">
        <v>354</v>
      </c>
      <c r="B5" s="13">
        <f>SUBTOTAL(103,Table25678910111233[Participating Schools])</f>
        <v>1</v>
      </c>
      <c r="C5" s="11">
        <f>SUBTOTAL(109,Table25678910111233[Diplomas])</f>
        <v>14</v>
      </c>
      <c r="D5" s="11">
        <f>SUBTOTAL(109,Table25678910111233[Alternate High School Diplomas])</f>
        <v>0</v>
      </c>
      <c r="E5" s="11">
        <f>SUBTOTAL(109,Table25678910111233[General Education Development Certificates])</f>
        <v>0</v>
      </c>
      <c r="F5" s="11">
        <f>SUBTOTAL(109,Table25678910111233[Certificates of Completion])</f>
        <v>0</v>
      </c>
      <c r="G5" s="11">
        <f>SUBTOTAL(109,Table25678910111233[Grade Ten Transcripts])</f>
        <v>0</v>
      </c>
      <c r="H5" s="11">
        <f>SUBTOTAL(109,Table25678910111233[Grade Eleven Transcripts])</f>
        <v>0</v>
      </c>
      <c r="I5" s="11">
        <f>SUBTOTAL(109,Table25678910111233[Grade Twelve Transcripts])</f>
        <v>0</v>
      </c>
      <c r="J5" s="11">
        <f>SUBTOTAL(109,Table25678910111233[Seal Total])</f>
        <v>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B4F8-1FE2-44FF-9C13-7AF3F5512F77}">
  <dimension ref="A1:J1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style="2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17</v>
      </c>
    </row>
    <row r="2" spans="1:10" x14ac:dyDescent="0.25">
      <c r="A2" t="s">
        <v>363</v>
      </c>
    </row>
    <row r="3" spans="1:10" s="2" customFormat="1" ht="60" x14ac:dyDescent="0.25">
      <c r="A3" s="1" t="s">
        <v>34</v>
      </c>
      <c r="B3" s="1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90" x14ac:dyDescent="0.25">
      <c r="A4" s="10" t="s">
        <v>86</v>
      </c>
      <c r="B4" s="10" t="s">
        <v>232</v>
      </c>
      <c r="C4" s="11">
        <v>2661</v>
      </c>
      <c r="D4" s="11">
        <v>37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 t="shared" ref="J4:J15" si="0">SUM(C4:I4)</f>
        <v>2698</v>
      </c>
    </row>
    <row r="5" spans="1:10" s="9" customFormat="1" ht="45" x14ac:dyDescent="0.25">
      <c r="A5" s="10" t="s">
        <v>87</v>
      </c>
      <c r="B5" s="10" t="s">
        <v>233</v>
      </c>
      <c r="C5" s="11">
        <v>78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 t="shared" si="0"/>
        <v>78</v>
      </c>
    </row>
    <row r="6" spans="1:10" s="9" customFormat="1" ht="45" x14ac:dyDescent="0.25">
      <c r="A6" s="10" t="s">
        <v>88</v>
      </c>
      <c r="B6" s="10" t="s">
        <v>234</v>
      </c>
      <c r="C6" s="11">
        <v>513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513</v>
      </c>
    </row>
    <row r="7" spans="1:10" s="9" customFormat="1" ht="45" x14ac:dyDescent="0.25">
      <c r="A7" s="10" t="s">
        <v>89</v>
      </c>
      <c r="B7" s="10" t="s">
        <v>90</v>
      </c>
      <c r="C7" s="11">
        <v>415</v>
      </c>
      <c r="D7" s="11">
        <v>0</v>
      </c>
      <c r="E7" s="11">
        <v>0</v>
      </c>
      <c r="F7" s="11">
        <v>0</v>
      </c>
      <c r="G7" s="11">
        <v>0</v>
      </c>
      <c r="H7" s="11">
        <v>189</v>
      </c>
      <c r="I7" s="11">
        <v>0</v>
      </c>
      <c r="J7" s="12">
        <f t="shared" si="0"/>
        <v>604</v>
      </c>
    </row>
    <row r="8" spans="1:10" s="9" customFormat="1" ht="45" x14ac:dyDescent="0.25">
      <c r="A8" s="10" t="s">
        <v>91</v>
      </c>
      <c r="B8" s="10" t="s">
        <v>235</v>
      </c>
      <c r="C8" s="11">
        <v>205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f t="shared" si="0"/>
        <v>205</v>
      </c>
    </row>
    <row r="9" spans="1:10" s="9" customFormat="1" x14ac:dyDescent="0.25">
      <c r="A9" s="10" t="s">
        <v>241</v>
      </c>
      <c r="B9" s="10" t="s">
        <v>236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37</v>
      </c>
    </row>
    <row r="10" spans="1:10" s="9" customFormat="1" ht="45.6" customHeight="1" x14ac:dyDescent="0.25">
      <c r="A10" s="10" t="s">
        <v>92</v>
      </c>
      <c r="B10" s="10" t="s">
        <v>93</v>
      </c>
      <c r="C10" s="11">
        <v>641</v>
      </c>
      <c r="D10" s="11">
        <v>0</v>
      </c>
      <c r="E10" s="11">
        <v>0</v>
      </c>
      <c r="F10" s="11"/>
      <c r="G10" s="11">
        <v>0</v>
      </c>
      <c r="H10" s="11">
        <v>0</v>
      </c>
      <c r="I10" s="11">
        <v>0</v>
      </c>
      <c r="J10" s="12">
        <f t="shared" si="0"/>
        <v>641</v>
      </c>
    </row>
    <row r="11" spans="1:10" s="9" customFormat="1" ht="30" x14ac:dyDescent="0.25">
      <c r="A11" s="10" t="s">
        <v>94</v>
      </c>
      <c r="B11" s="10" t="s">
        <v>95</v>
      </c>
      <c r="C11" s="11">
        <v>14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f t="shared" si="0"/>
        <v>14</v>
      </c>
    </row>
    <row r="12" spans="1:10" s="9" customFormat="1" ht="31.2" customHeight="1" x14ac:dyDescent="0.25">
      <c r="A12" s="10" t="s">
        <v>242</v>
      </c>
      <c r="B12" s="10" t="s">
        <v>237</v>
      </c>
      <c r="C12" s="11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>
        <f t="shared" si="0"/>
        <v>57</v>
      </c>
    </row>
    <row r="13" spans="1:10" s="9" customFormat="1" ht="30" x14ac:dyDescent="0.25">
      <c r="A13" s="10" t="s">
        <v>243</v>
      </c>
      <c r="B13" s="10" t="s">
        <v>238</v>
      </c>
      <c r="C13" s="11">
        <v>7</v>
      </c>
      <c r="D13" s="11">
        <v>6</v>
      </c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2">
        <f t="shared" si="0"/>
        <v>14</v>
      </c>
    </row>
    <row r="14" spans="1:10" ht="45" x14ac:dyDescent="0.25">
      <c r="A14" s="10" t="s">
        <v>244</v>
      </c>
      <c r="B14" s="10" t="s">
        <v>239</v>
      </c>
      <c r="C14" s="11">
        <v>36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2">
        <f t="shared" si="0"/>
        <v>36</v>
      </c>
    </row>
    <row r="15" spans="1:10" ht="30" x14ac:dyDescent="0.25">
      <c r="A15" s="10" t="s">
        <v>96</v>
      </c>
      <c r="B15" s="10" t="s">
        <v>240</v>
      </c>
      <c r="C15" s="11">
        <v>127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2">
        <f t="shared" si="0"/>
        <v>127</v>
      </c>
    </row>
    <row r="16" spans="1:10" ht="15.6" x14ac:dyDescent="0.25">
      <c r="A16" s="9" t="s">
        <v>354</v>
      </c>
      <c r="B16" s="13">
        <f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</f>
        <v>65</v>
      </c>
      <c r="C16" s="11">
        <f>SUBTOTAL(109,Table25678914[Diplomas])</f>
        <v>4791</v>
      </c>
      <c r="D16" s="11">
        <f>SUBTOTAL(109,Table25678914[Alternate High School Diplomas])</f>
        <v>43</v>
      </c>
      <c r="E16" s="11">
        <f>SUBTOTAL(109,Table25678914[General Education Development Certificates])</f>
        <v>0</v>
      </c>
      <c r="F16" s="11">
        <f>SUBTOTAL(109,Table25678914[Certificates of Completion])</f>
        <v>0</v>
      </c>
      <c r="G16" s="11">
        <f>SUBTOTAL(109,Table25678914[Grade Ten Transcripts])</f>
        <v>0</v>
      </c>
      <c r="H16" s="11">
        <f>SUBTOTAL(109,Table25678914[Grade Eleven Transcripts])</f>
        <v>190</v>
      </c>
      <c r="I16" s="11">
        <f>SUBTOTAL(109,Table25678914[Grade Twelve Transcripts])</f>
        <v>0</v>
      </c>
      <c r="J16" s="11">
        <f>SUBTOTAL(109,Table25678914[Seal Total])</f>
        <v>5024</v>
      </c>
    </row>
    <row r="19" spans="7:7" x14ac:dyDescent="0.25">
      <c r="G1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DA04A-1BC3-4790-AA6A-9873C00C0DB2}">
  <dimension ref="A1:J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style="2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245</v>
      </c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1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246</v>
      </c>
      <c r="B4" s="10" t="s">
        <v>248</v>
      </c>
      <c r="C4" s="11">
        <v>6</v>
      </c>
      <c r="D4" s="11">
        <v>0</v>
      </c>
      <c r="E4" s="11">
        <v>0</v>
      </c>
      <c r="F4" s="11">
        <v>0</v>
      </c>
      <c r="G4" s="11">
        <v>0</v>
      </c>
      <c r="H4" s="11">
        <v>1</v>
      </c>
      <c r="I4" s="11">
        <v>0</v>
      </c>
      <c r="J4" s="12">
        <f>SUM(C4:I4)</f>
        <v>7</v>
      </c>
    </row>
    <row r="5" spans="1:10" s="9" customFormat="1" x14ac:dyDescent="0.25">
      <c r="A5" s="10" t="s">
        <v>247</v>
      </c>
      <c r="B5" s="10" t="s">
        <v>249</v>
      </c>
      <c r="C5" s="11">
        <v>6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>SUM(C5:I5)</f>
        <v>6</v>
      </c>
    </row>
    <row r="6" spans="1:10" s="9" customFormat="1" x14ac:dyDescent="0.25">
      <c r="A6" s="9" t="s">
        <v>354</v>
      </c>
      <c r="B6" s="13">
        <f>COUNTA(_xlfn.TEXTSPLIT(B4,";"))+COUNTA(_xlfn.TEXTSPLIT(B5,";"))</f>
        <v>4</v>
      </c>
      <c r="C6" s="11">
        <f>SUBTOTAL(109,Table2567891412[Diplomas])</f>
        <v>12</v>
      </c>
      <c r="D6" s="11">
        <f>SUBTOTAL(109,Table2567891412[Alternate High School Diplomas])</f>
        <v>0</v>
      </c>
      <c r="E6" s="11">
        <f>SUBTOTAL(109,Table2567891412[General Education Development Certificates])</f>
        <v>0</v>
      </c>
      <c r="F6" s="11">
        <f>SUBTOTAL(109,Table2567891412[Certificates of Completion])</f>
        <v>0</v>
      </c>
      <c r="G6" s="11">
        <f>SUBTOTAL(109,Table2567891412[Grade Ten Transcripts])</f>
        <v>0</v>
      </c>
      <c r="H6" s="11">
        <f>SUBTOTAL(109,Table2567891412[Grade Eleven Transcripts])</f>
        <v>1</v>
      </c>
      <c r="I6" s="11">
        <f>SUBTOTAL(109,Table2567891412[Grade Twelve Transcripts])</f>
        <v>0</v>
      </c>
      <c r="J6" s="11">
        <f>SUBTOTAL(109,Table2567891412[Seal Total])</f>
        <v>13</v>
      </c>
    </row>
    <row r="9" spans="1:10" x14ac:dyDescent="0.25">
      <c r="G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38C2-EA54-46DA-ACA4-F9E95751B7CC}">
  <dimension ref="A1:J1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18</v>
      </c>
    </row>
    <row r="2" spans="1:10" x14ac:dyDescent="0.25">
      <c r="A2" t="s">
        <v>364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97</v>
      </c>
      <c r="B4" s="10" t="s">
        <v>98</v>
      </c>
      <c r="C4" s="11">
        <v>24</v>
      </c>
      <c r="D4" s="11">
        <v>0</v>
      </c>
      <c r="E4" s="11">
        <v>0</v>
      </c>
      <c r="F4" s="11">
        <v>4</v>
      </c>
      <c r="G4" s="11">
        <v>0</v>
      </c>
      <c r="H4" s="11">
        <v>0</v>
      </c>
      <c r="I4" s="11">
        <v>0</v>
      </c>
      <c r="J4" s="12">
        <f t="shared" ref="J4:J14" si="0">SUM(C4:I4)</f>
        <v>28</v>
      </c>
    </row>
    <row r="5" spans="1:10" s="9" customFormat="1" x14ac:dyDescent="0.25">
      <c r="A5" s="9" t="s">
        <v>250</v>
      </c>
      <c r="B5" s="10" t="s">
        <v>252</v>
      </c>
      <c r="C5" s="11">
        <v>355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 t="shared" si="0"/>
        <v>355</v>
      </c>
    </row>
    <row r="6" spans="1:10" s="9" customFormat="1" ht="30" x14ac:dyDescent="0.25">
      <c r="A6" s="9" t="s">
        <v>99</v>
      </c>
      <c r="B6" s="10" t="s">
        <v>253</v>
      </c>
      <c r="C6" s="11">
        <v>90</v>
      </c>
      <c r="D6" s="11">
        <v>10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100</v>
      </c>
    </row>
    <row r="7" spans="1:10" s="9" customFormat="1" ht="45" x14ac:dyDescent="0.25">
      <c r="A7" s="9" t="s">
        <v>100</v>
      </c>
      <c r="B7" s="10" t="s">
        <v>254</v>
      </c>
      <c r="C7" s="11">
        <v>135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f t="shared" si="0"/>
        <v>135</v>
      </c>
    </row>
    <row r="8" spans="1:10" s="9" customFormat="1" x14ac:dyDescent="0.25">
      <c r="A8" s="9" t="s">
        <v>101</v>
      </c>
      <c r="B8" s="10" t="s">
        <v>102</v>
      </c>
      <c r="C8" s="11">
        <v>152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f t="shared" si="0"/>
        <v>152</v>
      </c>
    </row>
    <row r="9" spans="1:10" s="9" customFormat="1" x14ac:dyDescent="0.25">
      <c r="A9" s="9" t="s">
        <v>103</v>
      </c>
      <c r="B9" s="10" t="s">
        <v>255</v>
      </c>
      <c r="C9" s="11">
        <v>301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301</v>
      </c>
    </row>
    <row r="10" spans="1:10" s="9" customFormat="1" ht="45" x14ac:dyDescent="0.25">
      <c r="A10" s="9" t="s">
        <v>104</v>
      </c>
      <c r="B10" s="10" t="s">
        <v>256</v>
      </c>
      <c r="C10" s="11">
        <v>448</v>
      </c>
      <c r="D10" s="11">
        <v>19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2">
        <f t="shared" si="0"/>
        <v>467</v>
      </c>
    </row>
    <row r="11" spans="1:10" s="9" customFormat="1" x14ac:dyDescent="0.25">
      <c r="A11" s="9" t="s">
        <v>251</v>
      </c>
      <c r="B11" s="10" t="s">
        <v>257</v>
      </c>
      <c r="C11" s="11">
        <v>5</v>
      </c>
      <c r="D11" s="11">
        <v>0</v>
      </c>
      <c r="E11" s="11"/>
      <c r="F11" s="11">
        <v>0</v>
      </c>
      <c r="G11" s="11">
        <v>0</v>
      </c>
      <c r="H11" s="11"/>
      <c r="I11" s="11">
        <v>0</v>
      </c>
      <c r="J11" s="12">
        <f t="shared" si="0"/>
        <v>5</v>
      </c>
    </row>
    <row r="12" spans="1:10" s="9" customFormat="1" ht="45" x14ac:dyDescent="0.25">
      <c r="A12" s="9" t="s">
        <v>105</v>
      </c>
      <c r="B12" s="10" t="s">
        <v>258</v>
      </c>
      <c r="C12" s="11">
        <v>569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>
        <f t="shared" si="0"/>
        <v>569</v>
      </c>
    </row>
    <row r="13" spans="1:10" ht="30" x14ac:dyDescent="0.25">
      <c r="A13" s="9" t="s">
        <v>106</v>
      </c>
      <c r="B13" s="10" t="s">
        <v>107</v>
      </c>
      <c r="C13" s="11">
        <v>92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2">
        <f t="shared" si="0"/>
        <v>92</v>
      </c>
    </row>
    <row r="14" spans="1:10" ht="30" x14ac:dyDescent="0.25">
      <c r="A14" s="9" t="s">
        <v>108</v>
      </c>
      <c r="B14" s="10" t="s">
        <v>109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1018</v>
      </c>
      <c r="J14" s="12">
        <f t="shared" si="0"/>
        <v>1018</v>
      </c>
    </row>
    <row r="15" spans="1:10" ht="15.6" x14ac:dyDescent="0.25">
      <c r="A15" s="9" t="s">
        <v>354</v>
      </c>
      <c r="B15" s="13">
        <f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</f>
        <v>40</v>
      </c>
      <c r="C15" s="11">
        <f>SUBTOTAL(109,Table25678915[Diplomas])</f>
        <v>2171</v>
      </c>
      <c r="D15" s="11">
        <f>SUBTOTAL(109,Table25678915[Alternate High School Diplomas])</f>
        <v>29</v>
      </c>
      <c r="E15" s="11">
        <f>SUBTOTAL(109,Table25678915[General Education Development Certificates])</f>
        <v>0</v>
      </c>
      <c r="F15" s="11">
        <f>SUBTOTAL(109,Table25678915[Certificates of Completion])</f>
        <v>4</v>
      </c>
      <c r="G15" s="11">
        <f>SUBTOTAL(109,Table25678915[Grade Ten Transcripts])</f>
        <v>0</v>
      </c>
      <c r="H15" s="11">
        <f>SUBTOTAL(109,Table25678915[Grade Eleven Transcripts])</f>
        <v>0</v>
      </c>
      <c r="I15" s="11">
        <f>SUBTOTAL(109,Table25678915[Grade Twelve Transcripts])</f>
        <v>1018</v>
      </c>
      <c r="J15" s="11">
        <f>SUBTOTAL(109,Table25678915[Seal Total])</f>
        <v>3222</v>
      </c>
    </row>
    <row r="18" spans="7:7" x14ac:dyDescent="0.25">
      <c r="G18" s="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0F7D-4CE8-4CD1-A4B3-666FC1DF0F8A}">
  <dimension ref="A1:J15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20" t="s">
        <v>19</v>
      </c>
    </row>
    <row r="2" spans="1:10" x14ac:dyDescent="0.25">
      <c r="A2" t="s">
        <v>365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60" x14ac:dyDescent="0.25">
      <c r="A4" s="10" t="s">
        <v>110</v>
      </c>
      <c r="B4" s="10" t="s">
        <v>263</v>
      </c>
      <c r="C4" s="11">
        <v>35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 t="shared" ref="J4:J11" si="0">SUM(C4:I4)</f>
        <v>35</v>
      </c>
    </row>
    <row r="5" spans="1:10" s="9" customFormat="1" x14ac:dyDescent="0.25">
      <c r="A5" s="9" t="s">
        <v>259</v>
      </c>
      <c r="B5" s="10" t="s">
        <v>264</v>
      </c>
      <c r="C5" s="11">
        <v>317</v>
      </c>
      <c r="D5" s="11">
        <v>0</v>
      </c>
      <c r="E5" s="11">
        <v>0</v>
      </c>
      <c r="F5" s="11">
        <v>0</v>
      </c>
      <c r="G5" s="11">
        <v>0</v>
      </c>
      <c r="H5" s="11">
        <v>79</v>
      </c>
      <c r="I5" s="11">
        <v>0</v>
      </c>
      <c r="J5" s="12">
        <f t="shared" si="0"/>
        <v>396</v>
      </c>
    </row>
    <row r="6" spans="1:10" s="9" customFormat="1" x14ac:dyDescent="0.25">
      <c r="A6" s="9" t="s">
        <v>260</v>
      </c>
      <c r="B6" s="10" t="s">
        <v>260</v>
      </c>
      <c r="C6" s="11">
        <v>28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28</v>
      </c>
    </row>
    <row r="7" spans="1:10" s="9" customFormat="1" ht="30" x14ac:dyDescent="0.25">
      <c r="A7" s="9" t="s">
        <v>261</v>
      </c>
      <c r="B7" s="10" t="s">
        <v>265</v>
      </c>
      <c r="C7" s="11">
        <v>19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f t="shared" si="0"/>
        <v>19</v>
      </c>
    </row>
    <row r="8" spans="1:10" s="9" customFormat="1" ht="31.2" customHeight="1" x14ac:dyDescent="0.25">
      <c r="A8" s="9" t="s">
        <v>111</v>
      </c>
      <c r="B8" s="10" t="s">
        <v>266</v>
      </c>
      <c r="C8" s="11">
        <v>552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f t="shared" si="0"/>
        <v>552</v>
      </c>
    </row>
    <row r="9" spans="1:10" s="9" customFormat="1" x14ac:dyDescent="0.25">
      <c r="A9" s="9" t="s">
        <v>262</v>
      </c>
      <c r="B9" s="10" t="s">
        <v>262</v>
      </c>
      <c r="C9" s="11">
        <v>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2</v>
      </c>
    </row>
    <row r="10" spans="1:10" ht="90" x14ac:dyDescent="0.25">
      <c r="A10" s="9" t="s">
        <v>112</v>
      </c>
      <c r="B10" s="10" t="s">
        <v>267</v>
      </c>
      <c r="C10" s="11">
        <v>138</v>
      </c>
      <c r="D10" s="11">
        <v>0</v>
      </c>
      <c r="E10" s="11">
        <v>0</v>
      </c>
      <c r="F10" s="11">
        <v>0</v>
      </c>
      <c r="G10" s="11">
        <v>0</v>
      </c>
      <c r="H10" s="11">
        <v>40</v>
      </c>
      <c r="I10" s="11">
        <v>0</v>
      </c>
      <c r="J10" s="12">
        <f t="shared" si="0"/>
        <v>178</v>
      </c>
    </row>
    <row r="11" spans="1:10" ht="60" x14ac:dyDescent="0.25">
      <c r="A11" s="9" t="s">
        <v>113</v>
      </c>
      <c r="B11" s="10" t="s">
        <v>268</v>
      </c>
      <c r="C11" s="11">
        <v>207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f t="shared" si="0"/>
        <v>207</v>
      </c>
    </row>
    <row r="12" spans="1:10" ht="15.6" x14ac:dyDescent="0.25">
      <c r="A12" s="9" t="s">
        <v>354</v>
      </c>
      <c r="B12" s="13">
        <f>COUNTA(_xlfn.TEXTSPLIT(B4,";"))+COUNTA(_xlfn.TEXTSPLIT(B5,";"))+COUNTA(_xlfn.TEXTSPLIT(B8,";"))+COUNTA(_xlfn.TEXTSPLIT(B10,";"))+COUNTA(_xlfn.TEXTSPLIT(B11,";"))+COUNTA(_xlfn.TEXTSPLIT(#REF!,";"))</f>
        <v>38</v>
      </c>
      <c r="C12" s="11">
        <f>SUBTOTAL(109,Table2567891517[Diplomas])</f>
        <v>1298</v>
      </c>
      <c r="D12" s="11">
        <f>SUBTOTAL(109,Table2567891517[Alternate High School Diplomas])</f>
        <v>0</v>
      </c>
      <c r="E12" s="11">
        <f>SUBTOTAL(109,Table2567891517[General Education Development Certificates])</f>
        <v>0</v>
      </c>
      <c r="F12" s="11">
        <f>SUBTOTAL(109,Table2567891517[Certificates of Completion])</f>
        <v>0</v>
      </c>
      <c r="G12" s="11">
        <f>SUBTOTAL(109,Table2567891517[Grade Ten Transcripts])</f>
        <v>0</v>
      </c>
      <c r="H12" s="11">
        <f>SUBTOTAL(109,Table2567891517[Grade Eleven Transcripts])</f>
        <v>119</v>
      </c>
      <c r="I12" s="11">
        <f>SUBTOTAL(109,Table2567891517[Grade Twelve Transcripts])</f>
        <v>0</v>
      </c>
      <c r="J12" s="11">
        <f>SUBTOTAL(109,Table2567891517[Seal Total])</f>
        <v>1417</v>
      </c>
    </row>
    <row r="15" spans="1:10" x14ac:dyDescent="0.25">
      <c r="G15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CCB6-53AA-4C67-A294-C499EFA2CBA9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20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114</v>
      </c>
      <c r="B4" s="10" t="s">
        <v>115</v>
      </c>
      <c r="C4" s="11">
        <v>133</v>
      </c>
      <c r="D4" s="11">
        <v>0</v>
      </c>
      <c r="E4" s="11">
        <v>0</v>
      </c>
      <c r="F4" s="11">
        <v>0</v>
      </c>
      <c r="G4" s="11">
        <v>0</v>
      </c>
      <c r="H4" s="11">
        <v>65</v>
      </c>
      <c r="I4" s="11">
        <v>0</v>
      </c>
      <c r="J4" s="12">
        <f>SUM(C4:I4)</f>
        <v>198</v>
      </c>
    </row>
    <row r="5" spans="1:10" s="9" customFormat="1" x14ac:dyDescent="0.25">
      <c r="A5" s="9" t="s">
        <v>354</v>
      </c>
      <c r="B5" s="13">
        <f>SUBTOTAL(103,Table256789151713[Participating Schools])</f>
        <v>1</v>
      </c>
      <c r="C5" s="11">
        <f>SUBTOTAL(109,Table256789151713[Diplomas])</f>
        <v>133</v>
      </c>
      <c r="D5" s="11">
        <f>SUBTOTAL(109,Table256789151713[Alternate High School Diplomas])</f>
        <v>0</v>
      </c>
      <c r="E5" s="11">
        <f>SUBTOTAL(109,Table256789151713[General Education Development Certificates])</f>
        <v>0</v>
      </c>
      <c r="F5" s="11">
        <f>SUBTOTAL(109,Table256789151713[Certificates of Completion])</f>
        <v>0</v>
      </c>
      <c r="G5" s="11">
        <f>SUBTOTAL(109,Table256789151713[Grade Ten Transcripts])</f>
        <v>0</v>
      </c>
      <c r="H5" s="11">
        <f>SUBTOTAL(109,Table256789151713[Grade Eleven Transcripts])</f>
        <v>65</v>
      </c>
      <c r="I5" s="11">
        <f>SUBTOTAL(109,Table256789151713[Grade Twelve Transcripts])</f>
        <v>0</v>
      </c>
      <c r="J5" s="11">
        <f>SUBTOTAL(109,Table256789151713[Seal Total])</f>
        <v>198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/>
  </sheetViews>
  <sheetFormatPr defaultColWidth="9.08984375" defaultRowHeight="15" x14ac:dyDescent="0.25"/>
  <cols>
    <col min="1" max="1" width="25.7265625" style="3" customWidth="1"/>
    <col min="2" max="2" width="40.7265625" style="3" customWidth="1"/>
    <col min="3" max="9" width="14.7265625" style="3" customWidth="1"/>
    <col min="10" max="10" width="10.7265625" style="3" customWidth="1"/>
    <col min="11" max="16384" width="9.08984375" style="3"/>
  </cols>
  <sheetData>
    <row r="1" spans="1:10" ht="17.399999999999999" x14ac:dyDescent="0.25">
      <c r="A1" s="21" t="s">
        <v>7</v>
      </c>
    </row>
    <row r="2" spans="1:10" x14ac:dyDescent="0.25">
      <c r="A2" t="s">
        <v>355</v>
      </c>
    </row>
    <row r="3" spans="1:10" s="1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36</v>
      </c>
      <c r="B4" s="10" t="s">
        <v>161</v>
      </c>
      <c r="C4" s="11">
        <v>11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 t="shared" ref="J4:J10" si="0">SUM(C4:I4)</f>
        <v>11</v>
      </c>
    </row>
    <row r="5" spans="1:10" s="9" customFormat="1" ht="45" x14ac:dyDescent="0.25">
      <c r="A5" s="9" t="s">
        <v>37</v>
      </c>
      <c r="B5" s="10" t="s">
        <v>162</v>
      </c>
      <c r="C5" s="11">
        <v>266</v>
      </c>
      <c r="D5" s="11">
        <v>1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 t="shared" si="0"/>
        <v>267</v>
      </c>
    </row>
    <row r="6" spans="1:10" s="9" customFormat="1" ht="30" x14ac:dyDescent="0.25">
      <c r="A6" s="9" t="s">
        <v>164</v>
      </c>
      <c r="B6" s="10" t="s">
        <v>163</v>
      </c>
      <c r="C6" s="11">
        <v>286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286</v>
      </c>
    </row>
    <row r="7" spans="1:10" s="9" customFormat="1" ht="75" x14ac:dyDescent="0.25">
      <c r="A7" s="9" t="s">
        <v>38</v>
      </c>
      <c r="B7" s="10" t="s">
        <v>165</v>
      </c>
      <c r="C7" s="11">
        <v>77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f t="shared" si="0"/>
        <v>77</v>
      </c>
    </row>
    <row r="8" spans="1:10" s="9" customFormat="1" x14ac:dyDescent="0.25">
      <c r="A8" s="9" t="s">
        <v>166</v>
      </c>
      <c r="B8" s="10" t="s">
        <v>167</v>
      </c>
      <c r="C8" s="11">
        <v>12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 t="shared" si="0"/>
        <v>12</v>
      </c>
    </row>
    <row r="9" spans="1:10" s="9" customFormat="1" ht="30" x14ac:dyDescent="0.25">
      <c r="A9" s="9" t="s">
        <v>39</v>
      </c>
      <c r="B9" s="10" t="s">
        <v>168</v>
      </c>
      <c r="C9" s="11">
        <v>17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f t="shared" si="0"/>
        <v>17</v>
      </c>
    </row>
    <row r="10" spans="1:10" x14ac:dyDescent="0.25">
      <c r="A10" s="9" t="s">
        <v>40</v>
      </c>
      <c r="B10" s="10" t="s">
        <v>169</v>
      </c>
      <c r="C10" s="11">
        <v>135</v>
      </c>
      <c r="D10" s="11">
        <v>3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f t="shared" si="0"/>
        <v>138</v>
      </c>
    </row>
    <row r="11" spans="1:10" x14ac:dyDescent="0.25">
      <c r="A11" s="9" t="s">
        <v>354</v>
      </c>
      <c r="B11" s="13">
        <f>COUNTA(_xlfn.TEXTSPLIT(B4,";"))+COUNTA(_xlfn.TEXTSPLIT(B5,";"))+COUNTA(_xlfn.TEXTSPLIT(B6,";"))+COUNTA(_xlfn.TEXTSPLIT(B7,";"))+COUNTA(_xlfn.TEXTSPLIT(B8,";"))+COUNTA(_xlfn.TEXTSPLIT(B9,";"))+COUNTA(_xlfn.TEXTSPLIT(B10,";"))</f>
        <v>27</v>
      </c>
      <c r="C11" s="11">
        <f>SUBTOTAL(109,Table2[Diplomas])</f>
        <v>804</v>
      </c>
      <c r="D11" s="11">
        <f>SUBTOTAL(109,Table2[Alternate High School Diplomas])</f>
        <v>4</v>
      </c>
      <c r="E11" s="11">
        <f>SUBTOTAL(109,Table2[General Education Development Certificates])</f>
        <v>0</v>
      </c>
      <c r="F11" s="11">
        <f>SUBTOTAL(109,Table2[Certificates of Completion])</f>
        <v>0</v>
      </c>
      <c r="G11" s="11">
        <f>SUBTOTAL(109,Table2[Grade Ten Transcripts])</f>
        <v>0</v>
      </c>
      <c r="H11" s="11">
        <f>SUBTOTAL(109,Table2[Grade Eleven Transcripts])</f>
        <v>0</v>
      </c>
      <c r="I11" s="11">
        <f>SUBTOTAL(109,Table2[Grade Twelve Transcripts])</f>
        <v>0</v>
      </c>
      <c r="J11" s="11">
        <f>SUBTOTAL(109,Table2[Seal Total])</f>
        <v>808</v>
      </c>
    </row>
  </sheetData>
  <sortState xmlns:xlrd2="http://schemas.microsoft.com/office/spreadsheetml/2017/richdata2" ref="A3:P11">
    <sortCondition ref="A3:A11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52B2-DCF2-43B8-8E93-E45D5568FA12}">
  <dimension ref="A1:J14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21</v>
      </c>
    </row>
    <row r="2" spans="1:10" x14ac:dyDescent="0.25">
      <c r="A2" t="s">
        <v>355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116</v>
      </c>
      <c r="B4" s="10" t="s">
        <v>272</v>
      </c>
      <c r="C4" s="11">
        <v>2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 t="shared" ref="J4:J10" si="0">SUM(C4:I4)</f>
        <v>2</v>
      </c>
    </row>
    <row r="5" spans="1:10" s="9" customFormat="1" ht="45" x14ac:dyDescent="0.25">
      <c r="A5" s="9" t="s">
        <v>117</v>
      </c>
      <c r="B5" s="10" t="s">
        <v>273</v>
      </c>
      <c r="C5" s="11">
        <v>69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 t="shared" si="0"/>
        <v>69</v>
      </c>
    </row>
    <row r="6" spans="1:10" s="9" customFormat="1" x14ac:dyDescent="0.25">
      <c r="A6" s="9" t="s">
        <v>269</v>
      </c>
      <c r="B6" s="10" t="s">
        <v>274</v>
      </c>
      <c r="C6" s="11">
        <v>5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5</v>
      </c>
    </row>
    <row r="7" spans="1:10" x14ac:dyDescent="0.25">
      <c r="A7" s="9" t="s">
        <v>270</v>
      </c>
      <c r="B7" s="10" t="s">
        <v>270</v>
      </c>
      <c r="C7" s="11">
        <v>2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f t="shared" si="0"/>
        <v>2</v>
      </c>
    </row>
    <row r="8" spans="1:10" x14ac:dyDescent="0.25">
      <c r="A8" s="9" t="s">
        <v>118</v>
      </c>
      <c r="B8" s="10" t="s">
        <v>275</v>
      </c>
      <c r="C8" s="11">
        <v>15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f t="shared" si="0"/>
        <v>15</v>
      </c>
    </row>
    <row r="9" spans="1:10" ht="30" x14ac:dyDescent="0.25">
      <c r="A9" s="9" t="s">
        <v>119</v>
      </c>
      <c r="B9" s="10" t="s">
        <v>276</v>
      </c>
      <c r="C9" s="11">
        <v>209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1">
        <v>15</v>
      </c>
      <c r="J9" s="12">
        <f t="shared" si="0"/>
        <v>225</v>
      </c>
    </row>
    <row r="10" spans="1:10" x14ac:dyDescent="0.25">
      <c r="A10" s="9" t="s">
        <v>271</v>
      </c>
      <c r="B10" s="10" t="s">
        <v>277</v>
      </c>
      <c r="C10" s="11">
        <v>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2">
        <f t="shared" si="0"/>
        <v>7</v>
      </c>
    </row>
    <row r="11" spans="1:10" x14ac:dyDescent="0.25">
      <c r="A11" s="9" t="s">
        <v>354</v>
      </c>
      <c r="B11" s="13">
        <f>COUNTA(_xlfn.TEXTSPLIT(B4,";"))+COUNTA(_xlfn.TEXTSPLIT(B5,";"))+COUNTA(_xlfn.TEXTSPLIT(B6,";"))+COUNTA(_xlfn.TEXTSPLIT(B7,";"))+COUNTA(_xlfn.TEXTSPLIT(B8,";"))+COUNTA(_xlfn.TEXTSPLIT(B9,";"))+COUNTA(_xlfn.TEXTSPLIT(B10,";"))</f>
        <v>20</v>
      </c>
      <c r="C11" s="11">
        <f>SUBTOTAL(109,Table256789151718[Diplomas])</f>
        <v>309</v>
      </c>
      <c r="D11" s="11">
        <f>SUBTOTAL(109,Table256789151718[Alternate High School Diplomas])</f>
        <v>1</v>
      </c>
      <c r="E11" s="11">
        <f>SUBTOTAL(109,Table256789151718[General Education Development Certificates])</f>
        <v>0</v>
      </c>
      <c r="F11" s="11">
        <f>SUBTOTAL(109,Table256789151718[Certificates of Completion])</f>
        <v>0</v>
      </c>
      <c r="G11" s="11">
        <f>SUBTOTAL(109,Table256789151718[Grade Ten Transcripts])</f>
        <v>0</v>
      </c>
      <c r="H11" s="11">
        <f>SUBTOTAL(109,Table256789151718[Grade Eleven Transcripts])</f>
        <v>0</v>
      </c>
      <c r="I11" s="11">
        <f>SUBTOTAL(109,Table256789151718[Grade Twelve Transcripts])</f>
        <v>15</v>
      </c>
      <c r="J11" s="11">
        <f>SUBTOTAL(109,Table256789151718[Seal Total])</f>
        <v>325</v>
      </c>
    </row>
    <row r="14" spans="1:10" x14ac:dyDescent="0.25">
      <c r="G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FE33-2040-4F79-9F8E-0EEAB4F65CFE}">
  <dimension ref="A1:J23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20" t="s">
        <v>22</v>
      </c>
    </row>
    <row r="2" spans="1:10" x14ac:dyDescent="0.25">
      <c r="A2" t="s">
        <v>366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120</v>
      </c>
      <c r="B4" s="10" t="s">
        <v>121</v>
      </c>
      <c r="C4" s="11">
        <v>11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 t="shared" ref="J4:J19" si="0">SUM(C4:I4)</f>
        <v>11</v>
      </c>
    </row>
    <row r="5" spans="1:10" s="9" customFormat="1" ht="30" x14ac:dyDescent="0.25">
      <c r="A5" s="10" t="s">
        <v>278</v>
      </c>
      <c r="B5" s="10" t="s">
        <v>287</v>
      </c>
      <c r="C5" s="11">
        <v>86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 t="shared" si="0"/>
        <v>86</v>
      </c>
    </row>
    <row r="6" spans="1:10" s="9" customFormat="1" x14ac:dyDescent="0.25">
      <c r="A6" s="10" t="s">
        <v>122</v>
      </c>
      <c r="B6" s="10" t="s">
        <v>123</v>
      </c>
      <c r="C6" s="11">
        <v>11</v>
      </c>
      <c r="D6" s="11">
        <v>0</v>
      </c>
      <c r="E6" s="12">
        <v>0</v>
      </c>
      <c r="F6" s="11">
        <v>0</v>
      </c>
      <c r="G6" s="11">
        <v>0</v>
      </c>
      <c r="H6" s="11">
        <v>0</v>
      </c>
      <c r="I6" s="12">
        <v>0</v>
      </c>
      <c r="J6" s="12">
        <f t="shared" si="0"/>
        <v>11</v>
      </c>
    </row>
    <row r="7" spans="1:10" s="9" customFormat="1" x14ac:dyDescent="0.25">
      <c r="A7" s="10" t="s">
        <v>279</v>
      </c>
      <c r="B7" s="10" t="s">
        <v>279</v>
      </c>
      <c r="C7" s="11">
        <v>33</v>
      </c>
      <c r="D7" s="11">
        <v>0</v>
      </c>
      <c r="E7" s="12">
        <v>0</v>
      </c>
      <c r="F7" s="11">
        <v>0</v>
      </c>
      <c r="G7" s="11">
        <v>0</v>
      </c>
      <c r="H7" s="11">
        <v>0</v>
      </c>
      <c r="I7" s="12">
        <v>0</v>
      </c>
      <c r="J7" s="12">
        <f t="shared" si="0"/>
        <v>33</v>
      </c>
    </row>
    <row r="8" spans="1:10" s="9" customFormat="1" x14ac:dyDescent="0.25">
      <c r="A8" s="10" t="s">
        <v>280</v>
      </c>
      <c r="B8" s="10" t="s">
        <v>280</v>
      </c>
      <c r="C8" s="11">
        <v>33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2">
        <v>0</v>
      </c>
      <c r="J8" s="12">
        <f t="shared" si="0"/>
        <v>33</v>
      </c>
    </row>
    <row r="9" spans="1:10" s="9" customFormat="1" x14ac:dyDescent="0.25">
      <c r="A9" s="10" t="s">
        <v>281</v>
      </c>
      <c r="B9" s="10" t="s">
        <v>288</v>
      </c>
      <c r="C9" s="11">
        <v>100</v>
      </c>
      <c r="D9" s="11">
        <v>0</v>
      </c>
      <c r="E9" s="12">
        <v>0</v>
      </c>
      <c r="F9" s="11">
        <v>0</v>
      </c>
      <c r="G9" s="11">
        <v>0</v>
      </c>
      <c r="H9" s="11">
        <v>0</v>
      </c>
      <c r="I9" s="12">
        <v>0</v>
      </c>
      <c r="J9" s="12">
        <f t="shared" si="0"/>
        <v>100</v>
      </c>
    </row>
    <row r="10" spans="1:10" s="9" customFormat="1" ht="30" x14ac:dyDescent="0.25">
      <c r="A10" s="10" t="s">
        <v>282</v>
      </c>
      <c r="B10" s="10" t="s">
        <v>282</v>
      </c>
      <c r="C10" s="11">
        <v>128</v>
      </c>
      <c r="D10" s="11">
        <v>0</v>
      </c>
      <c r="E10" s="12">
        <v>0</v>
      </c>
      <c r="F10" s="11">
        <v>1</v>
      </c>
      <c r="G10" s="11">
        <v>0</v>
      </c>
      <c r="H10" s="11">
        <v>0</v>
      </c>
      <c r="I10" s="12">
        <v>0</v>
      </c>
      <c r="J10" s="12">
        <f t="shared" si="0"/>
        <v>129</v>
      </c>
    </row>
    <row r="11" spans="1:10" s="9" customFormat="1" x14ac:dyDescent="0.25">
      <c r="A11" s="10" t="s">
        <v>283</v>
      </c>
      <c r="B11" s="10" t="s">
        <v>283</v>
      </c>
      <c r="C11" s="11">
        <v>28</v>
      </c>
      <c r="D11" s="11">
        <v>0</v>
      </c>
      <c r="E11" s="12">
        <v>0</v>
      </c>
      <c r="F11" s="11">
        <v>0</v>
      </c>
      <c r="G11" s="11">
        <v>0</v>
      </c>
      <c r="H11" s="11">
        <v>0</v>
      </c>
      <c r="I11" s="12">
        <v>0</v>
      </c>
      <c r="J11" s="12">
        <f t="shared" si="0"/>
        <v>28</v>
      </c>
    </row>
    <row r="12" spans="1:10" ht="45" x14ac:dyDescent="0.25">
      <c r="A12" s="9" t="s">
        <v>125</v>
      </c>
      <c r="B12" s="10" t="s">
        <v>289</v>
      </c>
      <c r="C12" s="11">
        <v>71</v>
      </c>
      <c r="D12" s="11">
        <v>3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2">
        <f t="shared" si="0"/>
        <v>74</v>
      </c>
    </row>
    <row r="13" spans="1:10" x14ac:dyDescent="0.25">
      <c r="A13" s="9" t="s">
        <v>284</v>
      </c>
      <c r="B13" s="10" t="s">
        <v>290</v>
      </c>
      <c r="C13" s="11">
        <v>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2">
        <f t="shared" si="0"/>
        <v>6</v>
      </c>
    </row>
    <row r="14" spans="1:10" ht="75" x14ac:dyDescent="0.25">
      <c r="A14" s="9" t="s">
        <v>126</v>
      </c>
      <c r="B14" s="10" t="s">
        <v>291</v>
      </c>
      <c r="C14" s="11">
        <v>88</v>
      </c>
      <c r="D14" s="11">
        <v>0</v>
      </c>
      <c r="E14" s="11">
        <v>0</v>
      </c>
      <c r="F14" s="11">
        <v>0</v>
      </c>
      <c r="G14" s="11">
        <v>0</v>
      </c>
      <c r="H14" s="11">
        <v>71</v>
      </c>
      <c r="I14" s="11">
        <v>0</v>
      </c>
      <c r="J14" s="12">
        <f t="shared" si="0"/>
        <v>159</v>
      </c>
    </row>
    <row r="15" spans="1:10" ht="45" x14ac:dyDescent="0.25">
      <c r="A15" s="9" t="s">
        <v>127</v>
      </c>
      <c r="B15" s="10" t="s">
        <v>292</v>
      </c>
      <c r="C15" s="11">
        <v>2063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2">
        <f t="shared" si="0"/>
        <v>2063</v>
      </c>
    </row>
    <row r="16" spans="1:10" x14ac:dyDescent="0.25">
      <c r="A16" s="9" t="s">
        <v>128</v>
      </c>
      <c r="B16" s="10" t="s">
        <v>293</v>
      </c>
      <c r="C16" s="11">
        <v>60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2">
        <f t="shared" si="0"/>
        <v>60</v>
      </c>
    </row>
    <row r="17" spans="1:10" x14ac:dyDescent="0.25">
      <c r="A17" s="9" t="s">
        <v>129</v>
      </c>
      <c r="B17" s="10" t="s">
        <v>294</v>
      </c>
      <c r="C17" s="11">
        <v>57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2">
        <f t="shared" si="0"/>
        <v>57</v>
      </c>
    </row>
    <row r="18" spans="1:10" x14ac:dyDescent="0.25">
      <c r="A18" s="9" t="s">
        <v>285</v>
      </c>
      <c r="B18" s="10" t="s">
        <v>124</v>
      </c>
      <c r="C18" s="11">
        <v>20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2">
        <f t="shared" si="0"/>
        <v>20</v>
      </c>
    </row>
    <row r="19" spans="1:10" ht="30" x14ac:dyDescent="0.25">
      <c r="A19" s="9" t="s">
        <v>286</v>
      </c>
      <c r="B19" s="10" t="s">
        <v>295</v>
      </c>
      <c r="C19" s="11">
        <v>6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2">
        <f t="shared" si="0"/>
        <v>6</v>
      </c>
    </row>
    <row r="20" spans="1:10" ht="15.6" x14ac:dyDescent="0.25">
      <c r="A20" s="9" t="s">
        <v>354</v>
      </c>
      <c r="B20" s="13">
        <f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+COUNTA(_xlfn.TEXTSPLIT(B16,";"))+COUNTA(_xlfn.TEXTSPLIT(B17,";"))+COUNTA(_xlfn.TEXTSPLIT(B18,";"))+COUNTA(_xlfn.TEXTSPLIT(B19,";"))</f>
        <v>41</v>
      </c>
      <c r="C20" s="11">
        <f>SUBTOTAL(109,Table25678915171819[Diplomas])</f>
        <v>2801</v>
      </c>
      <c r="D20" s="11">
        <f>SUBTOTAL(109,Table25678915171819[Alternate High School Diplomas])</f>
        <v>3</v>
      </c>
      <c r="E20" s="11">
        <f>SUBTOTAL(109,Table25678915171819[General Education Development Certificates])</f>
        <v>0</v>
      </c>
      <c r="F20" s="11">
        <f>SUBTOTAL(109,Table25678915171819[Certificates of Completion])</f>
        <v>1</v>
      </c>
      <c r="G20" s="11">
        <f>SUBTOTAL(109,Table25678915171819[Grade Ten Transcripts])</f>
        <v>0</v>
      </c>
      <c r="H20" s="11">
        <f>SUBTOTAL(109,Table25678915171819[Grade Eleven Transcripts])</f>
        <v>71</v>
      </c>
      <c r="I20" s="11">
        <f>SUBTOTAL(109,Table25678915171819[Grade Twelve Transcripts])</f>
        <v>0</v>
      </c>
      <c r="J20" s="11">
        <f>SUBTOTAL(109,Table25678915171819[Seal Total])</f>
        <v>2876</v>
      </c>
    </row>
    <row r="23" spans="1:10" x14ac:dyDescent="0.25">
      <c r="G23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CF34-1827-48B9-BEE3-209E905E9B8D}">
  <dimension ref="A1:J13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23</v>
      </c>
    </row>
    <row r="2" spans="1:10" x14ac:dyDescent="0.25">
      <c r="A2" t="s">
        <v>360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x14ac:dyDescent="0.25">
      <c r="A4" s="10" t="s">
        <v>296</v>
      </c>
      <c r="B4" s="10" t="s">
        <v>299</v>
      </c>
      <c r="C4" s="11">
        <v>5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 t="shared" ref="J4:J9" si="0">SUM(C4:I4)</f>
        <v>5</v>
      </c>
    </row>
    <row r="5" spans="1:10" ht="17.7" customHeight="1" x14ac:dyDescent="0.25">
      <c r="A5" s="10" t="s">
        <v>297</v>
      </c>
      <c r="B5" s="10" t="s">
        <v>300</v>
      </c>
      <c r="C5" s="11">
        <v>2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 t="shared" si="0"/>
        <v>2</v>
      </c>
    </row>
    <row r="6" spans="1:10" x14ac:dyDescent="0.25">
      <c r="A6" s="10" t="s">
        <v>130</v>
      </c>
      <c r="B6" s="10" t="s">
        <v>131</v>
      </c>
      <c r="C6" s="11">
        <v>25</v>
      </c>
      <c r="D6" s="11">
        <v>0</v>
      </c>
      <c r="E6" s="12">
        <v>0</v>
      </c>
      <c r="F6" s="11">
        <v>0</v>
      </c>
      <c r="G6" s="11">
        <v>0</v>
      </c>
      <c r="H6" s="11">
        <v>0</v>
      </c>
      <c r="I6" s="12">
        <v>0</v>
      </c>
      <c r="J6" s="12">
        <f t="shared" si="0"/>
        <v>25</v>
      </c>
    </row>
    <row r="7" spans="1:10" x14ac:dyDescent="0.25">
      <c r="A7" s="10" t="s">
        <v>298</v>
      </c>
      <c r="B7" s="10" t="s">
        <v>298</v>
      </c>
      <c r="C7" s="11">
        <v>9</v>
      </c>
      <c r="D7" s="11">
        <v>0</v>
      </c>
      <c r="E7" s="12">
        <v>0</v>
      </c>
      <c r="F7" s="11">
        <v>0</v>
      </c>
      <c r="G7" s="11">
        <v>0</v>
      </c>
      <c r="H7" s="11">
        <v>0</v>
      </c>
      <c r="I7" s="12">
        <v>0</v>
      </c>
      <c r="J7" s="12">
        <f t="shared" si="0"/>
        <v>9</v>
      </c>
    </row>
    <row r="8" spans="1:10" ht="30" x14ac:dyDescent="0.25">
      <c r="A8" s="10" t="s">
        <v>132</v>
      </c>
      <c r="B8" s="10" t="s">
        <v>301</v>
      </c>
      <c r="C8" s="11">
        <v>18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2">
        <v>0</v>
      </c>
      <c r="J8" s="12">
        <f t="shared" si="0"/>
        <v>18</v>
      </c>
    </row>
    <row r="9" spans="1:10" ht="75" x14ac:dyDescent="0.25">
      <c r="A9" s="10" t="s">
        <v>133</v>
      </c>
      <c r="B9" s="10" t="s">
        <v>302</v>
      </c>
      <c r="C9" s="11">
        <v>51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51</v>
      </c>
    </row>
    <row r="10" spans="1:10" x14ac:dyDescent="0.25">
      <c r="A10" s="9" t="s">
        <v>354</v>
      </c>
      <c r="B10" s="13">
        <f>COUNTA(_xlfn.TEXTSPLIT(B4,";"))+COUNTA(_xlfn.TEXTSPLIT(B5,";"))+COUNTA(_xlfn.TEXTSPLIT(B6,";"))+COUNTA(_xlfn.TEXTSPLIT(B7,";"))+COUNTA(_xlfn.TEXTSPLIT(B8,";"))+COUNTA(_xlfn.TEXTSPLIT(B9,";"))</f>
        <v>12</v>
      </c>
      <c r="C10" s="11">
        <f>SUBTOTAL(109,Table2567891517181920[Diplomas])</f>
        <v>110</v>
      </c>
      <c r="D10" s="11">
        <f>SUBTOTAL(109,Table2567891517181920[Alternate High School Diplomas])</f>
        <v>0</v>
      </c>
      <c r="E10" s="11">
        <f>SUBTOTAL(109,Table2567891517181920[General Education Development Certificates])</f>
        <v>0</v>
      </c>
      <c r="F10" s="11">
        <f>SUBTOTAL(109,Table2567891517181920[Certificates of Completion])</f>
        <v>0</v>
      </c>
      <c r="G10" s="11">
        <f>SUBTOTAL(109,Table2567891517181920[Grade Ten Transcripts])</f>
        <v>0</v>
      </c>
      <c r="H10" s="11">
        <f>SUBTOTAL(109,Table2567891517181920[Grade Eleven Transcripts])</f>
        <v>0</v>
      </c>
      <c r="I10" s="11">
        <f>SUBTOTAL(109,Table2567891517181920[Grade Twelve Transcripts])</f>
        <v>0</v>
      </c>
      <c r="J10" s="11">
        <f>SUBTOTAL(109,Table2567891517181920[Seal Total])</f>
        <v>110</v>
      </c>
    </row>
    <row r="13" spans="1:10" x14ac:dyDescent="0.25">
      <c r="G13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5609-E830-4CEB-A4B2-1BD769A89298}">
  <dimension ref="A1:J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24</v>
      </c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134</v>
      </c>
      <c r="B4" s="10" t="s">
        <v>135</v>
      </c>
      <c r="C4" s="11">
        <v>5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5</v>
      </c>
    </row>
    <row r="5" spans="1:10" s="9" customFormat="1" x14ac:dyDescent="0.25">
      <c r="A5" s="9" t="s">
        <v>136</v>
      </c>
      <c r="B5" s="10" t="s">
        <v>137</v>
      </c>
      <c r="C5" s="11">
        <v>3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>SUM(C5:I5)</f>
        <v>3</v>
      </c>
    </row>
    <row r="6" spans="1:10" x14ac:dyDescent="0.25">
      <c r="A6" s="9" t="s">
        <v>354</v>
      </c>
      <c r="B6" s="13">
        <f>COUNTA(_xlfn.TEXTSPLIT(B4,";"))+COUNTA(_xlfn.TEXTSPLIT(B5,";"))</f>
        <v>2</v>
      </c>
      <c r="C6" s="11">
        <f>SUBTOTAL(109,Table256789151718192021[Diplomas])</f>
        <v>8</v>
      </c>
      <c r="D6" s="11">
        <f>SUBTOTAL(109,Table256789151718192021[Alternate High School Diplomas])</f>
        <v>0</v>
      </c>
      <c r="E6" s="11">
        <f>SUBTOTAL(109,Table256789151718192021[General Education Development Certificates])</f>
        <v>0</v>
      </c>
      <c r="F6" s="11">
        <f>SUBTOTAL(109,Table256789151718192021[Certificates of Completion])</f>
        <v>0</v>
      </c>
      <c r="G6" s="11">
        <f>SUBTOTAL(109,Table256789151718192021[Grade Ten Transcripts])</f>
        <v>0</v>
      </c>
      <c r="H6" s="11">
        <f>SUBTOTAL(109,Table256789151718192021[Grade Eleven Transcripts])</f>
        <v>0</v>
      </c>
      <c r="I6" s="11">
        <f>SUBTOTAL(109,Table256789151718192021[Grade Twelve Transcripts])</f>
        <v>0</v>
      </c>
      <c r="J6" s="11">
        <f>SUBTOTAL(109,Table256789151718192021[Seal Total])</f>
        <v>8</v>
      </c>
    </row>
    <row r="9" spans="1:10" x14ac:dyDescent="0.25">
      <c r="G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F04C-869F-40EE-902E-9DED3967D37A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303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0" x14ac:dyDescent="0.25">
      <c r="A4" s="10" t="s">
        <v>304</v>
      </c>
      <c r="B4" s="10" t="s">
        <v>305</v>
      </c>
      <c r="C4" s="11">
        <v>250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250</v>
      </c>
    </row>
    <row r="5" spans="1:10" s="9" customFormat="1" x14ac:dyDescent="0.25">
      <c r="A5" s="9" t="s">
        <v>354</v>
      </c>
      <c r="B5" s="13">
        <f>COUNTA(_xlfn.TEXTSPLIT(B4,";"))</f>
        <v>5</v>
      </c>
      <c r="C5" s="11">
        <f>SUBTOTAL(109,Table25678915171819202136[Diplomas])</f>
        <v>250</v>
      </c>
      <c r="D5" s="11">
        <f>SUBTOTAL(109,Table25678915171819202136[Alternate High School Diplomas])</f>
        <v>0</v>
      </c>
      <c r="E5" s="11">
        <f>SUBTOTAL(109,Table25678915171819202136[General Education Development Certificates])</f>
        <v>0</v>
      </c>
      <c r="F5" s="11">
        <f>SUBTOTAL(109,Table25678915171819202136[Certificates of Completion])</f>
        <v>0</v>
      </c>
      <c r="G5" s="11">
        <f>SUBTOTAL(109,Table25678915171819202136[Grade Ten Transcripts])</f>
        <v>0</v>
      </c>
      <c r="H5" s="11">
        <f>SUBTOTAL(109,Table25678915171819202136[Grade Eleven Transcripts])</f>
        <v>0</v>
      </c>
      <c r="I5" s="11">
        <f>SUBTOTAL(109,Table25678915171819202136[Grade Twelve Transcripts])</f>
        <v>0</v>
      </c>
      <c r="J5" s="11">
        <f>SUBTOTAL(109,Table25678915171819202136[Seal Total])</f>
        <v>250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8C15-0A11-4629-9811-A77F963B14FF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25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1.95" customHeight="1" x14ac:dyDescent="0.25">
      <c r="A4" s="9" t="s">
        <v>138</v>
      </c>
      <c r="B4" s="10" t="s">
        <v>306</v>
      </c>
      <c r="C4" s="11">
        <v>179</v>
      </c>
      <c r="D4" s="11">
        <v>0</v>
      </c>
      <c r="E4" s="11">
        <v>0</v>
      </c>
      <c r="F4" s="11">
        <v>1</v>
      </c>
      <c r="G4" s="11">
        <v>0</v>
      </c>
      <c r="H4" s="11">
        <v>0</v>
      </c>
      <c r="I4" s="11">
        <v>0</v>
      </c>
      <c r="J4" s="12">
        <f>SUM(C4:I4)</f>
        <v>180</v>
      </c>
    </row>
    <row r="5" spans="1:10" s="9" customFormat="1" x14ac:dyDescent="0.25">
      <c r="A5" s="9" t="s">
        <v>354</v>
      </c>
      <c r="B5" s="13">
        <f>COUNTA(_xlfn.TEXTSPLIT(B4,";"))</f>
        <v>3</v>
      </c>
      <c r="C5" s="11">
        <f>SUBTOTAL(109,Table25678915171819202116[Diplomas])</f>
        <v>179</v>
      </c>
      <c r="D5" s="11">
        <f>SUBTOTAL(109,Table25678915171819202116[Alternate High School Diplomas])</f>
        <v>0</v>
      </c>
      <c r="E5" s="11">
        <f>SUBTOTAL(109,Table25678915171819202116[General Education Development Certificates])</f>
        <v>0</v>
      </c>
      <c r="F5" s="11">
        <f>SUBTOTAL(109,Table25678915171819202116[Certificates of Completion])</f>
        <v>1</v>
      </c>
      <c r="G5" s="11">
        <f>SUBTOTAL(109,Table25678915171819202116[Grade Ten Transcripts])</f>
        <v>0</v>
      </c>
      <c r="H5" s="11">
        <f>SUBTOTAL(109,Table25678915171819202116[Grade Eleven Transcripts])</f>
        <v>0</v>
      </c>
      <c r="I5" s="11">
        <f>SUBTOTAL(109,Table25678915171819202116[Grade Twelve Transcripts])</f>
        <v>0</v>
      </c>
      <c r="J5" s="11">
        <f>SUBTOTAL(109,Table25678915171819202116[Seal Total])</f>
        <v>180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9E39-8267-44BE-8CC8-96AD733E4341}">
  <dimension ref="A1:J14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26</v>
      </c>
    </row>
    <row r="2" spans="1:10" x14ac:dyDescent="0.25">
      <c r="A2" t="s">
        <v>365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0" x14ac:dyDescent="0.25">
      <c r="A4" s="10" t="s">
        <v>307</v>
      </c>
      <c r="B4" s="10" t="s">
        <v>312</v>
      </c>
      <c r="C4" s="11">
        <v>7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 t="shared" ref="J4:J11" si="0">SUM(C4:I4)</f>
        <v>7</v>
      </c>
    </row>
    <row r="5" spans="1:10" s="9" customFormat="1" ht="30" x14ac:dyDescent="0.25">
      <c r="A5" s="10" t="s">
        <v>308</v>
      </c>
      <c r="B5" s="10" t="s">
        <v>313</v>
      </c>
      <c r="C5" s="11">
        <v>180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 t="shared" si="0"/>
        <v>180</v>
      </c>
    </row>
    <row r="6" spans="1:10" s="9" customFormat="1" ht="30" x14ac:dyDescent="0.25">
      <c r="A6" s="10" t="s">
        <v>309</v>
      </c>
      <c r="B6" s="10" t="s">
        <v>314</v>
      </c>
      <c r="C6" s="11">
        <v>35</v>
      </c>
      <c r="D6" s="11">
        <v>0</v>
      </c>
      <c r="E6" s="12">
        <v>0</v>
      </c>
      <c r="F6" s="11">
        <v>0</v>
      </c>
      <c r="G6" s="11">
        <v>0</v>
      </c>
      <c r="H6" s="11">
        <v>0</v>
      </c>
      <c r="I6" s="12">
        <v>0</v>
      </c>
      <c r="J6" s="12">
        <f t="shared" si="0"/>
        <v>35</v>
      </c>
    </row>
    <row r="7" spans="1:10" ht="30" x14ac:dyDescent="0.25">
      <c r="A7" s="10" t="s">
        <v>139</v>
      </c>
      <c r="B7" s="10" t="s">
        <v>315</v>
      </c>
      <c r="C7" s="11">
        <v>4</v>
      </c>
      <c r="D7" s="11">
        <v>0</v>
      </c>
      <c r="E7" s="12">
        <v>0</v>
      </c>
      <c r="F7" s="11">
        <v>0</v>
      </c>
      <c r="G7" s="11">
        <v>0</v>
      </c>
      <c r="H7" s="11">
        <v>0</v>
      </c>
      <c r="I7" s="12">
        <v>0</v>
      </c>
      <c r="J7" s="12">
        <f t="shared" si="0"/>
        <v>4</v>
      </c>
    </row>
    <row r="8" spans="1:10" x14ac:dyDescent="0.25">
      <c r="A8" s="10" t="s">
        <v>310</v>
      </c>
      <c r="B8" s="10" t="s">
        <v>316</v>
      </c>
      <c r="C8" s="11">
        <v>1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2">
        <v>0</v>
      </c>
      <c r="J8" s="12">
        <f t="shared" si="0"/>
        <v>1</v>
      </c>
    </row>
    <row r="9" spans="1:10" ht="30" x14ac:dyDescent="0.25">
      <c r="A9" s="9" t="s">
        <v>140</v>
      </c>
      <c r="B9" s="10" t="s">
        <v>317</v>
      </c>
      <c r="C9" s="11">
        <v>716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716</v>
      </c>
    </row>
    <row r="10" spans="1:10" ht="30" x14ac:dyDescent="0.25">
      <c r="A10" s="10" t="s">
        <v>141</v>
      </c>
      <c r="B10" s="10" t="s">
        <v>318</v>
      </c>
      <c r="C10" s="11">
        <v>2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2">
        <f t="shared" si="0"/>
        <v>2</v>
      </c>
    </row>
    <row r="11" spans="1:10" x14ac:dyDescent="0.25">
      <c r="A11" s="9" t="s">
        <v>311</v>
      </c>
      <c r="B11" s="10" t="s">
        <v>319</v>
      </c>
      <c r="C11" s="11">
        <v>20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f t="shared" si="0"/>
        <v>20</v>
      </c>
    </row>
    <row r="12" spans="1:10" x14ac:dyDescent="0.25">
      <c r="A12" s="9" t="s">
        <v>354</v>
      </c>
      <c r="B12" s="10">
        <f>COUNTA(_xlfn.TEXTSPLIT(B4,";"))+COUNTA(_xlfn.TEXTSPLIT(B5,";"))+COUNTA(_xlfn.TEXTSPLIT(B6,";"))+COUNTA(_xlfn.TEXTSPLIT(B7,";"))+COUNTA(_xlfn.TEXTSPLIT(B8,";"))+COUNTA(_xlfn.TEXTSPLIT(B9,";"))+COUNTA(_xlfn.TEXTSPLIT(B10,";"))+COUNTA(_xlfn.TEXTSPLIT(B11,";"))</f>
        <v>18</v>
      </c>
      <c r="C12" s="11">
        <f>SUBTOTAL(109,Table25678915171819202122[Diplomas])</f>
        <v>965</v>
      </c>
      <c r="D12" s="11">
        <f>SUBTOTAL(109,Table25678915171819202122[Alternate High School Diplomas])</f>
        <v>0</v>
      </c>
      <c r="E12" s="11">
        <f>SUBTOTAL(109,Table25678915171819202122[General Education Development Certificates])</f>
        <v>0</v>
      </c>
      <c r="F12" s="11">
        <f>SUBTOTAL(109,Table25678915171819202122[Certificates of Completion])</f>
        <v>0</v>
      </c>
      <c r="G12" s="11">
        <f>SUBTOTAL(109,Table25678915171819202122[Grade Ten Transcripts])</f>
        <v>0</v>
      </c>
      <c r="H12" s="11">
        <f>SUBTOTAL(109,Table25678915171819202122[Grade Eleven Transcripts])</f>
        <v>0</v>
      </c>
      <c r="I12" s="11">
        <f>SUBTOTAL(109,Table25678915171819202122[Grade Twelve Transcripts])</f>
        <v>0</v>
      </c>
      <c r="J12" s="11">
        <f>SUBTOTAL(109,Table25678915171819202122[Seal Total])</f>
        <v>965</v>
      </c>
    </row>
    <row r="14" spans="1:10" x14ac:dyDescent="0.25">
      <c r="G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7DE6-6C33-4B37-AEE4-83A025E24C6A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27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60" x14ac:dyDescent="0.25">
      <c r="A4" s="9" t="s">
        <v>142</v>
      </c>
      <c r="B4" s="10" t="s">
        <v>320</v>
      </c>
      <c r="C4" s="11">
        <v>153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SUM(C4:I4)</f>
        <v>153</v>
      </c>
    </row>
    <row r="5" spans="1:10" s="9" customFormat="1" x14ac:dyDescent="0.25">
      <c r="A5" s="9" t="s">
        <v>354</v>
      </c>
      <c r="B5" s="13">
        <f>COUNTA(_xlfn.TEXTSPLIT(B4,";"))</f>
        <v>8</v>
      </c>
      <c r="C5" s="11">
        <f>SUBTOTAL(109,Table2567891517181920212229[Diplomas])</f>
        <v>153</v>
      </c>
      <c r="D5" s="11">
        <f>SUBTOTAL(109,Table2567891517181920212229[Alternate High School Diplomas])</f>
        <v>0</v>
      </c>
      <c r="E5" s="11">
        <f>SUBTOTAL(109,Table2567891517181920212229[General Education Development Certificates])</f>
        <v>0</v>
      </c>
      <c r="F5" s="11">
        <f>SUBTOTAL(109,Table2567891517181920212229[Certificates of Completion])</f>
        <v>0</v>
      </c>
      <c r="G5" s="11">
        <f>SUBTOTAL(109,Table2567891517181920212229[Grade Ten Transcripts])</f>
        <v>0</v>
      </c>
      <c r="H5" s="11">
        <f>SUBTOTAL(109,Table2567891517181920212229[Grade Eleven Transcripts])</f>
        <v>0</v>
      </c>
      <c r="I5" s="11">
        <f>SUBTOTAL(109,Table2567891517181920212229[Grade Twelve Transcripts])</f>
        <v>0</v>
      </c>
      <c r="J5" s="11">
        <f>SUBTOTAL(109,Table2567891517181920212229[Seal Total])</f>
        <v>153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2B7B-3B32-409C-9E4A-C11E074FF5A5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321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9" t="s">
        <v>322</v>
      </c>
      <c r="B4" s="10" t="s">
        <v>323</v>
      </c>
      <c r="C4" s="11">
        <v>13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SUM(C4:I4)</f>
        <v>13</v>
      </c>
    </row>
    <row r="5" spans="1:10" s="9" customFormat="1" x14ac:dyDescent="0.25">
      <c r="A5" s="9" t="s">
        <v>354</v>
      </c>
      <c r="B5" s="13">
        <f>COUNTA(_xlfn.TEXTSPLIT(B4,";"))</f>
        <v>2</v>
      </c>
      <c r="C5" s="11">
        <f>SUBTOTAL(109,Table256789151718192021222937[Diplomas])</f>
        <v>13</v>
      </c>
      <c r="D5" s="11">
        <f>SUBTOTAL(109,Table256789151718192021222937[Alternate High School Diplomas])</f>
        <v>0</v>
      </c>
      <c r="E5" s="11">
        <f>SUBTOTAL(109,Table256789151718192021222937[General Education Development Certificates])</f>
        <v>0</v>
      </c>
      <c r="F5" s="11">
        <f>SUBTOTAL(109,Table256789151718192021222937[Certificates of Completion])</f>
        <v>0</v>
      </c>
      <c r="G5" s="11">
        <f>SUBTOTAL(109,Table256789151718192021222937[Grade Ten Transcripts])</f>
        <v>0</v>
      </c>
      <c r="H5" s="11">
        <f>SUBTOTAL(109,Table256789151718192021222937[Grade Eleven Transcripts])</f>
        <v>0</v>
      </c>
      <c r="I5" s="11">
        <f>SUBTOTAL(109,Table256789151718192021222937[Grade Twelve Transcripts])</f>
        <v>0</v>
      </c>
      <c r="J5" s="11">
        <f>SUBTOTAL(109,Table256789151718192021222937[Seal Total])</f>
        <v>13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F66B-9B4B-4087-83D6-D5F2B39513FD}">
  <dimension ref="A1:J10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28</v>
      </c>
    </row>
    <row r="2" spans="1:10" x14ac:dyDescent="0.25">
      <c r="A2" t="s">
        <v>362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324</v>
      </c>
      <c r="B4" s="10" t="s">
        <v>325</v>
      </c>
      <c r="C4" s="11">
        <v>2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</v>
      </c>
    </row>
    <row r="5" spans="1:10" s="9" customFormat="1" x14ac:dyDescent="0.25">
      <c r="A5" s="10" t="s">
        <v>143</v>
      </c>
      <c r="B5" s="10" t="s">
        <v>326</v>
      </c>
      <c r="C5" s="11">
        <v>4</v>
      </c>
      <c r="D5" s="11">
        <v>0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>SUM(C5:I5)</f>
        <v>4</v>
      </c>
    </row>
    <row r="6" spans="1:10" x14ac:dyDescent="0.25">
      <c r="A6" s="9" t="s">
        <v>144</v>
      </c>
      <c r="B6" s="10" t="s">
        <v>144</v>
      </c>
      <c r="C6" s="11">
        <v>2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>SUM(C6:I6)</f>
        <v>2</v>
      </c>
    </row>
    <row r="7" spans="1:10" x14ac:dyDescent="0.25">
      <c r="A7" s="9" t="s">
        <v>354</v>
      </c>
      <c r="B7" s="13">
        <f>COUNTA(_xlfn.TEXTSPLIT(B4,";"))+COUNTA(_xlfn.TEXTSPLIT(B5,";"))+COUNTA(_xlfn.TEXTSPLIT(B6,";"))</f>
        <v>4</v>
      </c>
      <c r="C7" s="11">
        <f>SUBTOTAL(109,Table2567891517181920212223[Diplomas])</f>
        <v>8</v>
      </c>
      <c r="D7" s="11">
        <f>SUBTOTAL(109,Table2567891517181920212223[Alternate High School Diplomas])</f>
        <v>0</v>
      </c>
      <c r="E7" s="11">
        <f>SUBTOTAL(109,Table2567891517181920212223[General Education Development Certificates])</f>
        <v>0</v>
      </c>
      <c r="F7" s="11">
        <f>SUBTOTAL(109,Table2567891517181920212223[Certificates of Completion])</f>
        <v>0</v>
      </c>
      <c r="G7" s="11">
        <f>SUBTOTAL(109,Table2567891517181920212223[Grade Ten Transcripts])</f>
        <v>0</v>
      </c>
      <c r="H7" s="11">
        <f>SUBTOTAL(109,Table2567891517181920212223[Grade Eleven Transcripts])</f>
        <v>0</v>
      </c>
      <c r="I7" s="11">
        <f>SUBTOTAL(109,Table2567891517181920212223[Grade Twelve Transcripts])</f>
        <v>0</v>
      </c>
      <c r="J7" s="11">
        <f>SUBTOTAL(109,Table2567891517181920212223[Seal Total])</f>
        <v>8</v>
      </c>
    </row>
    <row r="10" spans="1:10" x14ac:dyDescent="0.25">
      <c r="G10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ADA4-B85A-456D-8749-A3DA4E34735B}">
  <dimension ref="A1:J12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8</v>
      </c>
    </row>
    <row r="2" spans="1:10" x14ac:dyDescent="0.25">
      <c r="A2" t="s">
        <v>356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ht="16.2" customHeight="1" x14ac:dyDescent="0.25">
      <c r="A4" s="10" t="s">
        <v>41</v>
      </c>
      <c r="B4" s="10" t="s">
        <v>174</v>
      </c>
      <c r="C4" s="11">
        <v>210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210</v>
      </c>
    </row>
    <row r="5" spans="1:10" s="9" customFormat="1" ht="30" x14ac:dyDescent="0.25">
      <c r="A5" s="10" t="s">
        <v>42</v>
      </c>
      <c r="B5" s="10" t="s">
        <v>42</v>
      </c>
      <c r="C5" s="11">
        <v>21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f>SUM(C5:I5)</f>
        <v>21</v>
      </c>
    </row>
    <row r="6" spans="1:10" x14ac:dyDescent="0.25">
      <c r="A6" s="10" t="s">
        <v>171</v>
      </c>
      <c r="B6" s="10" t="s">
        <v>173</v>
      </c>
      <c r="C6" s="11">
        <v>10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f>SUM(C6:I6)</f>
        <v>10</v>
      </c>
    </row>
    <row r="7" spans="1:10" x14ac:dyDescent="0.25">
      <c r="A7" s="10" t="s">
        <v>172</v>
      </c>
      <c r="B7" s="10" t="s">
        <v>175</v>
      </c>
      <c r="C7" s="11">
        <v>405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f>SUM(C7:I7)</f>
        <v>405</v>
      </c>
    </row>
    <row r="8" spans="1:10" ht="30" x14ac:dyDescent="0.25">
      <c r="A8" s="10" t="s">
        <v>43</v>
      </c>
      <c r="B8" s="10" t="s">
        <v>176</v>
      </c>
      <c r="C8" s="11">
        <v>230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SUM(C8:I8)</f>
        <v>230</v>
      </c>
    </row>
    <row r="9" spans="1:10" x14ac:dyDescent="0.25">
      <c r="A9" s="9" t="s">
        <v>354</v>
      </c>
      <c r="B9" s="13">
        <f>COUNTA(_xlfn.TEXTSPLIT(B4,";"))+COUNTA(_xlfn.TEXTSPLIT(B5,";"))+COUNTA(_xlfn.TEXTSPLIT(B6,";"))+COUNTA(_xlfn.TEXTSPLIT(B7,";"))+COUNTA(_xlfn.TEXTSPLIT(B8,";"))</f>
        <v>11</v>
      </c>
      <c r="C9" s="11">
        <f>SUBTOTAL(109,Table25[Diplomas])</f>
        <v>876</v>
      </c>
      <c r="D9" s="11">
        <f>SUBTOTAL(109,Table25[Alternate High School Diplomas])</f>
        <v>0</v>
      </c>
      <c r="E9" s="11">
        <f>SUBTOTAL(109,Table25[General Education Development Certificates])</f>
        <v>0</v>
      </c>
      <c r="F9" s="11">
        <f>SUBTOTAL(109,Table25[Certificates of Completion])</f>
        <v>0</v>
      </c>
      <c r="G9" s="11">
        <f>SUBTOTAL(109,Table25[Grade Ten Transcripts])</f>
        <v>0</v>
      </c>
      <c r="H9" s="11">
        <f>SUBTOTAL(109,Table25[Grade Eleven Transcripts])</f>
        <v>0</v>
      </c>
      <c r="I9" s="11">
        <f>SUBTOTAL(109,Table25[Grade Twelve Transcripts])</f>
        <v>0</v>
      </c>
      <c r="J9" s="11">
        <f>SUM(J4:J8)</f>
        <v>876</v>
      </c>
    </row>
    <row r="12" spans="1:10" x14ac:dyDescent="0.25">
      <c r="G12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0C59-6A10-4EFD-A1A5-B6030EF2DAFA}">
  <dimension ref="A1:J10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20" t="s">
        <v>29</v>
      </c>
    </row>
    <row r="2" spans="1:10" x14ac:dyDescent="0.25">
      <c r="A2" t="s">
        <v>362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ht="30" x14ac:dyDescent="0.25">
      <c r="A4" s="9" t="s">
        <v>145</v>
      </c>
      <c r="B4" s="10" t="s">
        <v>328</v>
      </c>
      <c r="C4" s="11">
        <v>55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SUM(C4:I4)</f>
        <v>55</v>
      </c>
    </row>
    <row r="5" spans="1:10" s="9" customFormat="1" x14ac:dyDescent="0.25">
      <c r="A5" s="9" t="s">
        <v>146</v>
      </c>
      <c r="B5" s="10" t="s">
        <v>147</v>
      </c>
      <c r="C5" s="11">
        <v>2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>SUM(C5:I5)</f>
        <v>2</v>
      </c>
    </row>
    <row r="6" spans="1:10" s="9" customFormat="1" ht="15.6" x14ac:dyDescent="0.25">
      <c r="A6" s="9" t="s">
        <v>327</v>
      </c>
      <c r="B6" s="24" t="s">
        <v>216</v>
      </c>
      <c r="C6" s="11">
        <v>1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>SUM(C6:I6)</f>
        <v>1</v>
      </c>
    </row>
    <row r="7" spans="1:10" s="9" customFormat="1" x14ac:dyDescent="0.25">
      <c r="A7" s="9" t="s">
        <v>354</v>
      </c>
      <c r="B7" s="13" t="s">
        <v>349</v>
      </c>
      <c r="C7" s="11">
        <f>SUBTOTAL(109,Table256789151718192021222324[Diplomas])</f>
        <v>58</v>
      </c>
      <c r="D7" s="11">
        <f>SUBTOTAL(109,Table256789151718192021222324[Alternate High School Diplomas])</f>
        <v>0</v>
      </c>
      <c r="E7" s="11">
        <f>SUBTOTAL(109,Table256789151718192021222324[General Education Development Certificates])</f>
        <v>0</v>
      </c>
      <c r="F7" s="11">
        <f>SUBTOTAL(109,Table256789151718192021222324[Certificates of Completion])</f>
        <v>0</v>
      </c>
      <c r="G7" s="11">
        <f>SUBTOTAL(109,Table256789151718192021222324[Grade Ten Transcripts])</f>
        <v>0</v>
      </c>
      <c r="H7" s="11">
        <f>SUBTOTAL(109,Table256789151718192021222324[Grade Eleven Transcripts])</f>
        <v>0</v>
      </c>
      <c r="I7" s="11">
        <f>SUBTOTAL(109,Table256789151718192021222324[Grade Twelve Transcripts])</f>
        <v>0</v>
      </c>
      <c r="J7" s="11">
        <f>SUBTOTAL(109,Table256789151718192021222324[Seal Total])</f>
        <v>58</v>
      </c>
    </row>
    <row r="8" spans="1:10" x14ac:dyDescent="0.25">
      <c r="I8" s="9"/>
      <c r="J8" s="9"/>
    </row>
    <row r="10" spans="1:10" x14ac:dyDescent="0.25">
      <c r="G10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6AE85-FBBE-4DE8-A9DA-239F76AA40CC}">
  <dimension ref="A1:J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8" width="14.7265625" customWidth="1"/>
    <col min="9" max="9" width="10.7265625" customWidth="1"/>
  </cols>
  <sheetData>
    <row r="1" spans="1:10" ht="17.399999999999999" x14ac:dyDescent="0.3">
      <c r="A1" s="19" t="s">
        <v>30</v>
      </c>
      <c r="B1" s="27"/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170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45.6" customHeight="1" x14ac:dyDescent="0.25">
      <c r="A4" s="10" t="s">
        <v>329</v>
      </c>
      <c r="B4" s="10" t="s">
        <v>331</v>
      </c>
      <c r="C4" s="11">
        <v>24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24</v>
      </c>
    </row>
    <row r="5" spans="1:10" s="9" customFormat="1" x14ac:dyDescent="0.25">
      <c r="A5" s="9" t="s">
        <v>330</v>
      </c>
      <c r="B5" s="10" t="s">
        <v>332</v>
      </c>
      <c r="C5" s="11">
        <v>5</v>
      </c>
      <c r="D5" s="11">
        <v>1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>SUM(C5:I5)</f>
        <v>6</v>
      </c>
    </row>
    <row r="6" spans="1:10" x14ac:dyDescent="0.25">
      <c r="A6" s="9" t="s">
        <v>354</v>
      </c>
      <c r="B6" s="13">
        <f>COUNTA(_xlfn.TEXTSPLIT(B4,";"))+COUNTA(_xlfn.TEXTSPLIT(B5,";"))</f>
        <v>7</v>
      </c>
      <c r="C6" s="11">
        <f>SUBTOTAL(109,Table25678915171819202122232425[Diplomas])</f>
        <v>29</v>
      </c>
      <c r="D6" s="11">
        <f>SUBTOTAL(109,Table25678915171819202122232425[Alternative High School Diplomas])</f>
        <v>1</v>
      </c>
      <c r="E6" s="11">
        <f>SUBTOTAL(109,Table25678915171819202122232425[General Education Development Certificates])</f>
        <v>0</v>
      </c>
      <c r="F6" s="11">
        <f>SUBTOTAL(109,Table25678915171819202122232425[Certificates of Completion])</f>
        <v>0</v>
      </c>
      <c r="G6" s="11">
        <f>SUBTOTAL(109,Table25678915171819202122232425[Grade Ten Transcripts])</f>
        <v>0</v>
      </c>
      <c r="H6" s="11">
        <f>SUBTOTAL(109,Table25678915171819202122232425[Grade Eleven Transcripts])</f>
        <v>0</v>
      </c>
      <c r="I6" s="11">
        <f>SUBTOTAL(109,Table25678915171819202122232425[Grade Twelve Transcripts])</f>
        <v>0</v>
      </c>
      <c r="J6" s="11">
        <f>SUBTOTAL(109,Table25678915171819202122232425[Seal Total])</f>
        <v>30</v>
      </c>
    </row>
    <row r="9" spans="1:10" x14ac:dyDescent="0.25">
      <c r="F9" s="3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B539-A137-4416-A61D-7F791D5B29A0}">
  <dimension ref="A1:J14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31</v>
      </c>
    </row>
    <row r="2" spans="1:10" x14ac:dyDescent="0.25">
      <c r="A2" t="s">
        <v>355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333</v>
      </c>
      <c r="B4" s="10" t="s">
        <v>336</v>
      </c>
      <c r="C4" s="11">
        <v>69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 t="shared" ref="J4:J10" si="0">SUM(C4:I4)</f>
        <v>69</v>
      </c>
    </row>
    <row r="5" spans="1:10" s="9" customFormat="1" x14ac:dyDescent="0.25">
      <c r="A5" s="10" t="s">
        <v>334</v>
      </c>
      <c r="B5" s="10" t="s">
        <v>337</v>
      </c>
      <c r="C5" s="11">
        <v>15</v>
      </c>
      <c r="D5" s="11">
        <v>16</v>
      </c>
      <c r="E5" s="12">
        <v>0</v>
      </c>
      <c r="F5" s="11">
        <v>0</v>
      </c>
      <c r="G5" s="11">
        <v>0</v>
      </c>
      <c r="H5" s="11">
        <v>0</v>
      </c>
      <c r="I5" s="12">
        <v>0</v>
      </c>
      <c r="J5" s="12">
        <f t="shared" si="0"/>
        <v>31</v>
      </c>
    </row>
    <row r="6" spans="1:10" s="9" customFormat="1" ht="45" x14ac:dyDescent="0.25">
      <c r="A6" s="10" t="s">
        <v>148</v>
      </c>
      <c r="B6" s="10" t="s">
        <v>338</v>
      </c>
      <c r="C6" s="11">
        <v>106</v>
      </c>
      <c r="D6" s="11">
        <v>0</v>
      </c>
      <c r="E6" s="12">
        <v>0</v>
      </c>
      <c r="F6" s="11">
        <v>0</v>
      </c>
      <c r="G6" s="11">
        <v>0</v>
      </c>
      <c r="H6" s="11">
        <v>0</v>
      </c>
      <c r="I6" s="12">
        <v>0</v>
      </c>
      <c r="J6" s="12">
        <f t="shared" si="0"/>
        <v>106</v>
      </c>
    </row>
    <row r="7" spans="1:10" s="9" customFormat="1" ht="30" x14ac:dyDescent="0.25">
      <c r="A7" s="10" t="s">
        <v>149</v>
      </c>
      <c r="B7" s="10" t="s">
        <v>150</v>
      </c>
      <c r="C7" s="11">
        <v>18</v>
      </c>
      <c r="D7" s="11">
        <v>0</v>
      </c>
      <c r="E7" s="12">
        <v>0</v>
      </c>
      <c r="F7" s="11">
        <v>0</v>
      </c>
      <c r="G7" s="11">
        <v>0</v>
      </c>
      <c r="H7" s="11">
        <v>2</v>
      </c>
      <c r="I7" s="12">
        <v>0</v>
      </c>
      <c r="J7" s="12">
        <f t="shared" si="0"/>
        <v>20</v>
      </c>
    </row>
    <row r="8" spans="1:10" s="9" customFormat="1" x14ac:dyDescent="0.25">
      <c r="A8" s="10" t="s">
        <v>335</v>
      </c>
      <c r="B8" s="10" t="s">
        <v>339</v>
      </c>
      <c r="C8" s="11">
        <v>14</v>
      </c>
      <c r="D8" s="11">
        <v>0</v>
      </c>
      <c r="E8" s="12">
        <v>0</v>
      </c>
      <c r="F8" s="11">
        <v>0</v>
      </c>
      <c r="G8" s="11">
        <v>0</v>
      </c>
      <c r="H8" s="11">
        <v>0</v>
      </c>
      <c r="I8" s="12">
        <v>0</v>
      </c>
      <c r="J8" s="12">
        <f t="shared" si="0"/>
        <v>14</v>
      </c>
    </row>
    <row r="9" spans="1:10" ht="45" x14ac:dyDescent="0.25">
      <c r="A9" s="10" t="s">
        <v>151</v>
      </c>
      <c r="B9" s="10" t="s">
        <v>340</v>
      </c>
      <c r="C9" s="11">
        <v>160</v>
      </c>
      <c r="D9" s="11">
        <v>0</v>
      </c>
      <c r="E9" s="12">
        <v>0</v>
      </c>
      <c r="F9" s="11">
        <v>0</v>
      </c>
      <c r="G9" s="11">
        <v>0</v>
      </c>
      <c r="H9" s="11">
        <v>0</v>
      </c>
      <c r="I9" s="12">
        <v>0</v>
      </c>
      <c r="J9" s="12">
        <f t="shared" si="0"/>
        <v>160</v>
      </c>
    </row>
    <row r="10" spans="1:10" x14ac:dyDescent="0.25">
      <c r="A10" s="9" t="s">
        <v>152</v>
      </c>
      <c r="B10" s="10" t="s">
        <v>153</v>
      </c>
      <c r="C10" s="11">
        <v>3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2">
        <f t="shared" si="0"/>
        <v>3</v>
      </c>
    </row>
    <row r="11" spans="1:10" x14ac:dyDescent="0.25">
      <c r="A11" s="9" t="s">
        <v>354</v>
      </c>
      <c r="B11" s="13">
        <f>COUNTA(_xlfn.TEXTSPLIT(B4,";"))+COUNTA(_xlfn.TEXTSPLIT(B5,";"))+COUNTA(_xlfn.TEXTSPLIT(B6,";"))+COUNTA(_xlfn.TEXTSPLIT(B7,";"))+COUNTA(_xlfn.TEXTSPLIT(B8,";"))+COUNTA(_xlfn.TEXTSPLIT(B9,";"))+COUNTA(_xlfn.TEXTSPLIT(B10,";"))</f>
        <v>17</v>
      </c>
      <c r="C11" s="11">
        <f>SUBTOTAL(109,Table2567891517181920212223242526[Diplomas])</f>
        <v>385</v>
      </c>
      <c r="D11" s="11">
        <f>SUBTOTAL(109,Table2567891517181920212223242526[Alternate High School Diplomas])</f>
        <v>16</v>
      </c>
      <c r="E11" s="11">
        <f>SUBTOTAL(109,Table2567891517181920212223242526[General Education Development Certificates])</f>
        <v>0</v>
      </c>
      <c r="F11" s="11">
        <f>SUBTOTAL(109,Table2567891517181920212223242526[Certificates of Completion])</f>
        <v>0</v>
      </c>
      <c r="G11" s="11">
        <f>SUBTOTAL(109,Table2567891517181920212223242526[Grade Ten Transcripts])</f>
        <v>0</v>
      </c>
      <c r="H11" s="11">
        <f>SUBTOTAL(109,Table2567891517181920212223242526[Grade Eleven Transcripts])</f>
        <v>2</v>
      </c>
      <c r="I11" s="11">
        <f>SUBTOTAL(109,Table2567891517181920212223242526[Grade Twelve Transcripts])</f>
        <v>0</v>
      </c>
      <c r="J11" s="11">
        <f>SUBTOTAL(109,Table2567891517181920212223242526[Seal Total])</f>
        <v>403</v>
      </c>
    </row>
    <row r="14" spans="1:10" x14ac:dyDescent="0.25">
      <c r="G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7544-8444-4A2A-9E75-50B797A34232}">
  <dimension ref="A1:J13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32</v>
      </c>
    </row>
    <row r="2" spans="1:10" x14ac:dyDescent="0.25">
      <c r="A2" t="s">
        <v>360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0" x14ac:dyDescent="0.25">
      <c r="A4" s="9" t="s">
        <v>154</v>
      </c>
      <c r="B4" s="10" t="s">
        <v>343</v>
      </c>
      <c r="C4" s="11">
        <v>128</v>
      </c>
      <c r="D4" s="11">
        <v>2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 t="shared" ref="J4:J9" si="0">SUM(C4:I4)</f>
        <v>130</v>
      </c>
    </row>
    <row r="5" spans="1:10" s="9" customFormat="1" x14ac:dyDescent="0.25">
      <c r="A5" s="9" t="s">
        <v>341</v>
      </c>
      <c r="B5" s="10" t="s">
        <v>341</v>
      </c>
      <c r="C5" s="11">
        <v>7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f t="shared" si="0"/>
        <v>7</v>
      </c>
    </row>
    <row r="6" spans="1:10" s="9" customFormat="1" ht="31.2" customHeight="1" x14ac:dyDescent="0.25">
      <c r="A6" s="9" t="s">
        <v>155</v>
      </c>
      <c r="B6" s="10" t="s">
        <v>344</v>
      </c>
      <c r="C6" s="11">
        <v>22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f t="shared" si="0"/>
        <v>22</v>
      </c>
    </row>
    <row r="7" spans="1:10" s="9" customFormat="1" ht="45" x14ac:dyDescent="0.25">
      <c r="A7" s="9" t="s">
        <v>156</v>
      </c>
      <c r="B7" s="10" t="s">
        <v>345</v>
      </c>
      <c r="C7" s="11">
        <v>37</v>
      </c>
      <c r="D7" s="11">
        <v>0</v>
      </c>
      <c r="E7" s="11">
        <v>0</v>
      </c>
      <c r="F7" s="11">
        <v>4</v>
      </c>
      <c r="G7" s="11">
        <v>0</v>
      </c>
      <c r="H7" s="11">
        <v>0</v>
      </c>
      <c r="I7" s="11">
        <v>0</v>
      </c>
      <c r="J7" s="12">
        <f t="shared" si="0"/>
        <v>41</v>
      </c>
    </row>
    <row r="8" spans="1:10" s="9" customFormat="1" ht="30" x14ac:dyDescent="0.25">
      <c r="A8" s="9" t="s">
        <v>157</v>
      </c>
      <c r="B8" s="10" t="s">
        <v>346</v>
      </c>
      <c r="C8" s="11">
        <v>138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f t="shared" si="0"/>
        <v>138</v>
      </c>
    </row>
    <row r="9" spans="1:10" x14ac:dyDescent="0.25">
      <c r="A9" s="9" t="s">
        <v>342</v>
      </c>
      <c r="B9" s="10" t="s">
        <v>347</v>
      </c>
      <c r="C9" s="11">
        <v>5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2">
        <f t="shared" si="0"/>
        <v>5</v>
      </c>
    </row>
    <row r="10" spans="1:10" x14ac:dyDescent="0.25">
      <c r="A10" s="9" t="s">
        <v>354</v>
      </c>
      <c r="B10" s="13">
        <f>COUNTA(_xlfn.TEXTSPLIT(B4,";"))+COUNTA(_xlfn.TEXTSPLIT(B5,";"))+COUNTA(_xlfn.TEXTSPLIT(B6,";"))+COUNTA(_xlfn.TEXTSPLIT(B7,";"))+COUNTA(_xlfn.TEXTSPLIT(B8,";"))+COUNTA(_xlfn.TEXTSPLIT(B9,";"))</f>
        <v>19</v>
      </c>
      <c r="C10" s="11">
        <f>SUBTOTAL(109,Table256789151718192021222324252627[Diplomas])</f>
        <v>337</v>
      </c>
      <c r="D10" s="11">
        <f>SUBTOTAL(109,Table256789151718192021222324252627[Alternate High School Diplomas])</f>
        <v>2</v>
      </c>
      <c r="E10" s="11">
        <f>SUBTOTAL(109,Table256789151718192021222324252627[General Education Development Certificates])</f>
        <v>0</v>
      </c>
      <c r="F10" s="11">
        <f>SUBTOTAL(109,Table256789151718192021222324252627[Certificates of Completion])</f>
        <v>4</v>
      </c>
      <c r="G10" s="11">
        <f>SUBTOTAL(109,Table256789151718192021222324252627[Grade Ten Transcripts])</f>
        <v>0</v>
      </c>
      <c r="H10" s="11">
        <f>SUBTOTAL(109,Table256789151718192021222324252627[Grade Eleven Transcripts])</f>
        <v>0</v>
      </c>
      <c r="I10" s="11">
        <f>SUBTOTAL(109,Table256789151718192021222324252627[Grade Twelve Transcripts])</f>
        <v>0</v>
      </c>
      <c r="J10" s="11">
        <f>SUBTOTAL(109,Table256789151718192021222324252627[Seal Total])</f>
        <v>343</v>
      </c>
    </row>
    <row r="13" spans="1:10" x14ac:dyDescent="0.25">
      <c r="G13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9EA2-A119-4F49-8E5A-F6F2C53FBA0C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33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0" x14ac:dyDescent="0.25">
      <c r="A4" s="9" t="s">
        <v>158</v>
      </c>
      <c r="B4" s="10" t="s">
        <v>348</v>
      </c>
      <c r="C4" s="11">
        <v>121</v>
      </c>
      <c r="D4" s="11">
        <v>1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SUM(C4:I4)</f>
        <v>122</v>
      </c>
    </row>
    <row r="5" spans="1:10" s="9" customFormat="1" x14ac:dyDescent="0.25">
      <c r="A5" s="9" t="s">
        <v>354</v>
      </c>
      <c r="B5" s="13">
        <f>COUNTA(_xlfn.TEXTSPLIT(B4,";"))</f>
        <v>3</v>
      </c>
      <c r="C5" s="11">
        <f>SUBTOTAL(109,Table25678915171819202122232425262728[Diplomas])</f>
        <v>121</v>
      </c>
      <c r="D5" s="11">
        <f>SUBTOTAL(109,Table25678915171819202122232425262728[Alternate High School Diplomas])</f>
        <v>1</v>
      </c>
      <c r="E5" s="11">
        <f>SUBTOTAL(109,Table25678915171819202122232425262728[General Education Development Certificates])</f>
        <v>0</v>
      </c>
      <c r="F5" s="11">
        <f>SUBTOTAL(109,Table25678915171819202122232425262728[Certificates of Completion])</f>
        <v>0</v>
      </c>
      <c r="G5" s="11">
        <f>SUBTOTAL(109,Table25678915171819202122232425262728[Grade Ten Transcripts])</f>
        <v>0</v>
      </c>
      <c r="H5" s="11">
        <f>SUBTOTAL(109,Table25678915171819202122232425262728[Grade Eleven Transcripts])</f>
        <v>0</v>
      </c>
      <c r="I5" s="11">
        <f>SUBTOTAL(109,Table25678915171819202122232425262728[Grade Twelve Transcripts])</f>
        <v>0</v>
      </c>
      <c r="J5" s="11">
        <f>SUBTOTAL(109,Table25678915171819202122232425262728[Seal Total])</f>
        <v>122</v>
      </c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007A1-9CA2-43BF-9F12-2695D6CA6273}">
  <dimension ref="A1:J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177</v>
      </c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ht="16.2" customHeight="1" x14ac:dyDescent="0.25">
      <c r="A4" s="10" t="s">
        <v>178</v>
      </c>
      <c r="B4" s="10" t="s">
        <v>178</v>
      </c>
      <c r="C4" s="11">
        <v>1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1</v>
      </c>
    </row>
    <row r="5" spans="1:10" s="9" customFormat="1" ht="17.7" customHeight="1" x14ac:dyDescent="0.25">
      <c r="A5" s="9" t="s">
        <v>179</v>
      </c>
      <c r="B5" s="10" t="s">
        <v>179</v>
      </c>
      <c r="C5" s="11">
        <v>4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f>SUM(C5:I5)</f>
        <v>4</v>
      </c>
    </row>
    <row r="6" spans="1:10" x14ac:dyDescent="0.25">
      <c r="A6" s="9" t="s">
        <v>354</v>
      </c>
      <c r="B6" s="13">
        <f>COUNTA(_xlfn.TEXTSPLIT(B4,";"))+COUNTA(_xlfn.TEXTSPLIT(B5,";"))</f>
        <v>2</v>
      </c>
      <c r="C6" s="11">
        <f>SUBTOTAL(109,Table252[Diplomas])</f>
        <v>5</v>
      </c>
      <c r="D6" s="11">
        <f>SUBTOTAL(109,Table252[Alternate High School Diplomas])</f>
        <v>0</v>
      </c>
      <c r="E6" s="11">
        <f>SUBTOTAL(109,Table252[General Education Development Certificates])</f>
        <v>0</v>
      </c>
      <c r="F6" s="11">
        <f>SUBTOTAL(109,Table252[Certificates of Completion])</f>
        <v>0</v>
      </c>
      <c r="G6" s="11">
        <f>SUBTOTAL(109,Table252[Grade Ten Transcripts])</f>
        <v>0</v>
      </c>
      <c r="H6" s="11">
        <f>SUBTOTAL(109,Table252[Grade Eleven Transcripts])</f>
        <v>0</v>
      </c>
      <c r="I6" s="11">
        <f>SUBTOTAL(109,Table252[Grade Twelve Transcripts])</f>
        <v>0</v>
      </c>
      <c r="J6" s="11">
        <f>SUM(J4:J5)</f>
        <v>5</v>
      </c>
    </row>
    <row r="9" spans="1:10" x14ac:dyDescent="0.25">
      <c r="G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46D4-87E4-4463-A26A-DA183334DA94}">
  <dimension ref="A1:J11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9</v>
      </c>
    </row>
    <row r="2" spans="1:10" x14ac:dyDescent="0.25">
      <c r="A2" t="s">
        <v>358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ht="30" x14ac:dyDescent="0.25">
      <c r="A4" s="10" t="s">
        <v>180</v>
      </c>
      <c r="B4" s="10" t="s">
        <v>181</v>
      </c>
      <c r="C4" s="11">
        <v>10</v>
      </c>
      <c r="D4" s="11">
        <v>10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20</v>
      </c>
    </row>
    <row r="5" spans="1:10" s="9" customFormat="1" ht="90" x14ac:dyDescent="0.25">
      <c r="A5" s="10" t="s">
        <v>44</v>
      </c>
      <c r="B5" s="10" t="s">
        <v>182</v>
      </c>
      <c r="C5" s="11">
        <v>263</v>
      </c>
      <c r="D5" s="11">
        <v>45</v>
      </c>
      <c r="E5" s="12">
        <v>0</v>
      </c>
      <c r="F5" s="11">
        <v>9</v>
      </c>
      <c r="G5" s="11">
        <v>0</v>
      </c>
      <c r="H5" s="11">
        <v>0</v>
      </c>
      <c r="I5" s="12">
        <v>0</v>
      </c>
      <c r="J5" s="12">
        <f>SUM(C5:I5)</f>
        <v>317</v>
      </c>
    </row>
    <row r="6" spans="1:10" s="9" customFormat="1" ht="30" x14ac:dyDescent="0.25">
      <c r="A6" s="10" t="s">
        <v>45</v>
      </c>
      <c r="B6" s="10" t="s">
        <v>46</v>
      </c>
      <c r="C6" s="11">
        <v>89</v>
      </c>
      <c r="D6" s="11">
        <v>0</v>
      </c>
      <c r="E6" s="12">
        <v>0</v>
      </c>
      <c r="F6" s="11">
        <v>0</v>
      </c>
      <c r="G6" s="11">
        <v>0</v>
      </c>
      <c r="H6" s="11">
        <v>0</v>
      </c>
      <c r="I6" s="12">
        <v>0</v>
      </c>
      <c r="J6" s="12">
        <f>SUM(C6:I6)</f>
        <v>89</v>
      </c>
    </row>
    <row r="7" spans="1:10" x14ac:dyDescent="0.25">
      <c r="A7" s="9" t="s">
        <v>47</v>
      </c>
      <c r="B7" s="10" t="s">
        <v>48</v>
      </c>
      <c r="C7" s="11">
        <v>119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f>SUM(C7:I7)</f>
        <v>119</v>
      </c>
    </row>
    <row r="8" spans="1:10" x14ac:dyDescent="0.25">
      <c r="A8" s="9" t="s">
        <v>354</v>
      </c>
      <c r="B8" s="13">
        <f>COUNTA(_xlfn.TEXTSPLIT(B4,";"))+COUNTA(_xlfn.TEXTSPLIT(B5,";"))+COUNTA(_xlfn.TEXTSPLIT(B6,";"))+COUNTA(_xlfn.TEXTSPLIT(B7,";"))</f>
        <v>21</v>
      </c>
      <c r="C8" s="11">
        <f>SUBTOTAL(109,Table256[Diplomas])</f>
        <v>481</v>
      </c>
      <c r="D8" s="11">
        <f>SUBTOTAL(109,Table256[Alternate High School Diplomas])</f>
        <v>55</v>
      </c>
      <c r="E8" s="11">
        <f>SUBTOTAL(109,Table256[General Education Development Certificates])</f>
        <v>0</v>
      </c>
      <c r="F8" s="11">
        <f>SUBTOTAL(109,Table256[Certificates of Completion])</f>
        <v>9</v>
      </c>
      <c r="G8" s="11">
        <f>SUBTOTAL(109,Table256[Grade Ten Transcripts])</f>
        <v>0</v>
      </c>
      <c r="H8" s="11">
        <f>SUBTOTAL(109,Table256[Grade Eleven Transcripts])</f>
        <v>0</v>
      </c>
      <c r="I8" s="11">
        <f>SUBTOTAL(109,Table256[Grade Twelve Transcripts])</f>
        <v>0</v>
      </c>
      <c r="J8" s="11">
        <f>SUM(J4:J7)</f>
        <v>545</v>
      </c>
    </row>
    <row r="11" spans="1:10" x14ac:dyDescent="0.25">
      <c r="G11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2610-3B51-49C6-8E23-5B12D443EF3E}">
  <dimension ref="A1:J8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10</v>
      </c>
    </row>
    <row r="2" spans="1:10" x14ac:dyDescent="0.25">
      <c r="A2" t="s">
        <v>359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10" customFormat="1" x14ac:dyDescent="0.25">
      <c r="A4" s="10" t="s">
        <v>183</v>
      </c>
      <c r="B4" s="10" t="s">
        <v>184</v>
      </c>
      <c r="C4" s="11">
        <v>2</v>
      </c>
      <c r="D4" s="11">
        <v>0</v>
      </c>
      <c r="E4" s="12">
        <v>0</v>
      </c>
      <c r="F4" s="11">
        <v>0</v>
      </c>
      <c r="G4" s="11">
        <v>0</v>
      </c>
      <c r="H4" s="11">
        <v>0</v>
      </c>
      <c r="I4" s="12">
        <v>0</v>
      </c>
      <c r="J4" s="12">
        <f>SUM(C4:I4)</f>
        <v>2</v>
      </c>
    </row>
    <row r="5" spans="1:10" s="9" customFormat="1" x14ac:dyDescent="0.25">
      <c r="A5" s="9" t="s">
        <v>354</v>
      </c>
      <c r="B5" s="13">
        <f>SUBTOTAL(103,Table25635[Participating Schools])</f>
        <v>1</v>
      </c>
      <c r="C5" s="11">
        <f>SUBTOTAL(109,Table25635[Diplomas])</f>
        <v>2</v>
      </c>
      <c r="D5" s="11">
        <f>SUBTOTAL(109,Table25635[Alternate High School Diplomas])</f>
        <v>0</v>
      </c>
      <c r="E5" s="11">
        <f>SUBTOTAL(109,Table25635[General Education Development Certificates])</f>
        <v>0</v>
      </c>
      <c r="F5" s="11">
        <f>SUBTOTAL(109,Table25635[Certificates of Completion])</f>
        <v>0</v>
      </c>
      <c r="G5" s="11">
        <f>SUBTOTAL(109,Table25635[Grade Ten Transcripts])</f>
        <v>0</v>
      </c>
      <c r="H5" s="11">
        <f>SUBTOTAL(109,Table25635[Grade Eleven Transcripts])</f>
        <v>0</v>
      </c>
      <c r="I5" s="11">
        <f>SUBTOTAL(109,Table25635[Grade Twelve Transcripts])</f>
        <v>0</v>
      </c>
      <c r="J5" s="11">
        <f>SUM(J4:J4)</f>
        <v>2</v>
      </c>
    </row>
    <row r="6" spans="1:10" s="9" customFormat="1" x14ac:dyDescent="0.25">
      <c r="A6"/>
      <c r="B6"/>
      <c r="C6"/>
      <c r="D6"/>
      <c r="E6"/>
      <c r="F6"/>
      <c r="G6"/>
      <c r="H6"/>
    </row>
    <row r="8" spans="1:10" x14ac:dyDescent="0.25">
      <c r="G8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F50C-29F7-4AB5-98BA-B147338D7862}">
  <dimension ref="A1:J9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11</v>
      </c>
    </row>
    <row r="2" spans="1:10" x14ac:dyDescent="0.25">
      <c r="A2" t="s">
        <v>357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2" customFormat="1" x14ac:dyDescent="0.25">
      <c r="A4" t="s">
        <v>185</v>
      </c>
      <c r="B4" s="2" t="s">
        <v>49</v>
      </c>
      <c r="C4" s="15">
        <v>6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6">
        <f>SUM(Table2567[[#This Row],[Diplomas]:[Grade Twelve Transcripts]])</f>
        <v>6</v>
      </c>
    </row>
    <row r="5" spans="1:10" ht="30" x14ac:dyDescent="0.25">
      <c r="A5" s="2" t="s">
        <v>186</v>
      </c>
      <c r="B5" s="10" t="s">
        <v>186</v>
      </c>
      <c r="C5" s="15">
        <v>6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6">
        <f>SUM(Table2567[[#This Row],[Diplomas]:[Grade Twelve Transcripts]])</f>
        <v>6</v>
      </c>
    </row>
    <row r="6" spans="1:10" x14ac:dyDescent="0.25">
      <c r="A6" t="s">
        <v>354</v>
      </c>
      <c r="B6" s="17">
        <f>COUNTA(_xlfn.TEXTSPLIT(B4,";"))+COUNTA(_xlfn.TEXTSPLIT(B5,";"))</f>
        <v>2</v>
      </c>
      <c r="C6" s="15">
        <f>SUBTOTAL(109,Table2567[Diplomas])</f>
        <v>12</v>
      </c>
      <c r="D6" s="15">
        <f>SUBTOTAL(109,Table2567[Alternate High School Diplomas])</f>
        <v>0</v>
      </c>
      <c r="E6" s="15">
        <f>SUBTOTAL(109,Table2567[General Education Development Certificates])</f>
        <v>0</v>
      </c>
      <c r="F6" s="15">
        <f>SUBTOTAL(109,Table2567[Certificates of Completion])</f>
        <v>0</v>
      </c>
      <c r="G6" s="15">
        <f>SUBTOTAL(109,Table2567[Grade Ten Transcripts])</f>
        <v>0</v>
      </c>
      <c r="H6" s="15">
        <f>SUBTOTAL(109,Table2567[Grade Eleven Transcripts])</f>
        <v>0</v>
      </c>
      <c r="I6" s="15">
        <f>SUBTOTAL(109,Table2567[Grade Twelve Transcripts])</f>
        <v>0</v>
      </c>
      <c r="J6" s="15">
        <f>SUBTOTAL(109,Table2567[Seal Total])</f>
        <v>12</v>
      </c>
    </row>
    <row r="9" spans="1:10" x14ac:dyDescent="0.25">
      <c r="G9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A4BE-2AF1-4B85-8372-85130BBECE51}">
  <dimension ref="A1:J13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19" t="s">
        <v>12</v>
      </c>
    </row>
    <row r="2" spans="1:10" x14ac:dyDescent="0.25">
      <c r="A2" t="s">
        <v>360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2" customFormat="1" ht="30" x14ac:dyDescent="0.25">
      <c r="A4" s="10" t="s">
        <v>50</v>
      </c>
      <c r="B4" s="10" t="s">
        <v>192</v>
      </c>
      <c r="C4" s="11">
        <v>906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2">
        <f>SUM(Table256731[[#This Row],[Diplomas]:[Grade Twelve Transcripts]])</f>
        <v>906</v>
      </c>
    </row>
    <row r="5" spans="1:10" x14ac:dyDescent="0.25">
      <c r="A5" s="10" t="s">
        <v>187</v>
      </c>
      <c r="B5" s="10" t="s">
        <v>51</v>
      </c>
      <c r="C5" s="15">
        <v>27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6">
        <f>SUM(Table256731[[#This Row],[Diplomas]:[Grade Twelve Transcripts]])</f>
        <v>27</v>
      </c>
    </row>
    <row r="6" spans="1:10" x14ac:dyDescent="0.25">
      <c r="A6" s="10" t="s">
        <v>188</v>
      </c>
      <c r="B6" s="10" t="s">
        <v>188</v>
      </c>
      <c r="C6" s="15">
        <v>6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6">
        <f>SUM(Table256731[[#This Row],[Diplomas]:[Grade Twelve Transcripts]])</f>
        <v>6</v>
      </c>
    </row>
    <row r="7" spans="1:10" x14ac:dyDescent="0.25">
      <c r="A7" s="10" t="s">
        <v>189</v>
      </c>
      <c r="B7" s="10" t="s">
        <v>193</v>
      </c>
      <c r="C7" s="15">
        <v>1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6">
        <f>SUM(Table256731[[#This Row],[Diplomas]:[Grade Twelve Transcripts]])</f>
        <v>1</v>
      </c>
    </row>
    <row r="8" spans="1:10" ht="30" x14ac:dyDescent="0.25">
      <c r="A8" s="10" t="s">
        <v>190</v>
      </c>
      <c r="B8" s="10" t="s">
        <v>194</v>
      </c>
      <c r="C8" s="15">
        <v>26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6">
        <f>SUM(Table256731[[#This Row],[Diplomas]:[Grade Twelve Transcripts]])</f>
        <v>26</v>
      </c>
    </row>
    <row r="9" spans="1:10" ht="30" x14ac:dyDescent="0.25">
      <c r="A9" s="10" t="s">
        <v>191</v>
      </c>
      <c r="B9" s="10" t="s">
        <v>195</v>
      </c>
      <c r="C9" s="15">
        <v>16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6">
        <f>SUM(Table256731[[#This Row],[Diplomas]:[Grade Twelve Transcripts]])</f>
        <v>16</v>
      </c>
    </row>
    <row r="10" spans="1:10" x14ac:dyDescent="0.25">
      <c r="A10" t="s">
        <v>354</v>
      </c>
      <c r="B10" s="17">
        <f>COUNTA(_xlfn.TEXTSPLIT(B4,";"))+COUNTA(_xlfn.TEXTSPLIT(B5,";"))+COUNTA(_xlfn.TEXTSPLIT(B6,";"))+COUNTA(_xlfn.TEXTSPLIT(B7,";"))+COUNTA(_xlfn.TEXTSPLIT(B8,";"))+COUNTA(_xlfn.TEXTSPLIT(B9,";"))</f>
        <v>11</v>
      </c>
      <c r="C10" s="15">
        <f>SUBTOTAL(109,Table256731[Diplomas])</f>
        <v>982</v>
      </c>
      <c r="D10" s="15">
        <f>SUBTOTAL(109,Table256731[Alternate High School Diplomas])</f>
        <v>0</v>
      </c>
      <c r="E10" s="15">
        <f>SUBTOTAL(109,Table256731[General Education Development Certificates])</f>
        <v>0</v>
      </c>
      <c r="F10" s="15">
        <f>SUBTOTAL(109,Table256731[Certificates of Completion])</f>
        <v>0</v>
      </c>
      <c r="G10" s="15">
        <f>SUBTOTAL(109,Table256731[Grade Ten Transcripts])</f>
        <v>0</v>
      </c>
      <c r="H10" s="15">
        <f>SUBTOTAL(109,Table256731[Grade Eleven Transcripts])</f>
        <v>0</v>
      </c>
      <c r="I10" s="15">
        <f>SUBTOTAL(109,Table256731[Grade Twelve Transcripts])</f>
        <v>0</v>
      </c>
      <c r="J10" s="15">
        <f>SUBTOTAL(109,Table256731[Seal Total])</f>
        <v>982</v>
      </c>
    </row>
    <row r="13" spans="1:10" x14ac:dyDescent="0.25">
      <c r="F13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4255-5749-4FB1-A271-AFFBC88B88DA}">
  <dimension ref="A1:J32"/>
  <sheetViews>
    <sheetView workbookViewId="0"/>
  </sheetViews>
  <sheetFormatPr defaultColWidth="9.08984375" defaultRowHeight="15" x14ac:dyDescent="0.25"/>
  <cols>
    <col min="1" max="1" width="25.7265625" customWidth="1"/>
    <col min="2" max="2" width="40.7265625" customWidth="1"/>
    <col min="3" max="9" width="14.7265625" customWidth="1"/>
    <col min="10" max="10" width="10.7265625" customWidth="1"/>
  </cols>
  <sheetData>
    <row r="1" spans="1:10" ht="17.399999999999999" x14ac:dyDescent="0.3">
      <c r="A1" s="20" t="s">
        <v>13</v>
      </c>
    </row>
    <row r="2" spans="1:10" x14ac:dyDescent="0.25">
      <c r="A2" t="s">
        <v>361</v>
      </c>
    </row>
    <row r="3" spans="1:10" s="2" customFormat="1" ht="60" x14ac:dyDescent="0.25">
      <c r="A3" s="1" t="s">
        <v>34</v>
      </c>
      <c r="B3" s="3" t="s">
        <v>35</v>
      </c>
      <c r="C3" s="1" t="s">
        <v>3</v>
      </c>
      <c r="D3" s="1" t="s">
        <v>353</v>
      </c>
      <c r="E3" s="1" t="s">
        <v>4</v>
      </c>
      <c r="F3" s="1" t="s">
        <v>5</v>
      </c>
      <c r="G3" s="1" t="s">
        <v>350</v>
      </c>
      <c r="H3" s="1" t="s">
        <v>351</v>
      </c>
      <c r="I3" s="1" t="s">
        <v>352</v>
      </c>
      <c r="J3" s="1" t="s">
        <v>6</v>
      </c>
    </row>
    <row r="4" spans="1:10" s="9" customFormat="1" ht="30" x14ac:dyDescent="0.25">
      <c r="A4" s="10" t="s">
        <v>78</v>
      </c>
      <c r="B4" s="10" t="s">
        <v>205</v>
      </c>
      <c r="C4" s="12">
        <v>153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f>SUM(Table256789[[#This Row],[Diplomas]:[Grade Twelve Transcripts]])</f>
        <v>153</v>
      </c>
    </row>
    <row r="5" spans="1:10" s="9" customFormat="1" ht="30" x14ac:dyDescent="0.25">
      <c r="A5" s="10" t="s">
        <v>52</v>
      </c>
      <c r="B5" s="10" t="s">
        <v>53</v>
      </c>
      <c r="C5" s="12">
        <v>89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f>SUM(Table256789[[#This Row],[Diplomas]:[Grade Twelve Transcripts]])</f>
        <v>89</v>
      </c>
    </row>
    <row r="6" spans="1:10" s="9" customFormat="1" x14ac:dyDescent="0.25">
      <c r="A6" s="10" t="s">
        <v>196</v>
      </c>
      <c r="B6" s="10" t="s">
        <v>206</v>
      </c>
      <c r="C6" s="12">
        <v>53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f>SUM(Table256789[[#This Row],[Diplomas]:[Grade Twelve Transcripts]])</f>
        <v>53</v>
      </c>
    </row>
    <row r="7" spans="1:10" s="9" customFormat="1" x14ac:dyDescent="0.25">
      <c r="A7" s="10" t="s">
        <v>197</v>
      </c>
      <c r="B7" s="10" t="s">
        <v>207</v>
      </c>
      <c r="C7" s="12">
        <v>48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f>SUM(Table256789[[#This Row],[Diplomas]:[Grade Twelve Transcripts]])</f>
        <v>48</v>
      </c>
    </row>
    <row r="8" spans="1:10" s="9" customFormat="1" x14ac:dyDescent="0.25">
      <c r="A8" s="10" t="s">
        <v>54</v>
      </c>
      <c r="B8" s="10" t="s">
        <v>55</v>
      </c>
      <c r="C8" s="12">
        <v>9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f>SUM(Table256789[[#This Row],[Diplomas]:[Grade Twelve Transcripts]])</f>
        <v>9</v>
      </c>
    </row>
    <row r="9" spans="1:10" s="9" customFormat="1" x14ac:dyDescent="0.25">
      <c r="A9" s="10" t="s">
        <v>56</v>
      </c>
      <c r="B9" s="10" t="s">
        <v>57</v>
      </c>
      <c r="C9" s="12">
        <v>193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f>SUM(Table256789[[#This Row],[Diplomas]:[Grade Twelve Transcripts]])</f>
        <v>193</v>
      </c>
    </row>
    <row r="10" spans="1:10" s="9" customFormat="1" ht="30" x14ac:dyDescent="0.25">
      <c r="A10" s="10" t="s">
        <v>198</v>
      </c>
      <c r="B10" s="10" t="s">
        <v>198</v>
      </c>
      <c r="C10" s="12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f>SUM(Table256789[[#This Row],[Diplomas]:[Grade Twelve Transcripts]])</f>
        <v>20</v>
      </c>
    </row>
    <row r="11" spans="1:10" s="9" customFormat="1" x14ac:dyDescent="0.25">
      <c r="A11" s="10" t="s">
        <v>58</v>
      </c>
      <c r="B11" s="10" t="s">
        <v>59</v>
      </c>
      <c r="C11" s="12">
        <v>32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f>SUM(Table256789[[#This Row],[Diplomas]:[Grade Twelve Transcripts]])</f>
        <v>32</v>
      </c>
    </row>
    <row r="12" spans="1:10" s="9" customFormat="1" x14ac:dyDescent="0.25">
      <c r="A12" s="10" t="s">
        <v>60</v>
      </c>
      <c r="B12" s="10" t="s">
        <v>208</v>
      </c>
      <c r="C12" s="12">
        <v>185</v>
      </c>
      <c r="D12" s="12">
        <v>15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f>SUM(Table256789[[#This Row],[Diplomas]:[Grade Twelve Transcripts]])</f>
        <v>200</v>
      </c>
    </row>
    <row r="13" spans="1:10" s="9" customFormat="1" ht="30" x14ac:dyDescent="0.25">
      <c r="A13" s="10" t="s">
        <v>199</v>
      </c>
      <c r="B13" s="10" t="s">
        <v>209</v>
      </c>
      <c r="C13" s="12">
        <v>116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f>SUM(Table256789[[#This Row],[Diplomas]:[Grade Twelve Transcripts]])</f>
        <v>116</v>
      </c>
    </row>
    <row r="14" spans="1:10" s="9" customFormat="1" ht="45" x14ac:dyDescent="0.25">
      <c r="A14" s="10" t="s">
        <v>61</v>
      </c>
      <c r="B14" s="10" t="s">
        <v>210</v>
      </c>
      <c r="C14" s="12">
        <v>272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f>SUM(Table256789[[#This Row],[Diplomas]:[Grade Twelve Transcripts]])</f>
        <v>272</v>
      </c>
    </row>
    <row r="15" spans="1:10" s="9" customFormat="1" x14ac:dyDescent="0.25">
      <c r="A15" s="10" t="s">
        <v>62</v>
      </c>
      <c r="B15" s="10" t="s">
        <v>63</v>
      </c>
      <c r="C15" s="12">
        <v>70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f>SUM(Table256789[[#This Row],[Diplomas]:[Grade Twelve Transcripts]])</f>
        <v>70</v>
      </c>
    </row>
    <row r="16" spans="1:10" s="9" customFormat="1" ht="60" x14ac:dyDescent="0.25">
      <c r="A16" s="10" t="s">
        <v>64</v>
      </c>
      <c r="B16" s="10" t="s">
        <v>211</v>
      </c>
      <c r="C16" s="12">
        <v>691</v>
      </c>
      <c r="D16" s="12">
        <v>0</v>
      </c>
      <c r="E16" s="12">
        <v>2</v>
      </c>
      <c r="F16" s="12">
        <v>55</v>
      </c>
      <c r="G16" s="12">
        <v>0</v>
      </c>
      <c r="H16" s="12">
        <v>0</v>
      </c>
      <c r="I16" s="12">
        <v>0</v>
      </c>
      <c r="J16" s="12">
        <f>SUM(Table256789[[#This Row],[Diplomas]:[Grade Twelve Transcripts]])</f>
        <v>748</v>
      </c>
    </row>
    <row r="17" spans="1:10" s="9" customFormat="1" ht="30" x14ac:dyDescent="0.25">
      <c r="A17" s="10" t="s">
        <v>65</v>
      </c>
      <c r="B17" s="10" t="s">
        <v>66</v>
      </c>
      <c r="C17" s="12">
        <v>117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f>SUM(Table256789[[#This Row],[Diplomas]:[Grade Twelve Transcripts]])</f>
        <v>117</v>
      </c>
    </row>
    <row r="18" spans="1:10" s="9" customFormat="1" ht="375" x14ac:dyDescent="0.25">
      <c r="A18" s="10" t="s">
        <v>67</v>
      </c>
      <c r="B18" s="10" t="s">
        <v>215</v>
      </c>
      <c r="C18" s="12">
        <v>879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f>SUM(Table256789[[#This Row],[Diplomas]:[Grade Twelve Transcripts]])</f>
        <v>879</v>
      </c>
    </row>
    <row r="19" spans="1:10" s="9" customFormat="1" ht="30" x14ac:dyDescent="0.25">
      <c r="A19" s="10" t="s">
        <v>200</v>
      </c>
      <c r="B19" s="10" t="s">
        <v>212</v>
      </c>
      <c r="C19" s="12">
        <v>21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f>SUM(Table256789[[#This Row],[Diplomas]:[Grade Twelve Transcripts]])</f>
        <v>21</v>
      </c>
    </row>
    <row r="20" spans="1:10" s="9" customFormat="1" x14ac:dyDescent="0.25">
      <c r="A20" s="10" t="s">
        <v>201</v>
      </c>
      <c r="B20" s="10" t="s">
        <v>213</v>
      </c>
      <c r="C20" s="12">
        <v>7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f>SUM(Table256789[[#This Row],[Diplomas]:[Grade Twelve Transcripts]])</f>
        <v>7</v>
      </c>
    </row>
    <row r="21" spans="1:10" s="9" customFormat="1" x14ac:dyDescent="0.25">
      <c r="A21" s="10" t="s">
        <v>202</v>
      </c>
      <c r="B21" s="10" t="s">
        <v>202</v>
      </c>
      <c r="C21" s="12">
        <v>10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f>SUM(Table256789[[#This Row],[Diplomas]:[Grade Twelve Transcripts]])</f>
        <v>10</v>
      </c>
    </row>
    <row r="22" spans="1:10" ht="15.6" x14ac:dyDescent="0.25">
      <c r="A22" s="10" t="s">
        <v>203</v>
      </c>
      <c r="B22" s="24" t="s">
        <v>216</v>
      </c>
      <c r="C22" s="12">
        <v>37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f>SUM(Table256789[[#This Row],[Diplomas]:[Grade Twelve Transcripts]])</f>
        <v>37</v>
      </c>
    </row>
    <row r="23" spans="1:10" ht="30" x14ac:dyDescent="0.25">
      <c r="A23" s="10" t="s">
        <v>68</v>
      </c>
      <c r="B23" s="10" t="s">
        <v>69</v>
      </c>
      <c r="C23" s="12">
        <v>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f>SUM(Table256789[[#This Row],[Diplomas]:[Grade Twelve Transcripts]])</f>
        <v>2</v>
      </c>
    </row>
    <row r="24" spans="1:10" x14ac:dyDescent="0.25">
      <c r="A24" s="10" t="s">
        <v>70</v>
      </c>
      <c r="B24" s="10" t="s">
        <v>71</v>
      </c>
      <c r="C24" s="12">
        <v>15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f>SUM(Table256789[[#This Row],[Diplomas]:[Grade Twelve Transcripts]])</f>
        <v>15</v>
      </c>
    </row>
    <row r="25" spans="1:10" x14ac:dyDescent="0.25">
      <c r="A25" s="10" t="s">
        <v>72</v>
      </c>
      <c r="B25" s="10" t="s">
        <v>73</v>
      </c>
      <c r="C25" s="12">
        <v>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f>SUM(Table256789[[#This Row],[Diplomas]:[Grade Twelve Transcripts]])</f>
        <v>1</v>
      </c>
    </row>
    <row r="26" spans="1:10" x14ac:dyDescent="0.25">
      <c r="A26" s="10" t="s">
        <v>204</v>
      </c>
      <c r="B26" s="10" t="s">
        <v>214</v>
      </c>
      <c r="C26" s="12">
        <v>60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f>SUM(Table256789[[#This Row],[Diplomas]:[Grade Twelve Transcripts]])</f>
        <v>60</v>
      </c>
    </row>
    <row r="27" spans="1:10" ht="16.2" customHeight="1" x14ac:dyDescent="0.25">
      <c r="A27" s="10" t="s">
        <v>74</v>
      </c>
      <c r="B27" s="10" t="s">
        <v>75</v>
      </c>
      <c r="C27" s="12">
        <v>34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f>SUM(Table256789[[#This Row],[Diplomas]:[Grade Twelve Transcripts]])</f>
        <v>34</v>
      </c>
    </row>
    <row r="28" spans="1:10" x14ac:dyDescent="0.25">
      <c r="A28" s="10" t="s">
        <v>76</v>
      </c>
      <c r="B28" s="10" t="s">
        <v>77</v>
      </c>
      <c r="C28" s="12">
        <v>550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f>SUM(Table256789[[#This Row],[Diplomas]:[Grade Twelve Transcripts]])</f>
        <v>550</v>
      </c>
    </row>
    <row r="29" spans="1:10" ht="15.6" x14ac:dyDescent="0.25">
      <c r="A29" s="10" t="s">
        <v>354</v>
      </c>
      <c r="B29" s="13">
        <f>COUNTA(_xlfn.TEXTSPLIT(B4,";"))+COUNTA(_xlfn.TEXTSPLIT(B5,";"))+COUNTA(_xlfn.TEXTSPLIT(B6,";"))+COUNTA(_xlfn.TEXTSPLIT(B7,";"))+COUNTA(_xlfn.TEXTSPLIT(B8,";"))+COUNTA(_xlfn.TEXTSPLIT(B9,";"))+COUNTA(_xlfn.TEXTSPLIT(B10,";"))+COUNTA(_xlfn.TEXTSPLIT(B11,";"))+COUNTA(_xlfn.TEXTSPLIT(B12,";"))+COUNTA(_xlfn.TEXTSPLIT(B13,";"))+COUNTA(_xlfn.TEXTSPLIT(B14,";"))+COUNTA(_xlfn.TEXTSPLIT(B15,";"))+COUNTA(_xlfn.TEXTSPLIT(B16,";"))+COUNTA(_xlfn.TEXTSPLIT(B17,";"))+COUNTA(_xlfn.TEXTSPLIT(B18,";"))+COUNTA(_xlfn.TEXTSPLIT(B19,";"))+COUNTA(_xlfn.TEXTSPLIT(B20,";"))+COUNTA(_xlfn.TEXTSPLIT(B21,";"))+COUNTA(_xlfn.TEXTSPLIT(B22,";"))+COUNTA(_xlfn.TEXTSPLIT(B23,";"))+COUNTA(_xlfn.TEXTSPLIT(B24,";"))+COUNTA(_xlfn.TEXTSPLIT(B25,";"))+COUNTA(_xlfn.TEXTSPLIT(B26,";"))+COUNTA(_xlfn.TEXTSPLIT(B27,";"))+COUNTA(_xlfn.TEXTSPLIT(B28,";"))</f>
        <v>93</v>
      </c>
      <c r="C29" s="12">
        <f>SUBTOTAL(109,Table256789[Diplomas])</f>
        <v>3664</v>
      </c>
      <c r="D29" s="12">
        <f>SUBTOTAL(109,Table256789[Alternate High School Diplomas])</f>
        <v>15</v>
      </c>
      <c r="E29" s="12">
        <f>SUBTOTAL(109,Table256789[General Education Development Certificates])</f>
        <v>2</v>
      </c>
      <c r="F29" s="12">
        <f>SUBTOTAL(109,Table256789[Certificates of Completion])</f>
        <v>55</v>
      </c>
      <c r="G29" s="12">
        <f>SUBTOTAL(109,Table256789[Grade Ten Transcripts])</f>
        <v>0</v>
      </c>
      <c r="H29" s="12">
        <f>SUBTOTAL(109,Table256789[Grade Eleven Transcripts])</f>
        <v>0</v>
      </c>
      <c r="I29" s="12">
        <f>SUBTOTAL(109,Table256789[Grade Twelve Transcripts])</f>
        <v>0</v>
      </c>
      <c r="J29" s="12">
        <f>SUBTOTAL(109,Table256789[Seal Total])</f>
        <v>3736</v>
      </c>
    </row>
    <row r="30" spans="1:10" x14ac:dyDescent="0.25">
      <c r="A30" s="9"/>
      <c r="B30" s="9"/>
      <c r="C30" s="9"/>
      <c r="D30" s="9"/>
      <c r="E30" s="9"/>
      <c r="F30" s="9"/>
      <c r="G30" s="9"/>
      <c r="H30" s="9"/>
    </row>
    <row r="32" spans="1:10" x14ac:dyDescent="0.25">
      <c r="G32" s="9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County Totals</vt:lpstr>
      <vt:lpstr>Alameda</vt:lpstr>
      <vt:lpstr>Contra Costa</vt:lpstr>
      <vt:lpstr>El Dorado</vt:lpstr>
      <vt:lpstr>Fresno</vt:lpstr>
      <vt:lpstr>Glenn</vt:lpstr>
      <vt:lpstr>Humboldt</vt:lpstr>
      <vt:lpstr>Kern</vt:lpstr>
      <vt:lpstr>Los Angeles</vt:lpstr>
      <vt:lpstr>Madera</vt:lpstr>
      <vt:lpstr>Mendocino</vt:lpstr>
      <vt:lpstr>Monterey</vt:lpstr>
      <vt:lpstr>Napa</vt:lpstr>
      <vt:lpstr>Nevada</vt:lpstr>
      <vt:lpstr>Orange</vt:lpstr>
      <vt:lpstr>Placer</vt:lpstr>
      <vt:lpstr>Riverside</vt:lpstr>
      <vt:lpstr>Sacramento</vt:lpstr>
      <vt:lpstr>San Benito</vt:lpstr>
      <vt:lpstr>San Bernardino</vt:lpstr>
      <vt:lpstr>San Diego</vt:lpstr>
      <vt:lpstr>San Joaquin</vt:lpstr>
      <vt:lpstr>San Luis Obispo</vt:lpstr>
      <vt:lpstr>San Mateo</vt:lpstr>
      <vt:lpstr>Santa Barbara</vt:lpstr>
      <vt:lpstr>Santa Clara</vt:lpstr>
      <vt:lpstr>Santa Cruz</vt:lpstr>
      <vt:lpstr>Shasta</vt:lpstr>
      <vt:lpstr>Solano</vt:lpstr>
      <vt:lpstr>Sonoma</vt:lpstr>
      <vt:lpstr>Stanislaus</vt:lpstr>
      <vt:lpstr>Tulare</vt:lpstr>
      <vt:lpstr>Ventura</vt:lpstr>
      <vt:lpstr>Yolo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SSCE Participation Data 2024–25 - Professional Learning (CA Dept of Education)</dc:title>
  <dc:subject>This spreadsheet provides 2024–25 county, district, and school participation information totals for the State Seal of Civic Engagement program</dc:subject>
  <dc:creator/>
  <cp:keywords/>
  <dc:description/>
  <cp:lastModifiedBy/>
  <cp:revision>1</cp:revision>
  <dcterms:created xsi:type="dcterms:W3CDTF">2025-10-28T17:31:34Z</dcterms:created>
  <dcterms:modified xsi:type="dcterms:W3CDTF">2025-11-10T23:49:48Z</dcterms:modified>
  <cp:category/>
  <cp:contentStatus/>
</cp:coreProperties>
</file>