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8C648695-0299-4452-A96C-C31A7C7F9F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mmary" sheetId="2" r:id="rId1"/>
    <sheet name="1. PA and EPA" sheetId="4" r:id="rId2"/>
    <sheet name="2. State Categorical" sheetId="3" r:id="rId3"/>
    <sheet name="3. Lottery" sheetId="5" r:id="rId4"/>
    <sheet name="4. Federal Programs" sheetId="7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1" i="3" l="1"/>
  <c r="V8" i="3"/>
  <c r="D9" i="2"/>
  <c r="E9" i="2"/>
  <c r="F9" i="2"/>
  <c r="G9" i="2"/>
  <c r="H9" i="2"/>
  <c r="I9" i="2"/>
  <c r="J9" i="2"/>
  <c r="K9" i="2"/>
  <c r="L9" i="2"/>
  <c r="M9" i="2"/>
  <c r="N9" i="2"/>
  <c r="C9" i="2"/>
  <c r="D8" i="2"/>
  <c r="E8" i="2"/>
  <c r="F8" i="2"/>
  <c r="G8" i="2"/>
  <c r="H8" i="2"/>
  <c r="I8" i="2"/>
  <c r="J8" i="2"/>
  <c r="K8" i="2"/>
  <c r="L8" i="2"/>
  <c r="M8" i="2"/>
  <c r="N8" i="2"/>
  <c r="C8" i="2"/>
  <c r="N7" i="2"/>
  <c r="D7" i="2"/>
  <c r="E7" i="2"/>
  <c r="F7" i="2"/>
  <c r="G7" i="2"/>
  <c r="H7" i="2"/>
  <c r="I7" i="2"/>
  <c r="J7" i="2"/>
  <c r="K7" i="2"/>
  <c r="L7" i="2"/>
  <c r="M7" i="2"/>
  <c r="C7" i="2"/>
  <c r="V27" i="3"/>
  <c r="V28" i="3"/>
  <c r="V26" i="3"/>
  <c r="V16" i="3"/>
  <c r="V22" i="3"/>
  <c r="V20" i="3"/>
  <c r="V25" i="3"/>
  <c r="V7" i="3"/>
  <c r="V30" i="3"/>
  <c r="V18" i="3"/>
  <c r="V19" i="3"/>
  <c r="V17" i="3"/>
  <c r="V14" i="3"/>
  <c r="V13" i="3"/>
  <c r="U7" i="4"/>
  <c r="U15" i="4"/>
  <c r="U14" i="4"/>
  <c r="U12" i="4"/>
  <c r="U11" i="4"/>
  <c r="U10" i="4"/>
  <c r="U8" i="4"/>
  <c r="U6" i="4"/>
  <c r="V32" i="3"/>
  <c r="V29" i="3"/>
  <c r="V24" i="3"/>
  <c r="V23" i="3"/>
  <c r="V21" i="3"/>
  <c r="V15" i="3"/>
  <c r="V12" i="3"/>
  <c r="V9" i="3"/>
  <c r="V10" i="3"/>
  <c r="V6" i="3"/>
  <c r="U5" i="5"/>
  <c r="V27" i="7"/>
  <c r="V24" i="7"/>
  <c r="V21" i="7"/>
  <c r="V18" i="7"/>
  <c r="V15" i="7"/>
  <c r="V12" i="7"/>
  <c r="V9" i="7"/>
  <c r="A21" i="4"/>
  <c r="U9" i="4"/>
  <c r="U13" i="4"/>
  <c r="U16" i="4"/>
  <c r="V11" i="3"/>
  <c r="A33" i="7"/>
  <c r="J33" i="3"/>
  <c r="C10" i="2" s="1"/>
  <c r="K33" i="3"/>
  <c r="D10" i="2" s="1"/>
  <c r="L33" i="3"/>
  <c r="E10" i="2" s="1"/>
  <c r="M33" i="3"/>
  <c r="F10" i="2" s="1"/>
  <c r="N33" i="3"/>
  <c r="G10" i="2" s="1"/>
  <c r="O33" i="3"/>
  <c r="H10" i="2" s="1"/>
  <c r="P33" i="3"/>
  <c r="I10" i="2" s="1"/>
  <c r="Q33" i="3"/>
  <c r="J10" i="2" s="1"/>
  <c r="R33" i="3"/>
  <c r="K10" i="2" s="1"/>
  <c r="S33" i="3"/>
  <c r="L10" i="2" s="1"/>
  <c r="T33" i="3"/>
  <c r="M10" i="2" s="1"/>
  <c r="U33" i="3"/>
  <c r="N10" i="2" s="1"/>
  <c r="A37" i="3"/>
  <c r="V17" i="7"/>
  <c r="V11" i="7"/>
  <c r="V13" i="7"/>
  <c r="V28" i="7"/>
  <c r="V26" i="7"/>
  <c r="V8" i="7"/>
  <c r="V23" i="7"/>
  <c r="V20" i="7"/>
  <c r="U29" i="7"/>
  <c r="N12" i="2" s="1"/>
  <c r="I17" i="4"/>
  <c r="J29" i="7"/>
  <c r="C12" i="2" s="1"/>
  <c r="V25" i="7"/>
  <c r="V22" i="7"/>
  <c r="V19" i="7"/>
  <c r="V16" i="7"/>
  <c r="V14" i="7"/>
  <c r="V10" i="7"/>
  <c r="V7" i="7"/>
  <c r="A11" i="5"/>
  <c r="U6" i="5"/>
  <c r="K29" i="7"/>
  <c r="D12" i="2" s="1"/>
  <c r="L29" i="7"/>
  <c r="E12" i="2" s="1"/>
  <c r="M29" i="7"/>
  <c r="F12" i="2" s="1"/>
  <c r="N29" i="7"/>
  <c r="G12" i="2" s="1"/>
  <c r="O29" i="7"/>
  <c r="H12" i="2" s="1"/>
  <c r="P29" i="7"/>
  <c r="I12" i="2" s="1"/>
  <c r="Q29" i="7"/>
  <c r="J12" i="2" s="1"/>
  <c r="R29" i="7"/>
  <c r="K12" i="2" s="1"/>
  <c r="S29" i="7"/>
  <c r="L12" i="2" s="1"/>
  <c r="T29" i="7"/>
  <c r="M12" i="2" s="1"/>
  <c r="I7" i="5"/>
  <c r="C11" i="2" s="1"/>
  <c r="J7" i="5"/>
  <c r="D11" i="2" s="1"/>
  <c r="K7" i="5"/>
  <c r="E11" i="2" s="1"/>
  <c r="L7" i="5"/>
  <c r="F11" i="2" s="1"/>
  <c r="M7" i="5"/>
  <c r="G11" i="2" s="1"/>
  <c r="N7" i="5"/>
  <c r="H11" i="2" s="1"/>
  <c r="O7" i="5"/>
  <c r="I11" i="2" s="1"/>
  <c r="P7" i="5"/>
  <c r="J11" i="2" s="1"/>
  <c r="Q7" i="5"/>
  <c r="R7" i="5"/>
  <c r="S7" i="5"/>
  <c r="M11" i="2" s="1"/>
  <c r="T7" i="5"/>
  <c r="N11" i="2" s="1"/>
  <c r="J17" i="4"/>
  <c r="K17" i="4"/>
  <c r="L17" i="4"/>
  <c r="M17" i="4"/>
  <c r="N17" i="4"/>
  <c r="O17" i="4"/>
  <c r="P17" i="4"/>
  <c r="Q17" i="4"/>
  <c r="R17" i="4"/>
  <c r="S17" i="4"/>
  <c r="T17" i="4"/>
  <c r="K11" i="2"/>
  <c r="L11" i="2"/>
  <c r="O7" i="2" l="1"/>
  <c r="O9" i="2"/>
  <c r="O8" i="2"/>
  <c r="U17" i="4"/>
  <c r="V33" i="3"/>
  <c r="O11" i="2"/>
  <c r="U7" i="5"/>
  <c r="V29" i="7"/>
  <c r="O12" i="2"/>
  <c r="K13" i="2"/>
  <c r="M13" i="2"/>
  <c r="N13" i="2"/>
  <c r="G13" i="2"/>
  <c r="O10" i="2"/>
  <c r="L13" i="2"/>
  <c r="J13" i="2"/>
  <c r="I13" i="2"/>
  <c r="H13" i="2"/>
  <c r="F13" i="2"/>
  <c r="D13" i="2"/>
  <c r="E13" i="2"/>
  <c r="C13" i="2"/>
  <c r="O13" i="2" l="1"/>
</calcChain>
</file>

<file path=xl/sharedStrings.xml><?xml version="1.0" encoding="utf-8"?>
<sst xmlns="http://schemas.openxmlformats.org/spreadsheetml/2006/main" count="565" uniqueCount="185">
  <si>
    <t>ESTIMATED CASH FLOW, SELECT PROGRAMS, FISCAL YEAR 2026-27</t>
  </si>
  <si>
    <t>Dollar amounts in monthly columns are in millions.</t>
  </si>
  <si>
    <t>Contact the Categorical Allocations and Audit Resolutions Office for additional information or questions at:</t>
  </si>
  <si>
    <t>CAAR@cde.ca.gov</t>
  </si>
  <si>
    <r>
      <rPr>
        <b/>
        <sz val="12"/>
        <rFont val="Arial"/>
        <family val="2"/>
      </rPr>
      <t>TBD</t>
    </r>
    <r>
      <rPr>
        <sz val="12"/>
        <rFont val="Arial"/>
        <family val="2"/>
      </rPr>
      <t>: To be determined.</t>
    </r>
  </si>
  <si>
    <t>Sheet</t>
  </si>
  <si>
    <t>Apportionment Type</t>
  </si>
  <si>
    <t>July 2026</t>
  </si>
  <si>
    <t>Aug 2026</t>
  </si>
  <si>
    <t>Sept 2026</t>
  </si>
  <si>
    <t>Oct 2026</t>
  </si>
  <si>
    <t>Nov 2026</t>
  </si>
  <si>
    <t>Dec 2026</t>
  </si>
  <si>
    <t>Jan 2027</t>
  </si>
  <si>
    <t>Feb 2027</t>
  </si>
  <si>
    <t>Mar 2027</t>
  </si>
  <si>
    <t>April 2027</t>
  </si>
  <si>
    <t>May 2027</t>
  </si>
  <si>
    <t>June 2027</t>
  </si>
  <si>
    <t>Total</t>
  </si>
  <si>
    <t>Principal Apportionment</t>
  </si>
  <si>
    <t>Education Protection Account</t>
  </si>
  <si>
    <t>Charter School Special Advance</t>
  </si>
  <si>
    <t>State Categorical Apportionments (Non-Principal Apportionment)</t>
  </si>
  <si>
    <t>Lottery Apportionments</t>
  </si>
  <si>
    <t>Federal Categorical Apportionments</t>
  </si>
  <si>
    <t xml:space="preserve"> Total </t>
  </si>
  <si>
    <t>Prepared by: Taylor Uda</t>
  </si>
  <si>
    <t>California Department of Education</t>
  </si>
  <si>
    <t>School Fiscal Services Division</t>
  </si>
  <si>
    <r>
      <rPr>
        <b/>
        <sz val="14"/>
        <color rgb="FF000000"/>
        <rFont val="Arial"/>
        <family val="2"/>
      </rPr>
      <t>Estimated Cash Flow, Principal Apportionment and Education Protection Account, Fiscal Year</t>
    </r>
    <r>
      <rPr>
        <b/>
        <sz val="14"/>
        <color theme="1"/>
        <rFont val="Arial"/>
        <family val="2"/>
      </rPr>
      <t xml:space="preserve"> 2026-27</t>
    </r>
  </si>
  <si>
    <r>
      <rPr>
        <vertAlign val="superscript"/>
        <sz val="12"/>
        <color rgb="FF000000"/>
        <rFont val="Arial"/>
        <family val="2"/>
      </rPr>
      <t xml:space="preserve"> 1</t>
    </r>
    <r>
      <rPr>
        <sz val="12"/>
        <color rgb="FF000000"/>
        <rFont val="Arial"/>
        <family val="2"/>
      </rPr>
      <t>Funding for these programs is included in the Principal Apportionment.</t>
    </r>
  </si>
  <si>
    <r>
      <rPr>
        <b/>
        <sz val="12"/>
        <color rgb="FF000000"/>
        <rFont val="Arial"/>
        <family val="2"/>
      </rPr>
      <t>EC:</t>
    </r>
    <r>
      <rPr>
        <sz val="12"/>
        <color rgb="FF000000"/>
        <rFont val="Arial"/>
        <family val="2"/>
      </rPr>
      <t xml:space="preserve"> Education Code; </t>
    </r>
    <r>
      <rPr>
        <b/>
        <sz val="12"/>
        <color rgb="FF000000"/>
        <rFont val="Arial"/>
        <family val="2"/>
      </rPr>
      <t>PCA:</t>
    </r>
    <r>
      <rPr>
        <sz val="12"/>
        <color rgb="FF000000"/>
        <rFont val="Arial"/>
        <family val="2"/>
      </rPr>
      <t xml:space="preserve"> Program Cost Account; </t>
    </r>
    <r>
      <rPr>
        <b/>
        <sz val="12"/>
        <color rgb="FF000000"/>
        <rFont val="Arial"/>
        <family val="2"/>
      </rPr>
      <t>SACS</t>
    </r>
    <r>
      <rPr>
        <sz val="12"/>
        <color rgb="FF000000"/>
        <rFont val="Arial"/>
        <family val="2"/>
      </rPr>
      <t xml:space="preserve">: Standardized Account Code Structure; </t>
    </r>
    <r>
      <rPr>
        <b/>
        <sz val="12"/>
        <color rgb="FF000000"/>
        <rFont val="Arial"/>
        <family val="2"/>
      </rPr>
      <t>TBD:</t>
    </r>
    <r>
      <rPr>
        <sz val="12"/>
        <color rgb="FF000000"/>
        <rFont val="Arial"/>
        <family val="2"/>
      </rPr>
      <t xml:space="preserve"> To be determined.</t>
    </r>
  </si>
  <si>
    <t>PCA</t>
  </si>
  <si>
    <t>Budget Item Number or Authority</t>
  </si>
  <si>
    <t>State Budget Authority</t>
  </si>
  <si>
    <t>Fiscal
Year</t>
  </si>
  <si>
    <t>Apportionment Title</t>
  </si>
  <si>
    <t>SACS 
Res. 
Codes</t>
  </si>
  <si>
    <t>Fiscal Contact
 Email</t>
  </si>
  <si>
    <t>Payment Schedule
(percent)</t>
  </si>
  <si>
    <t>Various</t>
  </si>
  <si>
    <t>Continuous</t>
  </si>
  <si>
    <t>26-27</t>
  </si>
  <si>
    <t>0000</t>
  </si>
  <si>
    <t>PASE@cde.ca.gov</t>
  </si>
  <si>
    <t>EC 14041</t>
  </si>
  <si>
    <t>TBD</t>
  </si>
  <si>
    <t>25-26</t>
  </si>
  <si>
    <t>Principal Apportionment 2025-26 Deferred Payment</t>
  </si>
  <si>
    <t>EC 14041 and 14041.6</t>
  </si>
  <si>
    <t>1400</t>
  </si>
  <si>
    <t>Quarterly</t>
  </si>
  <si>
    <t>23100 &amp; 23833 &amp; 24536 &amp; 25455</t>
  </si>
  <si>
    <t xml:space="preserve">6100-161-0001 </t>
  </si>
  <si>
    <r>
      <rPr>
        <sz val="12"/>
        <color rgb="FF000000"/>
        <rFont val="Arial"/>
        <family val="2"/>
      </rPr>
      <t>Special Education (AB 602, Infant, Mental Health, &amp; Early Ed Intervention Preschool Grant)</t>
    </r>
    <r>
      <rPr>
        <vertAlign val="superscript"/>
        <sz val="12"/>
        <color rgb="FF000000"/>
        <rFont val="Arial"/>
        <family val="2"/>
      </rPr>
      <t>1</t>
    </r>
  </si>
  <si>
    <t>6500/6510/
6546/6547</t>
  </si>
  <si>
    <t>6100-158-0001</t>
  </si>
  <si>
    <r>
      <t>Adults in Correctional Facilities</t>
    </r>
    <r>
      <rPr>
        <vertAlign val="superscript"/>
        <sz val="12"/>
        <color rgb="FF000000"/>
        <rFont val="Arial"/>
        <family val="2"/>
      </rPr>
      <t>1</t>
    </r>
  </si>
  <si>
    <t>6015</t>
  </si>
  <si>
    <t>EC 47652</t>
  </si>
  <si>
    <r>
      <t>Home-to-School Transportation Reimbursement</t>
    </r>
    <r>
      <rPr>
        <vertAlign val="superscript"/>
        <sz val="12"/>
        <color rgb="FF000000"/>
        <rFont val="Arial"/>
        <family val="2"/>
      </rPr>
      <t>1</t>
    </r>
  </si>
  <si>
    <t>6100-110-0001</t>
  </si>
  <si>
    <r>
      <rPr>
        <sz val="12"/>
        <color rgb="FF000000"/>
        <rFont val="Arial"/>
        <family val="2"/>
      </rPr>
      <t>Expanded Learning Opportunities Program</t>
    </r>
    <r>
      <rPr>
        <vertAlign val="superscript"/>
        <sz val="12"/>
        <color rgb="FF000000"/>
        <rFont val="Arial"/>
        <family val="2"/>
      </rPr>
      <t>1</t>
    </r>
  </si>
  <si>
    <t>EC 8820</t>
  </si>
  <si>
    <r>
      <rPr>
        <sz val="12"/>
        <color rgb="FF000000"/>
        <rFont val="Arial"/>
        <family val="2"/>
      </rPr>
      <t>Arts and Music in Schools (Proposition 28)</t>
    </r>
    <r>
      <rPr>
        <vertAlign val="superscript"/>
        <sz val="12"/>
        <color rgb="FF000000"/>
        <rFont val="Arial"/>
        <family val="2"/>
      </rPr>
      <t>1</t>
    </r>
  </si>
  <si>
    <t>EC 42238.024</t>
  </si>
  <si>
    <r>
      <rPr>
        <sz val="12"/>
        <color rgb="FF000000"/>
        <rFont val="Arial"/>
        <family val="2"/>
      </rPr>
      <t>Local Control Funding Formula Equity Multiplier</t>
    </r>
    <r>
      <rPr>
        <vertAlign val="superscript"/>
        <sz val="12"/>
        <color rgb="FF000000"/>
        <rFont val="Arial"/>
        <family val="2"/>
      </rPr>
      <t>1</t>
    </r>
  </si>
  <si>
    <t>EC 2575.5</t>
  </si>
  <si>
    <r>
      <rPr>
        <sz val="12"/>
        <color rgb="FF000000"/>
        <rFont val="Arial"/>
        <family val="2"/>
      </rPr>
      <t>County Office of Education Student Support and Enrichment Block Grant</t>
    </r>
    <r>
      <rPr>
        <vertAlign val="superscript"/>
        <sz val="12"/>
        <color rgb="FF000000"/>
        <rFont val="Arial"/>
        <family val="2"/>
      </rPr>
      <t>1</t>
    </r>
  </si>
  <si>
    <t>Total Principal Apportionment Payments</t>
  </si>
  <si>
    <t>Estimated Cash Flow, State Categorical Apportionments, Fiscal Year 2026-27</t>
  </si>
  <si>
    <t>1) Payment is split over 2 Fiscal years.  $9 million will be paid in FY 2025-26 and the remaining $90 million will be paid in FY 2026-27.</t>
  </si>
  <si>
    <r>
      <rPr>
        <b/>
        <sz val="12"/>
        <color rgb="FF000000"/>
        <rFont val="Arial"/>
        <family val="2"/>
      </rPr>
      <t xml:space="preserve">AB: </t>
    </r>
    <r>
      <rPr>
        <sz val="12"/>
        <color rgb="FF000000"/>
        <rFont val="Arial"/>
        <family val="2"/>
      </rPr>
      <t>Assembly Bill;</t>
    </r>
    <r>
      <rPr>
        <b/>
        <sz val="12"/>
        <color rgb="FF000000"/>
        <rFont val="Arial"/>
        <family val="2"/>
      </rPr>
      <t xml:space="preserve"> Ch: </t>
    </r>
    <r>
      <rPr>
        <sz val="12"/>
        <color rgb="FF000000"/>
        <rFont val="Arial"/>
        <family val="2"/>
      </rPr>
      <t xml:space="preserve">Chapter; </t>
    </r>
    <r>
      <rPr>
        <b/>
        <sz val="12"/>
        <color rgb="FF000000"/>
        <rFont val="Arial"/>
        <family val="2"/>
      </rPr>
      <t>EC:</t>
    </r>
    <r>
      <rPr>
        <sz val="12"/>
        <color rgb="FF000000"/>
        <rFont val="Arial"/>
        <family val="2"/>
      </rPr>
      <t xml:space="preserve"> Education Code; </t>
    </r>
    <r>
      <rPr>
        <b/>
        <sz val="12"/>
        <color rgb="FF000000"/>
        <rFont val="Arial"/>
        <family val="2"/>
      </rPr>
      <t>PCA:</t>
    </r>
    <r>
      <rPr>
        <sz val="12"/>
        <color rgb="FF000000"/>
        <rFont val="Arial"/>
        <family val="2"/>
      </rPr>
      <t xml:space="preserve"> Program Cost Account;</t>
    </r>
    <r>
      <rPr>
        <b/>
        <sz val="12"/>
        <color rgb="FF000000"/>
        <rFont val="Arial"/>
        <family val="2"/>
      </rPr>
      <t xml:space="preserve"> ROCP:</t>
    </r>
    <r>
      <rPr>
        <sz val="12"/>
        <color rgb="FF000000"/>
        <rFont val="Arial"/>
        <family val="2"/>
      </rPr>
      <t xml:space="preserve"> Regional Occupational Center or Program; </t>
    </r>
    <r>
      <rPr>
        <b/>
        <sz val="12"/>
        <color rgb="FF000000"/>
        <rFont val="Arial"/>
        <family val="2"/>
      </rPr>
      <t>SACS</t>
    </r>
    <r>
      <rPr>
        <sz val="12"/>
        <color rgb="FF000000"/>
        <rFont val="Arial"/>
        <family val="2"/>
      </rPr>
      <t xml:space="preserve">: Standardized Account Code Structure; </t>
    </r>
    <r>
      <rPr>
        <b/>
        <sz val="12"/>
        <color rgb="FF000000"/>
        <rFont val="Arial"/>
        <family val="2"/>
      </rPr>
      <t>SB</t>
    </r>
    <r>
      <rPr>
        <sz val="12"/>
        <color rgb="FF000000"/>
        <rFont val="Arial"/>
        <family val="2"/>
      </rPr>
      <t xml:space="preserve">: Senate Bill; </t>
    </r>
    <r>
      <rPr>
        <b/>
        <sz val="12"/>
        <color rgb="FF000000"/>
        <rFont val="Arial"/>
        <family val="2"/>
      </rPr>
      <t>TBD:</t>
    </r>
    <r>
      <rPr>
        <sz val="12"/>
        <color rgb="FF000000"/>
        <rFont val="Arial"/>
        <family val="2"/>
      </rPr>
      <t xml:space="preserve"> To be determined. </t>
    </r>
  </si>
  <si>
    <t>State Budget Appropriation</t>
  </si>
  <si>
    <t>Remaining Balance Available
As of July 1, 2026</t>
  </si>
  <si>
    <t>Fiscal Contact
 E-mail</t>
  </si>
  <si>
    <t>Payment Schedule</t>
  </si>
  <si>
    <t>25392 &amp; 25394</t>
  </si>
  <si>
    <t>6100-106-0001 of Budget Act of 2026, AB 109 (Ch. 19, 2026)</t>
  </si>
  <si>
    <t>California Collaborative for Educational Excellence (Marin County Office of Education)</t>
  </si>
  <si>
    <t>100</t>
  </si>
  <si>
    <t>6100-156-0001 (2) of Budget Act of 2026, AB 109 (Ch. 19, 2026)</t>
  </si>
  <si>
    <t>CalWORKs for Adult Education Programs</t>
  </si>
  <si>
    <t>23550</t>
  </si>
  <si>
    <t>6100-105-0001 (1), 
Prov. 2 of Budget Act of 2026, AB 109 (Ch. 19, 2026)</t>
  </si>
  <si>
    <t>CalWORKs for ROCPs and Adult Education Programs</t>
  </si>
  <si>
    <t>6371</t>
  </si>
  <si>
    <t>24-25</t>
  </si>
  <si>
    <t>Classified School Employee Summer Assistance Program</t>
  </si>
  <si>
    <t>CSESAP@cde.ca.gov</t>
  </si>
  <si>
    <r>
      <t>9/90</t>
    </r>
    <r>
      <rPr>
        <vertAlign val="superscript"/>
        <sz val="12"/>
        <color theme="1"/>
        <rFont val="Arial"/>
        <family val="2"/>
      </rPr>
      <t>1</t>
    </r>
  </si>
  <si>
    <t>August 2027</t>
  </si>
  <si>
    <t>Item 6100-220-0001 of AB 109 (Ch. 19, Statutes of 2026)</t>
  </si>
  <si>
    <t>August 2028</t>
  </si>
  <si>
    <t>23634, 25466, 24230, 24003, 24570, 23759, &amp; 23760</t>
  </si>
  <si>
    <t>Item 6100-107-0001 of Budget Act of 2026, AB 109 (Ch. 19, 2026)
Various Schedules and Provisions</t>
  </si>
  <si>
    <t>Fiscal Crisis &amp; Management Assistance Team (Kern County Office of Education)</t>
  </si>
  <si>
    <t>Sec. 151 of AB 126 (Ch. 65, 2026)</t>
  </si>
  <si>
    <t>Fiscal Crisis &amp; Management Assistance Team Offset (Kern County Office of Education)</t>
  </si>
  <si>
    <t>Learning Recovery Emergency Block Grant</t>
  </si>
  <si>
    <t>Literacy Coaches and Reading Specialists Grant</t>
  </si>
  <si>
    <t>Sections 15 and 83 of AB 121 (Ch. 8, 2025)</t>
  </si>
  <si>
    <t>Literacy Instruction Professional Development</t>
  </si>
  <si>
    <t>Literacy Screenings Professional Development</t>
  </si>
  <si>
    <t>6100-296-0001 of Budget Act of 2026, AB 109 (Ch. 19, 2026)</t>
  </si>
  <si>
    <t>Mandate Block Grant</t>
  </si>
  <si>
    <t>Mandate@cde.ca.gov</t>
  </si>
  <si>
    <t>Pasadena Unified Wildfire District Support</t>
  </si>
  <si>
    <t>Reversing Opioid Overdose</t>
  </si>
  <si>
    <t>SACS Maintenance &amp; Operations Support (Kern County Office of Education)</t>
  </si>
  <si>
    <t>Secondary School Redesign Pilot Program (California Collaborative for Educational Excellence)</t>
  </si>
  <si>
    <t>6100-122-0001, Prov. 1 of Budget Act of 2026, AB 109 (Ch. 19, 2026)</t>
  </si>
  <si>
    <t>Specialized Secondary Programs Operated in Conjunction with the California State University</t>
  </si>
  <si>
    <t>Non-Budget Act Item 6100-628-0001; EC 8820–8822</t>
  </si>
  <si>
    <t>State Special Schools for Arts and Music in Schools</t>
  </si>
  <si>
    <t>State Special Schools for Local Control Funding Formula Entitlements</t>
  </si>
  <si>
    <t>N/A</t>
  </si>
  <si>
    <t>24220 &amp; 25309</t>
  </si>
  <si>
    <t>6100-172-0001 amended by Sec. 131 of SB 111 (Ch. 21, 2026)</t>
  </si>
  <si>
    <t>Student Friendly Services &amp; Online Educational Resources (Riverside County Office of Education)</t>
  </si>
  <si>
    <t>7410/7411</t>
  </si>
  <si>
    <t>Student Support and Professional Development Discretionary Block Grant</t>
  </si>
  <si>
    <t>75/25</t>
  </si>
  <si>
    <t>Unemployment Insurance Management System</t>
  </si>
  <si>
    <t>Total State Apportionments</t>
  </si>
  <si>
    <t>Estimated Cash Flow, Lottery Apportionments, Fiscal Year 2026-27</t>
  </si>
  <si>
    <r>
      <rPr>
        <b/>
        <sz val="12"/>
        <color rgb="FF000000"/>
        <rFont val="Arial"/>
        <family val="2"/>
      </rPr>
      <t>PCA:</t>
    </r>
    <r>
      <rPr>
        <sz val="12"/>
        <color rgb="FF000000"/>
        <rFont val="Arial"/>
        <family val="2"/>
      </rPr>
      <t xml:space="preserve"> Program Cost Account; </t>
    </r>
    <r>
      <rPr>
        <b/>
        <sz val="12"/>
        <color rgb="FF000000"/>
        <rFont val="Arial"/>
        <family val="2"/>
      </rPr>
      <t>SACS</t>
    </r>
    <r>
      <rPr>
        <sz val="12"/>
        <color rgb="FF000000"/>
        <rFont val="Arial"/>
        <family val="2"/>
      </rPr>
      <t xml:space="preserve">: Standardized Account Code Structure; </t>
    </r>
    <r>
      <rPr>
        <b/>
        <sz val="12"/>
        <color rgb="FF000000"/>
        <rFont val="Arial"/>
        <family val="2"/>
      </rPr>
      <t>TBD:</t>
    </r>
    <r>
      <rPr>
        <sz val="12"/>
        <color rgb="FF000000"/>
        <rFont val="Arial"/>
        <family val="2"/>
      </rPr>
      <t xml:space="preserve"> To be determined. </t>
    </r>
  </si>
  <si>
    <t>Unavailable</t>
  </si>
  <si>
    <t>Lottery Funds payment schedule</t>
  </si>
  <si>
    <t>1100/6300</t>
  </si>
  <si>
    <t>Total Lottery Payments</t>
  </si>
  <si>
    <t>Estimated Cash Flow, Federal Categorical Apportionments, Fiscal Year 2026-27</t>
  </si>
  <si>
    <r>
      <rPr>
        <vertAlign val="superscript"/>
        <sz val="12"/>
        <color rgb="FF000000"/>
        <rFont val="Arial"/>
        <family val="2"/>
      </rPr>
      <t xml:space="preserve">1 </t>
    </r>
    <r>
      <rPr>
        <sz val="12"/>
        <color rgb="FF000000"/>
        <rFont val="Arial"/>
        <family val="2"/>
      </rPr>
      <t>Federal apportionments for Title I, Part A; Title I, Part D; Title II, Part A, Title III EL, Title III Immigrant, and Title IV are based on timely reporting of cash balances via the Federal Cash Management Data Collection System.</t>
    </r>
  </si>
  <si>
    <r>
      <rPr>
        <vertAlign val="superscript"/>
        <sz val="12"/>
        <color rgb="FF000000"/>
        <rFont val="Arial"/>
        <family val="2"/>
      </rPr>
      <t xml:space="preserve">2 </t>
    </r>
    <r>
      <rPr>
        <sz val="12"/>
        <color rgb="FF000000"/>
        <rFont val="Arial"/>
        <family val="2"/>
      </rPr>
      <t>Federal apportionments for Comprehensive Support and Improvement (CSI) to local educational agencies (LEAs) are based on timely reporting of expenditures via the Grant Management and Reporting Tool.</t>
    </r>
  </si>
  <si>
    <r>
      <rPr>
        <b/>
        <sz val="12"/>
        <color rgb="FF000000"/>
        <rFont val="Arial"/>
        <family val="2"/>
      </rPr>
      <t xml:space="preserve">AB: </t>
    </r>
    <r>
      <rPr>
        <sz val="12"/>
        <color rgb="FF000000"/>
        <rFont val="Arial"/>
        <family val="2"/>
      </rPr>
      <t xml:space="preserve">Assembly Bill; </t>
    </r>
    <r>
      <rPr>
        <b/>
        <sz val="12"/>
        <color rgb="FF000000"/>
        <rFont val="Arial"/>
        <family val="2"/>
      </rPr>
      <t>SB:</t>
    </r>
    <r>
      <rPr>
        <sz val="12"/>
        <color rgb="FF000000"/>
        <rFont val="Arial"/>
        <family val="2"/>
      </rPr>
      <t xml:space="preserve"> Senate Bill;</t>
    </r>
    <r>
      <rPr>
        <b/>
        <sz val="12"/>
        <color rgb="FF000000"/>
        <rFont val="Arial"/>
        <family val="2"/>
      </rPr>
      <t xml:space="preserve"> Ch: </t>
    </r>
    <r>
      <rPr>
        <sz val="12"/>
        <color rgb="FF000000"/>
        <rFont val="Arial"/>
        <family val="2"/>
      </rPr>
      <t>Chapter;</t>
    </r>
    <r>
      <rPr>
        <b/>
        <sz val="12"/>
        <color rgb="FF000000"/>
        <rFont val="Arial"/>
        <family val="2"/>
      </rPr>
      <t xml:space="preserve"> PCA: </t>
    </r>
    <r>
      <rPr>
        <sz val="12"/>
        <color rgb="FF000000"/>
        <rFont val="Arial"/>
        <family val="2"/>
      </rPr>
      <t xml:space="preserve">Program Cost Account; </t>
    </r>
    <r>
      <rPr>
        <b/>
        <sz val="12"/>
        <color rgb="FF000000"/>
        <rFont val="Arial"/>
        <family val="2"/>
      </rPr>
      <t>SACS</t>
    </r>
    <r>
      <rPr>
        <sz val="12"/>
        <color rgb="FF000000"/>
        <rFont val="Arial"/>
        <family val="2"/>
      </rPr>
      <t xml:space="preserve">: Standardized Account Code Structure; </t>
    </r>
    <r>
      <rPr>
        <b/>
        <sz val="12"/>
        <color rgb="FF000000"/>
        <rFont val="Arial"/>
        <family val="2"/>
      </rPr>
      <t>TBD:</t>
    </r>
    <r>
      <rPr>
        <sz val="12"/>
        <color rgb="FF000000"/>
        <rFont val="Arial"/>
        <family val="2"/>
      </rPr>
      <t xml:space="preserve"> To be determined. </t>
    </r>
  </si>
  <si>
    <r>
      <t>Title I Comprehensive Support and Improvement (CSI), Local Educational Agency (LEA)</t>
    </r>
    <r>
      <rPr>
        <vertAlign val="superscript"/>
        <sz val="12"/>
        <color theme="1"/>
        <rFont val="Arial"/>
        <family val="2"/>
      </rPr>
      <t>2</t>
    </r>
  </si>
  <si>
    <t>6100-134-0890 Sch(2) Prov. 6; AB 109 (Ch 19, 2026)</t>
  </si>
  <si>
    <r>
      <t>Title I, Part A, Basic, Concentration, and Neglected</t>
    </r>
    <r>
      <rPr>
        <vertAlign val="superscript"/>
        <sz val="12"/>
        <rFont val="Arial"/>
        <family val="2"/>
      </rPr>
      <t>1</t>
    </r>
  </si>
  <si>
    <r>
      <t>Title I, Part A, Basic, Concentration, and Neglected</t>
    </r>
    <r>
      <rPr>
        <vertAlign val="superscript"/>
        <sz val="12"/>
        <color theme="1"/>
        <rFont val="Arial"/>
        <family val="2"/>
      </rPr>
      <t>1</t>
    </r>
  </si>
  <si>
    <t>6100-134-0890 (2); AB 109 (Ch 19, 2026)</t>
  </si>
  <si>
    <r>
      <t>Title I, Part D, Subpart 2, Delinquent</t>
    </r>
    <r>
      <rPr>
        <vertAlign val="superscript"/>
        <sz val="12"/>
        <color theme="1"/>
        <rFont val="Arial"/>
        <family val="2"/>
      </rPr>
      <t>1</t>
    </r>
  </si>
  <si>
    <t>6100-195-0890 (1); AB 107 (Ch 22, 2024)</t>
  </si>
  <si>
    <r>
      <t>Title II, Part A - Teacher Quality</t>
    </r>
    <r>
      <rPr>
        <vertAlign val="superscript"/>
        <sz val="12"/>
        <color theme="1"/>
        <rFont val="Arial"/>
        <family val="2"/>
      </rPr>
      <t>1</t>
    </r>
  </si>
  <si>
    <t xml:space="preserve">6100-195-0890 (1); AB 109 (Ch 19, 2026) </t>
  </si>
  <si>
    <t>6100-125-0890 (3); AB 107 (Ch 22, 2024)</t>
  </si>
  <si>
    <r>
      <t>Title III, Part A - Immigrant</t>
    </r>
    <r>
      <rPr>
        <vertAlign val="superscript"/>
        <sz val="12"/>
        <color theme="1"/>
        <rFont val="Arial"/>
        <family val="2"/>
      </rPr>
      <t>1</t>
    </r>
  </si>
  <si>
    <t xml:space="preserve">6100-125-0890 (3); AB 109 (Ch 19, 2026) </t>
  </si>
  <si>
    <r>
      <t>Title III, Part A - English Learner</t>
    </r>
    <r>
      <rPr>
        <vertAlign val="superscript"/>
        <sz val="12"/>
        <color theme="1"/>
        <rFont val="Arial"/>
        <family val="2"/>
      </rPr>
      <t>1</t>
    </r>
  </si>
  <si>
    <r>
      <t>Title IV, Student Support and Academic Achievement</t>
    </r>
    <r>
      <rPr>
        <vertAlign val="superscript"/>
        <sz val="12"/>
        <color theme="1"/>
        <rFont val="Arial"/>
        <family val="2"/>
      </rPr>
      <t>1</t>
    </r>
  </si>
  <si>
    <t>6100-134-0890 (3); AB 109 (Ch 19, 2026)</t>
  </si>
  <si>
    <t xml:space="preserve">6100-137-0890; AB 109 (Ch 19, 2026) </t>
  </si>
  <si>
    <t>Title V, Part B, Subpart 2, Rural and Low-Income School</t>
  </si>
  <si>
    <t>Bi-Annual</t>
  </si>
  <si>
    <t>Total Federal Payments</t>
  </si>
  <si>
    <t>6100-134-0890 Sch(2) Prov. 6; SB 101 (Ch 4, 2025) as amended by AB 107 (Ch 5, 2026)</t>
  </si>
  <si>
    <t>6100-134-0890 (2); SB 101 (Ch 4, 2025) as amended by AB 107 (Ch 5, 2026)</t>
  </si>
  <si>
    <t>6100-134-0890 (3); SB 101 (Ch 4, 2025) as amended by AB 107 (Ch 5, 2026)</t>
  </si>
  <si>
    <t>6100-195-0890 (1); SB 101 (Ch 4, 2025) as amended by SB 105 (Ch 104, 2025)</t>
  </si>
  <si>
    <t>6100-125-0890 (3); SB 101 (Ch 4, 2025) as amended by SB 105 (Ch 104, 2025)</t>
  </si>
  <si>
    <t>6100-134-0890 Sch(2) Prov. 6; AB 107 (Ch 22, 2024) as amended by AB 157 (Ch 994, 2024)</t>
  </si>
  <si>
    <t>6100-134-0890 (2); AB 107 (Ch 22, 2024) as amended by AB 157 (Ch 994, 2024)</t>
  </si>
  <si>
    <t>6100-134-0890 (3); AB 107 (Ch 22, 2024) as amended by AB 157 (Ch 994, 2024)</t>
  </si>
  <si>
    <t>October 2026</t>
  </si>
  <si>
    <t xml:space="preserve">California Community Schools Partnership Program </t>
  </si>
  <si>
    <t>California Community Schools Partnership Program - State Transformational Assistance Center (Sacramento County Office of Education)</t>
  </si>
  <si>
    <t>Authentic Tasks for Learning and Assessment in Science (Los Angeles County Office of Education)</t>
  </si>
  <si>
    <t>Supporting Inclusive Practices (California Collaborative for Educational Excellence)</t>
  </si>
  <si>
    <t>25836, 25837, 25838, 25845, 25850</t>
  </si>
  <si>
    <t xml:space="preserve">Item 6100-220-0001 of AB 107 (Ch. 22, Statutes of 2024) as amended by Sec. 213 of SB 108 (Ch. 35, 2024) </t>
  </si>
  <si>
    <t>Item 6100-220-0001 of SB 101 (Ch. 4, 2025)</t>
  </si>
  <si>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8903; 6100-115-0001 amended by Sec. 128 of SB 111 (Ch. 21, 2026)</t>
    </r>
  </si>
  <si>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8902(k)(1); 6100-488, Prov. 7 amended by Sec. 137 of SB 111 (Ch. 21, 2026)</t>
    </r>
  </si>
  <si>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2580</t>
    </r>
  </si>
  <si>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32526</t>
    </r>
  </si>
  <si>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53009.1</t>
    </r>
  </si>
  <si>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53009.5</t>
    </r>
  </si>
  <si>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46392(h)(2)</t>
    </r>
  </si>
  <si>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49414.8</t>
    </r>
  </si>
  <si>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2581</t>
    </r>
  </si>
  <si>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8902(k)(2); 6100-488, Prov. 7 amended by Sec. 137 of SB 111 (Ch. 21, 2026)</t>
    </r>
  </si>
  <si>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42238.03(e)(2)(C)</t>
    </r>
  </si>
  <si>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44475; 6100-485(1) and 6100-485, Prov. 2 of Budget Act of 2026, AB 109 (Ch. 19, 2026), amended by Sec. 194 of AB 113 (Ch. 248, 2026)</t>
    </r>
  </si>
  <si>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52073.6; Sec. 137 of AB 126 (Ch. 65, 2026), as amended by Sec. 36 of SB 133 (Ch. 250, 2026)</t>
    </r>
  </si>
  <si>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1330(e) &amp; 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</si>
</sst>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  <numFmt numFmtId="165" formatCode="&quot;$&quot;#,##0"/>
    <numFmt numFmtId="166" formatCode="_(&quot;$&quot;* #,##0.0_);_(&quot;$&quot;* \(#,##0.0\);_(&quot;$&quot;* &quot;-&quot;?_);_(@_)"/>
    <numFmt numFmtId="167" formatCode="_(&quot;$&quot;* #,##0_);_(&quot;$&quot;* \(#,##0\);_(&quot;$&quot;* &quot;-&quot;??_);_(@_)"/>
    <numFmt numFmtId="168" formatCode="[$-409]mmmm\ d\,\ yyyy;@"/>
    <numFmt numFmtId="169" formatCode="&quot;$&quot;#,##0.0"/>
    <numFmt numFmtId="170" formatCode="_(&quot;$&quot;* #,##0.0_);_(&quot;$&quot;* \(#,##0.0\);_(&quot;$&quot;* &quot;-&quot;??_);_(@_)"/>
    <numFmt numFmtId="171" formatCode="&quot;$&quot;#,##0.0_);[Red]\(&quot;$&quot;#,##0.0\)"/>
    <numFmt numFmtId="172" formatCode="&quot;$&quot;#,##0.00"/>
  </numFmts>
  <fonts count="25" x14ac:knownFonts="1">
    <font>
      <sz val="12"/>
      <color theme="1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u/>
      <sz val="12"/>
      <color indexed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vertAlign val="superscript"/>
      <sz val="12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2"/>
      <color theme="0" tint="-0.34998626667073579"/>
      <name val="Arial"/>
      <family val="2"/>
    </font>
    <font>
      <sz val="12"/>
      <color rgb="FF8C8C8C"/>
      <name val="Arial"/>
      <family val="2"/>
    </font>
    <font>
      <vertAlign val="superscript"/>
      <sz val="12"/>
      <color theme="1"/>
      <name val="Arial"/>
      <family val="2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sz val="8"/>
      <name val="Arial"/>
      <family val="2"/>
    </font>
    <font>
      <sz val="11"/>
      <color rgb="FFFF6600"/>
      <name val="Calibri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i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theme="6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5" fillId="0" borderId="0" applyNumberFormat="0" applyFill="0" applyAlignment="0" applyProtection="0"/>
    <xf numFmtId="0" fontId="5" fillId="0" borderId="0" applyNumberFormat="0" applyFill="0" applyAlignment="0" applyProtection="0"/>
    <xf numFmtId="0" fontId="5" fillId="0" borderId="0" applyNumberFormat="0" applyFill="0" applyAlignment="0" applyProtection="0"/>
    <xf numFmtId="0" fontId="5" fillId="0" borderId="0" applyNumberFormat="0" applyFill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9" fillId="0" borderId="1" applyNumberFormat="0" applyFill="0" applyAlignment="0" applyProtection="0"/>
  </cellStyleXfs>
  <cellXfs count="122">
    <xf numFmtId="0" fontId="0" fillId="0" borderId="0" xfId="0"/>
    <xf numFmtId="0" fontId="0" fillId="0" borderId="0" xfId="0" applyAlignment="1">
      <alignment horizontal="center"/>
    </xf>
    <xf numFmtId="0" fontId="9" fillId="0" borderId="0" xfId="0" applyFont="1"/>
    <xf numFmtId="0" fontId="0" fillId="2" borderId="0" xfId="0" applyFill="1"/>
    <xf numFmtId="164" fontId="0" fillId="0" borderId="0" xfId="0" applyNumberFormat="1"/>
    <xf numFmtId="167" fontId="10" fillId="0" borderId="0" xfId="2" applyNumberFormat="1" applyFont="1"/>
    <xf numFmtId="0" fontId="9" fillId="0" borderId="2" xfId="0" applyFont="1" applyBorder="1" applyAlignment="1">
      <alignment horizontal="left" vertical="center" wrapText="1"/>
    </xf>
    <xf numFmtId="15" fontId="0" fillId="0" borderId="0" xfId="0" applyNumberFormat="1"/>
    <xf numFmtId="0" fontId="12" fillId="0" borderId="0" xfId="0" applyFont="1"/>
    <xf numFmtId="0" fontId="2" fillId="0" borderId="0" xfId="0" applyFont="1"/>
    <xf numFmtId="0" fontId="6" fillId="0" borderId="0" xfId="4" applyFont="1"/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 wrapText="1"/>
    </xf>
    <xf numFmtId="168" fontId="0" fillId="0" borderId="0" xfId="0" quotePrefix="1" applyNumberFormat="1" applyAlignment="1">
      <alignment horizontal="left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7" applyFill="1" applyBorder="1" applyAlignment="1" applyProtection="1">
      <alignment horizontal="center" vertical="center"/>
    </xf>
    <xf numFmtId="0" fontId="0" fillId="0" borderId="2" xfId="0" applyBorder="1" applyAlignment="1">
      <alignment vertical="center" wrapText="1"/>
    </xf>
    <xf numFmtId="0" fontId="3" fillId="0" borderId="9" xfId="7" applyFill="1" applyBorder="1" applyAlignment="1" applyProtection="1">
      <alignment horizontal="center" vertical="center"/>
    </xf>
    <xf numFmtId="170" fontId="9" fillId="0" borderId="10" xfId="0" applyNumberFormat="1" applyFont="1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164" fontId="5" fillId="0" borderId="2" xfId="0" applyNumberFormat="1" applyFont="1" applyBorder="1" applyAlignment="1">
      <alignment horizontal="right" vertical="center" wrapText="1"/>
    </xf>
    <xf numFmtId="3" fontId="13" fillId="0" borderId="2" xfId="0" applyNumberFormat="1" applyFont="1" applyBorder="1" applyAlignment="1">
      <alignment horizontal="right" vertical="center"/>
    </xf>
    <xf numFmtId="0" fontId="11" fillId="3" borderId="3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 wrapText="1"/>
    </xf>
    <xf numFmtId="49" fontId="11" fillId="3" borderId="4" xfId="0" applyNumberFormat="1" applyFont="1" applyFill="1" applyBorder="1" applyAlignment="1">
      <alignment horizontal="center" wrapText="1"/>
    </xf>
    <xf numFmtId="0" fontId="11" fillId="3" borderId="6" xfId="0" applyFont="1" applyFill="1" applyBorder="1" applyAlignment="1">
      <alignment horizontal="center" wrapText="1"/>
    </xf>
    <xf numFmtId="166" fontId="9" fillId="0" borderId="2" xfId="0" applyNumberFormat="1" applyFont="1" applyBorder="1" applyAlignment="1">
      <alignment horizontal="center" vertical="center"/>
    </xf>
    <xf numFmtId="0" fontId="16" fillId="0" borderId="0" xfId="0" applyFont="1"/>
    <xf numFmtId="165" fontId="0" fillId="0" borderId="2" xfId="0" applyNumberFormat="1" applyBorder="1" applyAlignment="1">
      <alignment horizontal="center" vertical="center"/>
    </xf>
    <xf numFmtId="166" fontId="9" fillId="0" borderId="10" xfId="0" applyNumberFormat="1" applyFont="1" applyBorder="1" applyAlignment="1">
      <alignment vertical="center"/>
    </xf>
    <xf numFmtId="166" fontId="9" fillId="0" borderId="5" xfId="2" applyNumberFormat="1" applyFont="1" applyFill="1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6" fontId="9" fillId="0" borderId="10" xfId="0" applyNumberFormat="1" applyFont="1" applyBorder="1" applyAlignment="1">
      <alignment horizontal="right" vertical="center" wrapText="1"/>
    </xf>
    <xf numFmtId="166" fontId="9" fillId="0" borderId="1" xfId="0" applyNumberFormat="1" applyFont="1" applyBorder="1" applyAlignment="1">
      <alignment horizontal="right" vertical="center" wrapText="1"/>
    </xf>
    <xf numFmtId="0" fontId="19" fillId="0" borderId="0" xfId="0" applyFont="1"/>
    <xf numFmtId="0" fontId="4" fillId="0" borderId="0" xfId="0" applyFont="1"/>
    <xf numFmtId="0" fontId="3" fillId="0" borderId="0" xfId="7" applyAlignment="1" applyProtection="1"/>
    <xf numFmtId="0" fontId="23" fillId="0" borderId="0" xfId="3" applyFont="1" applyFill="1"/>
    <xf numFmtId="0" fontId="21" fillId="0" borderId="0" xfId="0" applyFont="1"/>
    <xf numFmtId="169" fontId="9" fillId="0" borderId="2" xfId="0" applyNumberFormat="1" applyFont="1" applyBorder="1" applyAlignment="1">
      <alignment horizontal="right" vertical="center" wrapText="1"/>
    </xf>
    <xf numFmtId="165" fontId="0" fillId="0" borderId="2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16" fillId="0" borderId="0" xfId="0" applyFont="1" applyAlignment="1">
      <alignment horizontal="left"/>
    </xf>
    <xf numFmtId="170" fontId="0" fillId="0" borderId="0" xfId="0" applyNumberFormat="1"/>
    <xf numFmtId="170" fontId="9" fillId="0" borderId="0" xfId="0" applyNumberFormat="1" applyFont="1"/>
    <xf numFmtId="166" fontId="0" fillId="0" borderId="0" xfId="0" applyNumberFormat="1" applyAlignment="1">
      <alignment vertical="center"/>
    </xf>
    <xf numFmtId="49" fontId="16" fillId="0" borderId="0" xfId="0" quotePrefix="1" applyNumberFormat="1" applyFont="1" applyAlignment="1">
      <alignment horizontal="left"/>
    </xf>
    <xf numFmtId="164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164" fontId="5" fillId="0" borderId="13" xfId="0" applyNumberFormat="1" applyFont="1" applyBorder="1" applyAlignment="1">
      <alignment horizontal="right" vertical="center" wrapText="1"/>
    </xf>
    <xf numFmtId="171" fontId="0" fillId="0" borderId="0" xfId="0" applyNumberFormat="1"/>
    <xf numFmtId="166" fontId="0" fillId="0" borderId="0" xfId="0" applyNumberFormat="1"/>
    <xf numFmtId="172" fontId="0" fillId="0" borderId="0" xfId="0" applyNumberFormat="1"/>
    <xf numFmtId="0" fontId="6" fillId="0" borderId="0" xfId="4" applyFont="1" applyFill="1"/>
    <xf numFmtId="3" fontId="0" fillId="0" borderId="0" xfId="0" applyNumberFormat="1"/>
    <xf numFmtId="169" fontId="0" fillId="0" borderId="0" xfId="0" applyNumberFormat="1"/>
    <xf numFmtId="169" fontId="9" fillId="0" borderId="2" xfId="0" applyNumberFormat="1" applyFont="1" applyBorder="1" applyAlignment="1">
      <alignment horizontal="right" vertical="center"/>
    </xf>
    <xf numFmtId="3" fontId="14" fillId="5" borderId="4" xfId="0" applyNumberFormat="1" applyFont="1" applyFill="1" applyBorder="1" applyAlignment="1">
      <alignment horizontal="right" vertical="center"/>
    </xf>
    <xf numFmtId="165" fontId="0" fillId="0" borderId="2" xfId="0" applyNumberFormat="1" applyBorder="1" applyAlignment="1">
      <alignment horizontal="right" vertical="center"/>
    </xf>
    <xf numFmtId="165" fontId="16" fillId="0" borderId="2" xfId="0" applyNumberFormat="1" applyFont="1" applyBorder="1" applyAlignment="1">
      <alignment vertical="center"/>
    </xf>
    <xf numFmtId="165" fontId="16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5" borderId="2" xfId="0" applyFill="1" applyBorder="1" applyAlignment="1">
      <alignment horizontal="right" vertical="center"/>
    </xf>
    <xf numFmtId="0" fontId="0" fillId="6" borderId="2" xfId="0" applyFill="1" applyBorder="1" applyAlignment="1">
      <alignment horizontal="right" vertical="center"/>
    </xf>
    <xf numFmtId="165" fontId="4" fillId="0" borderId="2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3" fontId="14" fillId="0" borderId="4" xfId="0" applyNumberFormat="1" applyFont="1" applyBorder="1" applyAlignment="1">
      <alignment horizontal="right" vertical="center"/>
    </xf>
    <xf numFmtId="0" fontId="2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14" fillId="0" borderId="14" xfId="0" applyNumberFormat="1" applyFont="1" applyBorder="1" applyAlignment="1">
      <alignment horizontal="right" vertical="center"/>
    </xf>
    <xf numFmtId="49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49" fontId="0" fillId="0" borderId="2" xfId="0" applyNumberFormat="1" applyBorder="1" applyAlignment="1">
      <alignment horizontal="center" vertical="center" wrapText="1"/>
    </xf>
    <xf numFmtId="165" fontId="0" fillId="0" borderId="2" xfId="0" applyNumberFormat="1" applyBorder="1" applyAlignment="1">
      <alignment horizontal="righ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vertical="center" wrapText="1"/>
    </xf>
    <xf numFmtId="0" fontId="16" fillId="0" borderId="12" xfId="0" applyFon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170" fontId="9" fillId="0" borderId="2" xfId="0" applyNumberFormat="1" applyFont="1" applyBorder="1" applyAlignment="1">
      <alignment horizontal="right" vertical="center"/>
    </xf>
    <xf numFmtId="44" fontId="9" fillId="0" borderId="2" xfId="0" applyNumberFormat="1" applyFont="1" applyBorder="1" applyAlignment="1">
      <alignment horizontal="center" vertical="center"/>
    </xf>
    <xf numFmtId="44" fontId="9" fillId="0" borderId="9" xfId="0" applyNumberFormat="1" applyFont="1" applyBorder="1" applyAlignment="1">
      <alignment horizontal="center" vertical="center"/>
    </xf>
    <xf numFmtId="170" fontId="9" fillId="0" borderId="1" xfId="8" applyNumberFormat="1" applyAlignment="1">
      <alignment horizontal="center" vertical="center"/>
    </xf>
    <xf numFmtId="170" fontId="9" fillId="0" borderId="1" xfId="8" applyNumberFormat="1" applyAlignment="1">
      <alignment horizontal="left" vertical="center" wrapText="1"/>
    </xf>
    <xf numFmtId="170" fontId="9" fillId="0" borderId="1" xfId="8" applyNumberFormat="1"/>
    <xf numFmtId="0" fontId="9" fillId="0" borderId="1" xfId="8" applyAlignment="1">
      <alignment horizontal="center"/>
    </xf>
    <xf numFmtId="0" fontId="9" fillId="0" borderId="1" xfId="8"/>
    <xf numFmtId="0" fontId="9" fillId="0" borderId="1" xfId="8" applyAlignment="1">
      <alignment horizontal="center" wrapText="1"/>
    </xf>
    <xf numFmtId="0" fontId="9" fillId="0" borderId="1" xfId="8" applyAlignment="1">
      <alignment wrapText="1"/>
    </xf>
    <xf numFmtId="169" fontId="9" fillId="0" borderId="1" xfId="8" applyNumberFormat="1"/>
    <xf numFmtId="0" fontId="9" fillId="0" borderId="1" xfId="8" applyAlignment="1">
      <alignment vertical="center"/>
    </xf>
    <xf numFmtId="0" fontId="9" fillId="0" borderId="1" xfId="8" applyAlignment="1">
      <alignment horizontal="center" vertical="center" wrapText="1"/>
    </xf>
    <xf numFmtId="169" fontId="9" fillId="0" borderId="1" xfId="8" applyNumberFormat="1" applyAlignment="1">
      <alignment vertical="center"/>
    </xf>
    <xf numFmtId="169" fontId="9" fillId="0" borderId="1" xfId="8" applyNumberFormat="1" applyAlignment="1">
      <alignment horizontal="right" vertical="center" wrapText="1"/>
    </xf>
    <xf numFmtId="0" fontId="11" fillId="3" borderId="3" xfId="0" applyFont="1" applyFill="1" applyBorder="1" applyAlignment="1">
      <alignment horizontal="center" wrapText="1"/>
    </xf>
    <xf numFmtId="0" fontId="0" fillId="0" borderId="7" xfId="0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0" fontId="11" fillId="3" borderId="2" xfId="0" applyFont="1" applyFill="1" applyBorder="1" applyAlignment="1">
      <alignment horizontal="center"/>
    </xf>
    <xf numFmtId="0" fontId="9" fillId="0" borderId="2" xfId="8" applyBorder="1" applyAlignment="1">
      <alignment horizontal="left"/>
    </xf>
    <xf numFmtId="0" fontId="9" fillId="0" borderId="2" xfId="8" applyBorder="1" applyAlignment="1">
      <alignment vertical="center"/>
    </xf>
    <xf numFmtId="0" fontId="0" fillId="0" borderId="1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9" fontId="9" fillId="0" borderId="2" xfId="0" applyNumberFormat="1" applyFont="1" applyBorder="1" applyAlignment="1">
      <alignment horizontal="center" vertical="center"/>
    </xf>
    <xf numFmtId="0" fontId="9" fillId="0" borderId="1" xfId="0" applyFont="1" applyBorder="1"/>
    <xf numFmtId="0" fontId="9" fillId="0" borderId="2" xfId="0" applyFont="1" applyBorder="1" applyAlignment="1">
      <alignment horizontal="left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right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169" fontId="9" fillId="0" borderId="1" xfId="0" applyNumberFormat="1" applyFont="1" applyBorder="1"/>
    <xf numFmtId="169" fontId="9" fillId="4" borderId="1" xfId="0" applyNumberFormat="1" applyFont="1" applyFill="1" applyBorder="1"/>
    <xf numFmtId="2" fontId="0" fillId="0" borderId="2" xfId="0" applyNumberFormat="1" applyBorder="1" applyAlignment="1">
      <alignment horizontal="right" vertical="center"/>
    </xf>
    <xf numFmtId="8" fontId="0" fillId="0" borderId="2" xfId="0" applyNumberFormat="1" applyBorder="1" applyAlignment="1">
      <alignment horizontal="right" vertical="center"/>
    </xf>
    <xf numFmtId="0" fontId="9" fillId="0" borderId="1" xfId="8" applyAlignment="1">
      <alignment horizontal="left"/>
    </xf>
    <xf numFmtId="0" fontId="9" fillId="0" borderId="1" xfId="8" applyAlignment="1">
      <alignment horizontal="right"/>
    </xf>
  </cellXfs>
  <cellStyles count="9">
    <cellStyle name="Comma 2" xfId="1" xr:uid="{00000000-0005-0000-0000-000000000000}"/>
    <cellStyle name="Currency" xfId="2" builtinId="4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7" builtinId="8" customBuiltin="1"/>
    <cellStyle name="Normal" xfId="0" builtinId="0" customBuiltin="1"/>
    <cellStyle name="Total" xfId="8" builtinId="25" customBuiltin="1"/>
  </cellStyles>
  <dxfs count="390">
    <dxf>
      <numFmt numFmtId="173" formatCode="&quot;$&quot;#,##0.0_);\(&quot;$&quot;#,##0.0\)"/>
    </dxf>
    <dxf>
      <fill>
        <patternFill>
          <bgColor theme="0" tint="-0.34998626667073579"/>
        </patternFill>
      </fill>
    </dxf>
    <dxf>
      <font>
        <color auto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theme="1" tint="0.34998626667073579"/>
      </font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numFmt numFmtId="173" formatCode="&quot;$&quot;#,##0.0_);\(&quot;$&quot;#,##0.0\)"/>
    </dxf>
    <dxf>
      <font>
        <color theme="1" tint="0.34998626667073579"/>
      </font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font>
        <color auto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theme="1" tint="0.34998626667073579"/>
      </font>
    </dxf>
    <dxf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font>
        <color theme="1" tint="0.34998626667073579"/>
      </font>
    </dxf>
    <dxf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numFmt numFmtId="173" formatCode="&quot;$&quot;#,##0.0_);\(&quot;$&quot;#,##0.0\)"/>
    </dxf>
    <dxf>
      <font>
        <color theme="1" tint="0.34998626667073579"/>
      </font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 tint="0.34998626667073579"/>
      </font>
      <numFmt numFmtId="1" formatCode="0"/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font>
        <color theme="1" tint="0.34998626667073579"/>
      </font>
    </dxf>
    <dxf>
      <numFmt numFmtId="173" formatCode="&quot;$&quot;#,##0.0_);\(&quot;$&quot;#,##0.0\)"/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theme="1" tint="0.34998626667073579"/>
      </font>
    </dxf>
    <dxf>
      <numFmt numFmtId="173" formatCode="&quot;$&quot;#,##0.0_);\(&quot;$&quot;#,##0.0\)"/>
    </dxf>
    <dxf>
      <font>
        <color auto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ill>
        <patternFill>
          <bgColor theme="0" tint="-0.34998626667073579"/>
        </patternFill>
      </fill>
    </dxf>
    <dxf>
      <font>
        <color auto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font>
        <color theme="1" tint="0.34998626667073579"/>
      </font>
    </dxf>
    <dxf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auto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ill>
        <patternFill>
          <bgColor theme="0" tint="-0.34998626667073579"/>
        </patternFill>
      </fill>
    </dxf>
    <dxf>
      <font>
        <color auto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 tint="0.34998626667073579"/>
      </font>
    </dxf>
    <dxf>
      <numFmt numFmtId="173" formatCode="&quot;$&quot;#,##0.0_);\(&quot;$&quot;#,##0.0\)"/>
    </dxf>
    <dxf>
      <font>
        <color auto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ill>
        <patternFill>
          <bgColor theme="0" tint="-0.34998626667073579"/>
        </patternFill>
      </fill>
    </dxf>
    <dxf>
      <font>
        <color theme="1" tint="0.34998626667073579"/>
      </font>
    </dxf>
    <dxf>
      <numFmt numFmtId="173" formatCode="&quot;$&quot;#,##0.0_);\(&quot;$&quot;#,##0.0\)"/>
    </dxf>
    <dxf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font>
        <color theme="1" tint="0.34998626667073579"/>
      </font>
    </dxf>
    <dxf>
      <numFmt numFmtId="173" formatCode="&quot;$&quot;#,##0.0_);\(&quot;$&quot;#,##0.0\)"/>
    </dxf>
    <dxf>
      <font>
        <color theme="1" tint="0.34998626667073579"/>
      </font>
      <numFmt numFmtId="1" formatCode="0"/>
    </dxf>
    <dxf>
      <fill>
        <patternFill>
          <bgColor theme="0" tint="-0.34998626667073579"/>
        </patternFill>
      </fill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ont>
        <color auto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ill>
        <patternFill>
          <bgColor theme="0" tint="-0.34998626667073579"/>
        </patternFill>
      </fill>
    </dxf>
    <dxf>
      <font>
        <color theme="1" tint="0.34998626667073579"/>
      </font>
    </dxf>
    <dxf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font>
        <color theme="1" tint="0.34998626667073579"/>
      </font>
    </dxf>
    <dxf>
      <numFmt numFmtId="173" formatCode="&quot;$&quot;#,##0.0_);\(&quot;$&quot;#,##0.0\)"/>
    </dxf>
    <dxf>
      <font>
        <color theme="1" tint="0.34998626667073579"/>
      </font>
    </dxf>
    <dxf>
      <numFmt numFmtId="173" formatCode="&quot;$&quot;#,##0.0_);\(&quot;$&quot;#,##0.0\)"/>
    </dxf>
    <dxf>
      <font>
        <color theme="1" tint="0.34998626667073579"/>
      </font>
    </dxf>
    <dxf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numFmt numFmtId="173" formatCode="&quot;$&quot;#,##0.0_);\(&quot;$&quot;#,##0.0\)"/>
    </dxf>
    <dxf>
      <font>
        <color theme="1" tint="0.34998626667073579"/>
      </font>
    </dxf>
    <dxf>
      <fill>
        <patternFill>
          <bgColor theme="0" tint="-0.34998626667073579"/>
        </patternFill>
      </fill>
    </dxf>
    <dxf>
      <font>
        <color auto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ill>
        <patternFill>
          <bgColor theme="0" tint="-0.34998626667073579"/>
        </patternFill>
      </fill>
    </dxf>
    <dxf>
      <font>
        <color auto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numFmt numFmtId="173" formatCode="&quot;$&quot;#,##0.0_);\(&quot;$&quot;#,##0.0\)"/>
    </dxf>
    <dxf>
      <font>
        <color theme="1" tint="0.34998626667073579"/>
      </font>
    </dxf>
    <dxf>
      <font>
        <b/>
        <i val="0"/>
        <color auto="1"/>
      </font>
      <numFmt numFmtId="165" formatCode="&quot;$&quot;#,##0"/>
    </dxf>
    <dxf>
      <font>
        <b/>
        <i val="0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font>
        <b/>
        <i val="0"/>
        <color auto="1"/>
      </font>
      <numFmt numFmtId="165" formatCode="&quot;$&quot;#,##0"/>
    </dxf>
    <dxf>
      <font>
        <b/>
        <i val="0"/>
        <color auto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theme="1"/>
      </font>
      <fill>
        <patternFill>
          <bgColor theme="0" tint="-0.34998626667073579"/>
        </patternFill>
      </fill>
    </dxf>
    <dxf>
      <font>
        <color theme="1"/>
      </font>
      <numFmt numFmtId="173" formatCode="&quot;$&quot;#,##0.0_);\(&quot;$&quot;#,##0.0\)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 tint="0.34998626667073579"/>
      </font>
      <numFmt numFmtId="1" formatCode="0"/>
    </dxf>
    <dxf>
      <font>
        <color theme="1"/>
      </font>
      <fill>
        <patternFill>
          <bgColor theme="0" tint="-0.34998626667073579"/>
        </patternFill>
      </fill>
    </dxf>
    <dxf>
      <font>
        <color theme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theme="1"/>
      </font>
      <fill>
        <patternFill>
          <bgColor theme="0" tint="-0.34998626667073579"/>
        </patternFill>
      </fill>
    </dxf>
    <dxf>
      <font>
        <color theme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auto="1"/>
      </font>
      <numFmt numFmtId="165" formatCode="&quot;$&quot;#,##0"/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numFmt numFmtId="165" formatCode="&quot;$&quot;#,##0"/>
    </dxf>
    <dxf>
      <fill>
        <patternFill>
          <bgColor theme="0" tint="-0.34998626667073579"/>
        </patternFill>
      </fill>
    </dxf>
    <dxf>
      <numFmt numFmtId="169" formatCode="&quot;$&quot;#,##0.0"/>
    </dxf>
    <dxf>
      <font>
        <strike val="0"/>
        <outline val="0"/>
        <shadow val="0"/>
        <u val="none"/>
        <sz val="12"/>
        <color theme="1"/>
        <name val="Arial"/>
        <family val="2"/>
        <scheme val="none"/>
      </font>
      <numFmt numFmtId="169" formatCode="&quot;$&quot;#,##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9" formatCode="&quot;$&quot;#,##0.0"/>
    </dxf>
    <dxf>
      <font>
        <strike val="0"/>
        <outline val="0"/>
        <shadow val="0"/>
        <u val="no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</dxf>
    <dxf>
      <font>
        <strike val="0"/>
        <outline val="0"/>
        <shadow val="0"/>
        <u val="no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</dxf>
    <dxf>
      <font>
        <strike val="0"/>
        <outline val="0"/>
        <shadow val="0"/>
        <u val="no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9" formatCode="&quot;$&quot;#,##0.0"/>
    </dxf>
    <dxf>
      <font>
        <strike val="0"/>
        <outline val="0"/>
        <shadow val="0"/>
        <u val="no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9" formatCode="&quot;$&quot;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9" formatCode="&quot;$&quot;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indexed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1" indent="0" justifyLastLine="0" shrinkToFit="0" readingOrder="0"/>
    </dxf>
    <dxf>
      <numFmt numFmtId="165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</dxf>
    <dxf>
      <numFmt numFmtId="165" formatCode="&quot;$&quot;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&quot;$&quot;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34998626667073579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0" formatCode="@"/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9" formatCode="&quot;$&quot;#,##0.0"/>
      <alignment horizontal="right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numFmt numFmtId="169" formatCode="&quot;$&quot;#,##0.0"/>
      <alignment horizontal="general" vertical="center" textRotation="0" wrapText="0" indent="0" justifyLastLine="0" shrinkToFit="0" readingOrder="0"/>
    </dxf>
    <dxf>
      <font>
        <color theme="0" tint="-0.34998626667073579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  <alignment horizontal="general" vertical="center" textRotation="0" wrapText="0" indent="0" justifyLastLine="0" shrinkToFit="0" readingOrder="0"/>
    </dxf>
    <dxf>
      <font>
        <color theme="0" tint="-0.34998626667073579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  <alignment horizontal="general" vertical="center" textRotation="0" wrapText="0" indent="0" justifyLastLine="0" shrinkToFit="0" readingOrder="0"/>
    </dxf>
    <dxf>
      <font>
        <color theme="0" tint="-0.34998626667073579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  <alignment horizontal="general" vertical="center" textRotation="0" wrapText="0" indent="0" justifyLastLine="0" shrinkToFit="0" readingOrder="0"/>
    </dxf>
    <dxf>
      <font>
        <color theme="0" tint="-0.34998626667073579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  <alignment horizontal="general" vertical="center" textRotation="0" wrapText="0" indent="0" justifyLastLine="0" shrinkToFit="0" readingOrder="0"/>
    </dxf>
    <dxf>
      <font>
        <color theme="0" tint="-0.34998626667073579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  <alignment horizontal="general" vertical="center" textRotation="0" wrapText="0" indent="0" justifyLastLine="0" shrinkToFit="0" readingOrder="0"/>
    </dxf>
    <dxf>
      <font>
        <color theme="0" tint="-0.34998626667073579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  <alignment horizontal="general" vertical="center" textRotation="0" wrapText="0" indent="0" justifyLastLine="0" shrinkToFit="0" readingOrder="0"/>
    </dxf>
    <dxf>
      <font>
        <color theme="0" tint="-0.34998626667073579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  <alignment horizontal="general" vertical="center" textRotation="0" wrapText="0" indent="0" justifyLastLine="0" shrinkToFit="0" readingOrder="0"/>
    </dxf>
    <dxf>
      <font>
        <color theme="0" tint="-0.34998626667073579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  <alignment horizontal="general" vertical="center" textRotation="0" wrapText="0" indent="0" justifyLastLine="0" shrinkToFit="0" readingOrder="0"/>
    </dxf>
    <dxf>
      <font>
        <color theme="0" tint="-0.34998626667073579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  <alignment horizontal="general" vertical="center" textRotation="0" wrapText="0" indent="0" justifyLastLine="0" shrinkToFit="0" readingOrder="0"/>
    </dxf>
    <dxf>
      <font>
        <color theme="0" tint="-0.34998626667073579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  <alignment horizontal="general" vertical="center" textRotation="0" wrapText="0" indent="0" justifyLastLine="0" shrinkToFit="0" readingOrder="0"/>
    </dxf>
    <dxf>
      <font>
        <color theme="0" tint="-0.34998626667073579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  <alignment horizontal="general" vertical="center" textRotation="0" wrapText="0" indent="0" justifyLastLine="0" shrinkToFit="0" readingOrder="0"/>
    </dxf>
    <dxf>
      <font>
        <color theme="0" tint="-0.34998626667073579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outline="0">
        <left style="thin">
          <color indexed="64"/>
        </left>
      </border>
    </dxf>
    <dxf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right style="thin">
          <color indexed="64"/>
        </right>
      </border>
    </dxf>
    <dxf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outline="0">
        <right style="thin">
          <color indexed="64"/>
        </right>
      </border>
    </dxf>
    <dxf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outline="0">
        <right style="thin">
          <color indexed="64"/>
        </right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0" formatCode="@"/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$&quot;#,##0.0"/>
      <border diagonalUp="0" diagonalDown="0" outline="0">
        <left/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$&quot;#,##0.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8C8C8C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$&quot;#,##0.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8C8C8C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$&quot;#,##0.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8C8C8C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$&quot;#,##0.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8C8C8C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$&quot;#,##0.0"/>
      <fill>
        <patternFill patternType="solid">
          <fgColor indexed="64"/>
          <bgColor rgb="FFFFFFFF"/>
        </patternFill>
      </fill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8C8C8C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$&quot;#,##0.0"/>
      <border diagonalUp="0" diagonalDown="0" outline="0">
        <left/>
        <right/>
        <top style="thin">
          <color indexed="64"/>
        </top>
        <bottom/>
      </border>
    </dxf>
    <dxf>
      <font>
        <color rgb="FF8C8C8C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$&quot;#,##0.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8C8C8C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$&quot;#,##0.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8C8C8C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$&quot;#,##0.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8C8C8C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$&quot;#,##0.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8C8C8C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$&quot;#,##0.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8C8C8C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$&quot;#,##0.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8C8C8C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indexed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 outline="0">
        <left/>
        <right/>
        <top style="thin">
          <color indexed="64"/>
        </top>
        <bottom/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color auto="1"/>
      </font>
      <numFmt numFmtId="165" formatCode="&quot;$&quot;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numFmt numFmtId="165" formatCode="&quot;$&quot;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&quot;$&quot;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34998626667073579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0" formatCode="@"/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9" formatCode="&quot;$&quot;#,##0.0"/>
    </dxf>
    <dxf>
      <numFmt numFmtId="169" formatCode="&quot;$&quot;#,##0.0"/>
    </dxf>
    <dxf>
      <numFmt numFmtId="169" formatCode="&quot;$&quot;#,##0.0"/>
    </dxf>
    <dxf>
      <numFmt numFmtId="169" formatCode="&quot;$&quot;#,##0.0"/>
    </dxf>
    <dxf>
      <numFmt numFmtId="169" formatCode="&quot;$&quot;#,##0.0"/>
    </dxf>
    <dxf>
      <numFmt numFmtId="169" formatCode="&quot;$&quot;#,##0.0"/>
    </dxf>
    <dxf>
      <numFmt numFmtId="169" formatCode="&quot;$&quot;#,##0.0"/>
    </dxf>
    <dxf>
      <numFmt numFmtId="169" formatCode="&quot;$&quot;#,##0.0"/>
    </dxf>
    <dxf>
      <numFmt numFmtId="169" formatCode="&quot;$&quot;#,##0.0"/>
    </dxf>
    <dxf>
      <numFmt numFmtId="169" formatCode="&quot;$&quot;#,##0.0"/>
    </dxf>
    <dxf>
      <numFmt numFmtId="169" formatCode="&quot;$&quot;#,##0.0"/>
    </dxf>
    <dxf>
      <numFmt numFmtId="169" formatCode="&quot;$&quot;#,##0.0"/>
    </dxf>
    <dxf>
      <numFmt numFmtId="169" formatCode="&quot;$&quot;#,##0.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34998626667073579"/>
        <name val="Arial"/>
        <family val="2"/>
        <scheme val="none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0" formatCode="@"/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70" formatCode="_(&quot;$&quot;* #,##0.0_);_(&quot;$&quot;* \(#,##0.0\);_(&quot;$&quot;* &quot;-&quot;??_);_(@_)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170" formatCode="_(&quot;$&quot;* #,##0.0_);_(&quot;$&quot;* \(#,##0.0\);_(&quot;$&quot;* &quot;-&quot;??_);_(@_)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170" formatCode="_(&quot;$&quot;* #,##0.0_);_(&quot;$&quot;* \(#,##0.0\);_(&quot;$&quot;* &quot;-&quot;??_);_(@_)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170" formatCode="_(&quot;$&quot;* #,##0.0_);_(&quot;$&quot;* \(#,##0.0\);_(&quot;$&quot;* &quot;-&quot;??_);_(@_)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170" formatCode="_(&quot;$&quot;* #,##0.0_);_(&quot;$&quot;* \(#,##0.0\);_(&quot;$&quot;* &quot;-&quot;??_);_(@_)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170" formatCode="_(&quot;$&quot;* #,##0.0_);_(&quot;$&quot;* \(#,##0.0\);_(&quot;$&quot;* &quot;-&quot;??_);_(@_)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170" formatCode="_(&quot;$&quot;* #,##0.0_);_(&quot;$&quot;* \(#,##0.0\);_(&quot;$&quot;* &quot;-&quot;??_);_(@_)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170" formatCode="_(&quot;$&quot;* #,##0.0_);_(&quot;$&quot;* \(#,##0.0\);_(&quot;$&quot;* &quot;-&quot;??_);_(@_)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170" formatCode="_(&quot;$&quot;* #,##0.0_);_(&quot;$&quot;* \(#,##0.0\);_(&quot;$&quot;* &quot;-&quot;??_);_(@_)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170" formatCode="_(&quot;$&quot;* #,##0.0_);_(&quot;$&quot;* \(#,##0.0\);_(&quot;$&quot;* &quot;-&quot;??_);_(@_)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170" formatCode="_(&quot;$&quot;* #,##0.0_);_(&quot;$&quot;* \(#,##0.0\);_(&quot;$&quot;* &quot;-&quot;??_);_(@_)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170" formatCode="_(&quot;$&quot;* #,##0.0_);_(&quot;$&quot;* \(#,##0.0\);_(&quot;$&quot;* &quot;-&quot;??_);_(@_)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170" formatCode="_(&quot;$&quot;* #,##0.0_);_(&quot;$&quot;* \(#,##0.0\);_(&quot;$&quot;* &quot;-&quot;??_);_(@_)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170" formatCode="_(&quot;$&quot;* #,##0.0_);_(&quot;$&quot;* \(#,##0.0\);_(&quot;$&quot;* &quot;-&quot;??_);_(@_)"/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70" formatCode="_(&quot;$&quot;* #,##0.0_);_(&quot;$&quot;* \(#,##0.0\);_(&quot;$&quot;* &quot;-&quot;??_);_(@_)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70" formatCode="_(&quot;$&quot;* #,##0.0_);_(&quot;$&quot;* \(#,##0.0\);_(&quot;$&quot;* &quot;-&quot;??_);_(@_)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0" formatCode="@"/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66FF"/>
      <color rgb="FF00FFFF"/>
      <color rgb="FFEBF1DE"/>
      <color rgb="FF008000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6:O13" totalsRowCount="1" headerRowDxfId="389" dataDxfId="387" totalsRowDxfId="385" headerRowBorderDxfId="388" tableBorderDxfId="386" totalsRowCellStyle="Total">
  <autoFilter ref="A6:O12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sortState xmlns:xlrd2="http://schemas.microsoft.com/office/spreadsheetml/2017/richdata2" ref="A7:O12">
    <sortCondition ref="A10"/>
  </sortState>
  <tableColumns count="15">
    <tableColumn id="1" xr3:uid="{00000000-0010-0000-0000-000001000000}" name="Sheet" totalsRowLabel=" Total " dataDxfId="384" totalsRowDxfId="383" totalsRowCellStyle="Total"/>
    <tableColumn id="2" xr3:uid="{00000000-0010-0000-0000-000002000000}" name="Apportionment Type" dataDxfId="382" totalsRowDxfId="381" totalsRowCellStyle="Total"/>
    <tableColumn id="3" xr3:uid="{00000000-0010-0000-0000-000003000000}" name="July 2026" totalsRowFunction="sum" dataDxfId="380" totalsRowDxfId="379" totalsRowCellStyle="Total"/>
    <tableColumn id="4" xr3:uid="{00000000-0010-0000-0000-000004000000}" name="Aug 2026" totalsRowFunction="sum" dataDxfId="378" totalsRowDxfId="377" totalsRowCellStyle="Total"/>
    <tableColumn id="5" xr3:uid="{00000000-0010-0000-0000-000005000000}" name="Sept 2026" totalsRowFunction="sum" dataDxfId="376" totalsRowDxfId="375" totalsRowCellStyle="Total"/>
    <tableColumn id="6" xr3:uid="{00000000-0010-0000-0000-000006000000}" name="Oct 2026" totalsRowFunction="sum" dataDxfId="374" totalsRowDxfId="373" totalsRowCellStyle="Total"/>
    <tableColumn id="7" xr3:uid="{00000000-0010-0000-0000-000007000000}" name="Nov 2026" totalsRowFunction="sum" dataDxfId="372" totalsRowDxfId="371" totalsRowCellStyle="Total"/>
    <tableColumn id="8" xr3:uid="{00000000-0010-0000-0000-000008000000}" name="Dec 2026" totalsRowFunction="sum" dataDxfId="370" totalsRowDxfId="369" totalsRowCellStyle="Total"/>
    <tableColumn id="9" xr3:uid="{00000000-0010-0000-0000-000009000000}" name="Jan 2027" totalsRowFunction="sum" dataDxfId="368" totalsRowDxfId="367" totalsRowCellStyle="Total"/>
    <tableColumn id="10" xr3:uid="{00000000-0010-0000-0000-00000A000000}" name="Feb 2027" totalsRowFunction="sum" dataDxfId="366" totalsRowDxfId="365" totalsRowCellStyle="Total"/>
    <tableColumn id="11" xr3:uid="{00000000-0010-0000-0000-00000B000000}" name="Mar 2027" totalsRowFunction="sum" dataDxfId="364" totalsRowDxfId="363" totalsRowCellStyle="Total"/>
    <tableColumn id="12" xr3:uid="{00000000-0010-0000-0000-00000C000000}" name="April 2027" totalsRowFunction="sum" dataDxfId="362" totalsRowDxfId="361" totalsRowCellStyle="Total"/>
    <tableColumn id="13" xr3:uid="{00000000-0010-0000-0000-00000D000000}" name="May 2027" totalsRowFunction="sum" dataDxfId="360" totalsRowDxfId="359" totalsRowCellStyle="Total"/>
    <tableColumn id="14" xr3:uid="{00000000-0010-0000-0000-00000E000000}" name="June 2027" totalsRowFunction="sum" dataDxfId="358" totalsRowDxfId="357" totalsRowCellStyle="Total"/>
    <tableColumn id="17" xr3:uid="{00000000-0010-0000-0000-000011000000}" name="Total" totalsRowFunction="sum" dataDxfId="356" totalsRowDxfId="355" totalsRowCellStyle="Total">
      <calculatedColumnFormula>SUM(C7:N7)</calculatedColumnFormula>
    </tableColumn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Summary="Summary table of the estimated cash flow, select programs, fiscal year 2026-27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5:U17" totalsRowCount="1" headerRowDxfId="354" dataDxfId="352" totalsRowDxfId="350" headerRowBorderDxfId="353" tableBorderDxfId="351" totalsRowCellStyle="Total">
  <autoFilter ref="A5:U16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xr3:uid="{00000000-0010-0000-0100-000001000000}" name="PCA" totalsRowLabel="Total Principal Apportionment Payments" dataDxfId="349" totalsRowDxfId="348" totalsRowCellStyle="Total"/>
    <tableColumn id="2" xr3:uid="{00000000-0010-0000-0100-000002000000}" name="Budget Item Number or Authority" totalsRowDxfId="347" totalsRowCellStyle="Total"/>
    <tableColumn id="3" xr3:uid="{00000000-0010-0000-0100-000003000000}" name="State Budget Authority" totalsRowCellStyle="Total"/>
    <tableColumn id="9" xr3:uid="{D8DBD0F6-C8D5-4276-B397-4E484DCA82DF}" name="Fiscal_x000a_Year" totalsRowDxfId="346" totalsRowCellStyle="Total"/>
    <tableColumn id="4" xr3:uid="{00000000-0010-0000-0100-000004000000}" name="Apportionment Title" totalsRowDxfId="345" totalsRowCellStyle="Total"/>
    <tableColumn id="5" xr3:uid="{00000000-0010-0000-0100-000005000000}" name="SACS _x000a_Res. _x000a_Codes" totalsRowCellStyle="Total"/>
    <tableColumn id="7" xr3:uid="{00000000-0010-0000-0100-000007000000}" name="Fiscal Contact_x000a_ Email" totalsRowDxfId="344" dataCellStyle="Hyperlink" totalsRowCellStyle="Total"/>
    <tableColumn id="11" xr3:uid="{00000000-0010-0000-0100-00000B000000}" name="Payment Schedule_x000a_(percent)" totalsRowCellStyle="Total"/>
    <tableColumn id="12" xr3:uid="{00000000-0010-0000-0100-00000C000000}" name="July 2026" totalsRowFunction="sum" totalsRowDxfId="343" totalsRowCellStyle="Total"/>
    <tableColumn id="13" xr3:uid="{00000000-0010-0000-0100-00000D000000}" name="Aug 2026" totalsRowFunction="sum" totalsRowDxfId="342" totalsRowCellStyle="Total"/>
    <tableColumn id="14" xr3:uid="{00000000-0010-0000-0100-00000E000000}" name="Sept 2026" totalsRowFunction="sum" totalsRowDxfId="341" totalsRowCellStyle="Total"/>
    <tableColumn id="15" xr3:uid="{00000000-0010-0000-0100-00000F000000}" name="Oct 2026" totalsRowFunction="sum" totalsRowDxfId="340" totalsRowCellStyle="Total"/>
    <tableColumn id="16" xr3:uid="{00000000-0010-0000-0100-000010000000}" name="Nov 2026" totalsRowFunction="sum" totalsRowDxfId="339" totalsRowCellStyle="Total"/>
    <tableColumn id="17" xr3:uid="{00000000-0010-0000-0100-000011000000}" name="Dec 2026" totalsRowFunction="sum" totalsRowDxfId="338" totalsRowCellStyle="Total"/>
    <tableColumn id="18" xr3:uid="{00000000-0010-0000-0100-000012000000}" name="Jan 2027" totalsRowFunction="sum" totalsRowDxfId="337" totalsRowCellStyle="Total"/>
    <tableColumn id="19" xr3:uid="{00000000-0010-0000-0100-000013000000}" name="Feb 2027" totalsRowFunction="sum" totalsRowDxfId="336" totalsRowCellStyle="Total"/>
    <tableColumn id="20" xr3:uid="{00000000-0010-0000-0100-000014000000}" name="Mar 2027" totalsRowFunction="sum" totalsRowDxfId="335" totalsRowCellStyle="Total"/>
    <tableColumn id="21" xr3:uid="{00000000-0010-0000-0100-000015000000}" name="April 2027" totalsRowFunction="sum" totalsRowDxfId="334" totalsRowCellStyle="Total"/>
    <tableColumn id="22" xr3:uid="{00000000-0010-0000-0100-000016000000}" name="May 2027" totalsRowFunction="sum" totalsRowDxfId="333" totalsRowCellStyle="Total"/>
    <tableColumn id="23" xr3:uid="{00000000-0010-0000-0100-000017000000}" name="June 2027" totalsRowFunction="sum" totalsRowDxfId="332" totalsRowCellStyle="Total"/>
    <tableColumn id="26" xr3:uid="{00000000-0010-0000-0100-00001A000000}" name="Total" totalsRowFunction="sum" totalsRowDxfId="331" totalsRowCellStyle="Total">
      <calculatedColumnFormula>SUM(I6:T6)</calculatedColumnFormula>
    </tableColumn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Summary="Estimated cash flow for Principal apportionment and Education Protection Account for fiscal year 2026-27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le1" displayName="Table1" ref="A5:V33" totalsRowCount="1" headerRowDxfId="330" dataDxfId="328" totalsRowDxfId="326" headerRowBorderDxfId="329" tableBorderDxfId="327" totalsRowCellStyle="Total">
  <tableColumns count="22">
    <tableColumn id="1" xr3:uid="{00000000-0010-0000-0200-000001000000}" name="PCA" totalsRowLabel="Total State Apportionments" dataDxfId="325" totalsRowDxfId="324"/>
    <tableColumn id="2" xr3:uid="{00000000-0010-0000-0200-000002000000}" name="Budget Item Number or Authority" dataDxfId="323" totalsRowDxfId="322"/>
    <tableColumn id="3" xr3:uid="{00000000-0010-0000-0200-000003000000}" name="State Budget Appropriation" dataDxfId="321" totalsRowDxfId="320"/>
    <tableColumn id="6" xr3:uid="{75781396-283C-4E3B-A0C7-4BA2389974E7}" name="Remaining Balance Available_x000a_As of July 1, 2026" dataDxfId="319" totalsRowDxfId="318"/>
    <tableColumn id="9" xr3:uid="{5AD06674-BA60-46F9-87BA-58829B013A93}" name="Fiscal_x000a_Year" dataDxfId="317" totalsRowDxfId="316"/>
    <tableColumn id="4" xr3:uid="{00000000-0010-0000-0200-000004000000}" name="Apportionment Title" dataDxfId="315" totalsRowDxfId="314"/>
    <tableColumn id="5" xr3:uid="{00000000-0010-0000-0200-000005000000}" name="SACS _x000a_Res. _x000a_Codes" dataDxfId="313" totalsRowDxfId="312"/>
    <tableColumn id="7" xr3:uid="{00000000-0010-0000-0200-000007000000}" name="Fiscal Contact_x000a_ E-mail" dataDxfId="311" totalsRowDxfId="310" dataCellStyle="Hyperlink"/>
    <tableColumn id="11" xr3:uid="{00000000-0010-0000-0200-00000B000000}" name="Payment Schedule" dataDxfId="309" totalsRowDxfId="308"/>
    <tableColumn id="12" xr3:uid="{00000000-0010-0000-0200-00000C000000}" name="July 2026" totalsRowFunction="sum" dataDxfId="307" totalsRowDxfId="306"/>
    <tableColumn id="13" xr3:uid="{00000000-0010-0000-0200-00000D000000}" name="Aug 2026" totalsRowFunction="sum" dataDxfId="305" totalsRowDxfId="304"/>
    <tableColumn id="14" xr3:uid="{00000000-0010-0000-0200-00000E000000}" name="Sept 2026" totalsRowFunction="sum" dataDxfId="303" totalsRowDxfId="302"/>
    <tableColumn id="15" xr3:uid="{00000000-0010-0000-0200-00000F000000}" name="Oct 2026" totalsRowFunction="sum" dataDxfId="301" totalsRowDxfId="300"/>
    <tableColumn id="16" xr3:uid="{00000000-0010-0000-0200-000010000000}" name="Nov 2026" totalsRowFunction="sum" dataDxfId="299" totalsRowDxfId="298"/>
    <tableColumn id="17" xr3:uid="{00000000-0010-0000-0200-000011000000}" name="Dec 2026" totalsRowFunction="sum" dataDxfId="297" totalsRowDxfId="296"/>
    <tableColumn id="18" xr3:uid="{00000000-0010-0000-0200-000012000000}" name="Jan 2027" totalsRowFunction="sum" dataDxfId="295" totalsRowDxfId="294"/>
    <tableColumn id="19" xr3:uid="{00000000-0010-0000-0200-000013000000}" name="Feb 2027" totalsRowFunction="sum" dataDxfId="293" totalsRowDxfId="292"/>
    <tableColumn id="20" xr3:uid="{00000000-0010-0000-0200-000014000000}" name="Mar 2027" totalsRowFunction="sum" dataDxfId="291" totalsRowDxfId="290"/>
    <tableColumn id="21" xr3:uid="{00000000-0010-0000-0200-000015000000}" name="April 2027" totalsRowFunction="sum" dataDxfId="289" totalsRowDxfId="288"/>
    <tableColumn id="22" xr3:uid="{00000000-0010-0000-0200-000016000000}" name="May 2027" totalsRowFunction="sum" dataDxfId="287" totalsRowDxfId="286"/>
    <tableColumn id="23" xr3:uid="{00000000-0010-0000-0200-000017000000}" name="June 2027" totalsRowFunction="sum" dataDxfId="285" totalsRowDxfId="284"/>
    <tableColumn id="26" xr3:uid="{00000000-0010-0000-0200-00001A000000}" name="Total" totalsRowFunction="sum" dataDxfId="283" totalsRowDxfId="282">
      <calculatedColumnFormula>SUM(Table1[[#This Row],[July 2026]:[June 2027]])</calculatedColumnFormula>
    </tableColumn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Summary="Estimated cash flow for State Categorical Apportionments for fiscal year 2026-27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4:U7" totalsRowCount="1" headerRowDxfId="281" dataDxfId="279" headerRowBorderDxfId="280" tableBorderDxfId="278" totalsRowCellStyle="Total">
  <autoFilter ref="A4:U6" xr:uid="{00000000-0009-0000-0100-000004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xr3:uid="{00000000-0010-0000-0300-000001000000}" name="PCA" totalsRowLabel="Total Lottery Payments" dataDxfId="277" totalsRowDxfId="276" totalsRowCellStyle="Total"/>
    <tableColumn id="2" xr3:uid="{00000000-0010-0000-0300-000002000000}" name="Budget Item Number or Authority" dataDxfId="275" totalsRowDxfId="274" totalsRowCellStyle="Total"/>
    <tableColumn id="3" xr3:uid="{00000000-0010-0000-0300-000003000000}" name="State Budget Authority" dataDxfId="273" totalsRowDxfId="272" totalsRowCellStyle="Total"/>
    <tableColumn id="8" xr3:uid="{177DAC6F-A246-4F00-852D-0DF9416C6E0D}" name="Fiscal_x000a_Year" dataDxfId="271" totalsRowDxfId="270" totalsRowCellStyle="Total"/>
    <tableColumn id="4" xr3:uid="{00000000-0010-0000-0300-000004000000}" name="Apportionment Title" dataDxfId="269" totalsRowDxfId="268" totalsRowCellStyle="Total"/>
    <tableColumn id="5" xr3:uid="{00000000-0010-0000-0300-000005000000}" name="SACS _x000a_Res. _x000a_Codes" dataDxfId="267" totalsRowDxfId="266" totalsRowCellStyle="Total"/>
    <tableColumn id="7" xr3:uid="{00000000-0010-0000-0300-000007000000}" name="Fiscal Contact_x000a_ E-mail" dataDxfId="265" totalsRowDxfId="264" totalsRowCellStyle="Total"/>
    <tableColumn id="11" xr3:uid="{00000000-0010-0000-0300-00000B000000}" name="Payment Schedule" dataDxfId="263" totalsRowDxfId="262" totalsRowCellStyle="Total"/>
    <tableColumn id="12" xr3:uid="{00000000-0010-0000-0300-00000C000000}" name="July 2026" totalsRowFunction="sum" dataDxfId="261" totalsRowDxfId="260" totalsRowCellStyle="Total"/>
    <tableColumn id="13" xr3:uid="{00000000-0010-0000-0300-00000D000000}" name="Aug 2026" totalsRowFunction="sum" dataDxfId="259" totalsRowDxfId="258" totalsRowCellStyle="Total"/>
    <tableColumn id="14" xr3:uid="{00000000-0010-0000-0300-00000E000000}" name="Sept 2026" totalsRowFunction="sum" dataDxfId="257" totalsRowDxfId="256" totalsRowCellStyle="Total"/>
    <tableColumn id="15" xr3:uid="{00000000-0010-0000-0300-00000F000000}" name="Oct 2026" totalsRowFunction="sum" dataDxfId="255" totalsRowDxfId="254" totalsRowCellStyle="Total"/>
    <tableColumn id="16" xr3:uid="{00000000-0010-0000-0300-000010000000}" name="Nov 2026" totalsRowFunction="sum" dataDxfId="253" totalsRowDxfId="252" totalsRowCellStyle="Total"/>
    <tableColumn id="17" xr3:uid="{00000000-0010-0000-0300-000011000000}" name="Dec 2026" totalsRowFunction="sum" dataDxfId="251" totalsRowDxfId="250" totalsRowCellStyle="Total"/>
    <tableColumn id="18" xr3:uid="{00000000-0010-0000-0300-000012000000}" name="Jan 2027" totalsRowFunction="sum" dataDxfId="249" totalsRowDxfId="248" totalsRowCellStyle="Total"/>
    <tableColumn id="19" xr3:uid="{00000000-0010-0000-0300-000013000000}" name="Feb 2027" totalsRowFunction="sum" dataDxfId="247" totalsRowDxfId="246" totalsRowCellStyle="Total"/>
    <tableColumn id="20" xr3:uid="{00000000-0010-0000-0300-000014000000}" name="Mar 2027" totalsRowFunction="sum" dataDxfId="245" totalsRowDxfId="244" totalsRowCellStyle="Total"/>
    <tableColumn id="21" xr3:uid="{00000000-0010-0000-0300-000015000000}" name="April 2027" totalsRowFunction="sum" dataDxfId="243" totalsRowDxfId="242" totalsRowCellStyle="Total"/>
    <tableColumn id="22" xr3:uid="{00000000-0010-0000-0300-000016000000}" name="May 2027" totalsRowFunction="sum" dataDxfId="241" totalsRowDxfId="240" totalsRowCellStyle="Total"/>
    <tableColumn id="23" xr3:uid="{00000000-0010-0000-0300-000017000000}" name="June 2027" totalsRowFunction="sum" dataDxfId="239" totalsRowDxfId="238" totalsRowCellStyle="Total"/>
    <tableColumn id="26" xr3:uid="{00000000-0010-0000-0300-00001A000000}" name="Total" totalsRowFunction="sum" dataDxfId="237" totalsRowDxfId="236" totalsRowCellStyle="Total">
      <calculatedColumnFormula>SUM(Table4[[#This Row],[July 2026]:[June 2027]])</calculatedColumnFormula>
    </tableColumn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Summary="Estimated cash flow for Lottery Apportionments for fiscal year 2026-27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6:V29" totalsRowCount="1" headerRowDxfId="235" dataDxfId="233" totalsRowDxfId="231" headerRowBorderDxfId="234" tableBorderDxfId="232" totalsRowCellStyle="Total">
  <autoFilter ref="A6:V28" xr:uid="{00000000-000C-0000-FFFF-FFFF04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xr3:uid="{00000000-0010-0000-0400-000001000000}" name="PCA" totalsRowLabel="Total Federal Payments" dataDxfId="230" totalsRowDxfId="229" totalsRowCellStyle="Total"/>
    <tableColumn id="2" xr3:uid="{00000000-0010-0000-0400-000002000000}" name="Budget Item Number or Authority" dataDxfId="228" totalsRowCellStyle="Total"/>
    <tableColumn id="3" xr3:uid="{00000000-0010-0000-0400-000003000000}" name="State Budget Appropriation" dataDxfId="227" totalsRowDxfId="226" totalsRowCellStyle="Total"/>
    <tableColumn id="6" xr3:uid="{E666FAA2-AC17-4799-B76B-3F41861ACAEE}" name="Remaining Balance Available_x000a_As of July 1, 2026" dataDxfId="225" totalsRowDxfId="224" totalsRowCellStyle="Total"/>
    <tableColumn id="8" xr3:uid="{A41403E9-3E6C-4B19-BB27-71446CAC80B9}" name="Fiscal_x000a_Year" dataDxfId="223" totalsRowDxfId="222" totalsRowCellStyle="Total"/>
    <tableColumn id="4" xr3:uid="{00000000-0010-0000-0400-000004000000}" name="Apportionment Title" dataDxfId="221" totalsRowDxfId="220" totalsRowCellStyle="Total"/>
    <tableColumn id="5" xr3:uid="{00000000-0010-0000-0400-000005000000}" name="SACS _x000a_Res. _x000a_Codes" dataDxfId="219" totalsRowDxfId="218" totalsRowCellStyle="Total"/>
    <tableColumn id="7" xr3:uid="{00000000-0010-0000-0400-000007000000}" name="Fiscal Contact_x000a_ E-mail" dataDxfId="217" totalsRowDxfId="216" dataCellStyle="Hyperlink" totalsRowCellStyle="Total"/>
    <tableColumn id="11" xr3:uid="{00000000-0010-0000-0400-00000B000000}" name="Payment Schedule" dataDxfId="215" totalsRowDxfId="214" totalsRowCellStyle="Total"/>
    <tableColumn id="12" xr3:uid="{00000000-0010-0000-0400-00000C000000}" name="July 2026" totalsRowFunction="sum" dataDxfId="213" totalsRowDxfId="212" totalsRowCellStyle="Total"/>
    <tableColumn id="13" xr3:uid="{00000000-0010-0000-0400-00000D000000}" name="Aug 2026" totalsRowFunction="sum" dataDxfId="211" totalsRowDxfId="210" totalsRowCellStyle="Total"/>
    <tableColumn id="14" xr3:uid="{00000000-0010-0000-0400-00000E000000}" name="Sept 2026" totalsRowFunction="sum" dataDxfId="209" totalsRowDxfId="208" totalsRowCellStyle="Total"/>
    <tableColumn id="15" xr3:uid="{00000000-0010-0000-0400-00000F000000}" name="Oct 2026" totalsRowFunction="sum" dataDxfId="207" totalsRowDxfId="206" totalsRowCellStyle="Total"/>
    <tableColumn id="16" xr3:uid="{00000000-0010-0000-0400-000010000000}" name="Nov 2026" totalsRowFunction="sum" dataDxfId="205" totalsRowDxfId="204" totalsRowCellStyle="Total"/>
    <tableColumn id="17" xr3:uid="{00000000-0010-0000-0400-000011000000}" name="Dec 2026" totalsRowFunction="sum" dataDxfId="203" totalsRowDxfId="202" totalsRowCellStyle="Total"/>
    <tableColumn id="18" xr3:uid="{00000000-0010-0000-0400-000012000000}" name="Jan 2027" totalsRowFunction="sum" dataDxfId="201" totalsRowDxfId="200" totalsRowCellStyle="Total"/>
    <tableColumn id="19" xr3:uid="{00000000-0010-0000-0400-000013000000}" name="Feb 2027" totalsRowFunction="sum" dataDxfId="199" totalsRowDxfId="198" totalsRowCellStyle="Total"/>
    <tableColumn id="20" xr3:uid="{00000000-0010-0000-0400-000014000000}" name="Mar 2027" totalsRowFunction="sum" dataDxfId="197" totalsRowDxfId="196" totalsRowCellStyle="Total"/>
    <tableColumn id="21" xr3:uid="{00000000-0010-0000-0400-000015000000}" name="April 2027" totalsRowFunction="sum" dataDxfId="195" totalsRowDxfId="194" totalsRowCellStyle="Total"/>
    <tableColumn id="22" xr3:uid="{00000000-0010-0000-0400-000016000000}" name="May 2027" totalsRowFunction="sum" dataDxfId="193" totalsRowDxfId="192" totalsRowCellStyle="Total"/>
    <tableColumn id="23" xr3:uid="{00000000-0010-0000-0400-000017000000}" name="June 2027" totalsRowFunction="sum" dataDxfId="191" totalsRowDxfId="190" totalsRowCellStyle="Total"/>
    <tableColumn id="26" xr3:uid="{00000000-0010-0000-0400-00001A000000}" name="Total" totalsRowFunction="sum" dataDxfId="189" totalsRowDxfId="188" totalsRowCellStyle="Total">
      <calculatedColumnFormula>SUM(Table5[[#This Row],[July 2026]:[June 2027]])</calculatedColumnFormula>
    </tableColumn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Summary="Estimated cash flow for Federal Categorical Apportionments for fiscal year 2025-26.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AR@cde.ca.gov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PASE@cde.ca.gov" TargetMode="External"/><Relationship Id="rId7" Type="http://schemas.openxmlformats.org/officeDocument/2006/relationships/hyperlink" Target="mailto:PASE@cde.ca.gov" TargetMode="External"/><Relationship Id="rId2" Type="http://schemas.openxmlformats.org/officeDocument/2006/relationships/hyperlink" Target="mailto:PASE@cde.ca.gov" TargetMode="External"/><Relationship Id="rId1" Type="http://schemas.openxmlformats.org/officeDocument/2006/relationships/hyperlink" Target="mailto:PASE@cde.ca.gov" TargetMode="External"/><Relationship Id="rId6" Type="http://schemas.openxmlformats.org/officeDocument/2006/relationships/hyperlink" Target="mailto:PASE@cde.ca.gov" TargetMode="External"/><Relationship Id="rId5" Type="http://schemas.openxmlformats.org/officeDocument/2006/relationships/hyperlink" Target="mailto:PASE@cde.ca.gov" TargetMode="External"/><Relationship Id="rId4" Type="http://schemas.openxmlformats.org/officeDocument/2006/relationships/hyperlink" Target="mailto:PASE@cde.ca.gov" TargetMode="External"/><Relationship Id="rId9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mailto:CAAR@cde.ca.gov" TargetMode="External"/><Relationship Id="rId7" Type="http://schemas.openxmlformats.org/officeDocument/2006/relationships/hyperlink" Target="mailto:CAAR@cde.ca.gov" TargetMode="External"/><Relationship Id="rId2" Type="http://schemas.openxmlformats.org/officeDocument/2006/relationships/hyperlink" Target="mailto:CAAR@cde.ca.gov" TargetMode="External"/><Relationship Id="rId1" Type="http://schemas.openxmlformats.org/officeDocument/2006/relationships/hyperlink" Target="mailto:Mandate@cde.ca.gov" TargetMode="External"/><Relationship Id="rId6" Type="http://schemas.openxmlformats.org/officeDocument/2006/relationships/hyperlink" Target="mailto:CAAR@cde.ca.gov" TargetMode="External"/><Relationship Id="rId5" Type="http://schemas.openxmlformats.org/officeDocument/2006/relationships/hyperlink" Target="mailto:CAAR@cde.ca.gov" TargetMode="External"/><Relationship Id="rId4" Type="http://schemas.openxmlformats.org/officeDocument/2006/relationships/hyperlink" Target="mailto:CAAR@cde.ca.gov" TargetMode="External"/><Relationship Id="rId9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jfinley@cde.ca.gov" TargetMode="External"/><Relationship Id="rId1" Type="http://schemas.openxmlformats.org/officeDocument/2006/relationships/hyperlink" Target="mailto:jfinley@cde.ca.gov" TargetMode="External"/><Relationship Id="rId4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CAAR@cde.ca.gov" TargetMode="External"/><Relationship Id="rId13" Type="http://schemas.openxmlformats.org/officeDocument/2006/relationships/hyperlink" Target="mailto:CAAR@cde.ca.gov" TargetMode="External"/><Relationship Id="rId18" Type="http://schemas.openxmlformats.org/officeDocument/2006/relationships/printerSettings" Target="../printerSettings/printerSettings5.bin"/><Relationship Id="rId3" Type="http://schemas.openxmlformats.org/officeDocument/2006/relationships/hyperlink" Target="mailto:CAAR@cde.ca.gov" TargetMode="External"/><Relationship Id="rId7" Type="http://schemas.openxmlformats.org/officeDocument/2006/relationships/hyperlink" Target="mailto:CAAR@cde.ca.gov" TargetMode="External"/><Relationship Id="rId12" Type="http://schemas.openxmlformats.org/officeDocument/2006/relationships/hyperlink" Target="mailto:CAAR@cde.ca.gov" TargetMode="External"/><Relationship Id="rId17" Type="http://schemas.openxmlformats.org/officeDocument/2006/relationships/hyperlink" Target="mailto:CAAR@cde.ca.gov" TargetMode="External"/><Relationship Id="rId2" Type="http://schemas.openxmlformats.org/officeDocument/2006/relationships/hyperlink" Target="mailto:CAAR@cde.ca.gov" TargetMode="External"/><Relationship Id="rId16" Type="http://schemas.openxmlformats.org/officeDocument/2006/relationships/hyperlink" Target="mailto:CAAR@cde.ca.gov" TargetMode="External"/><Relationship Id="rId1" Type="http://schemas.openxmlformats.org/officeDocument/2006/relationships/hyperlink" Target="mailto:CAAR@cde.ca.gov" TargetMode="External"/><Relationship Id="rId6" Type="http://schemas.openxmlformats.org/officeDocument/2006/relationships/hyperlink" Target="mailto:CAAR@cde.ca.gov" TargetMode="External"/><Relationship Id="rId11" Type="http://schemas.openxmlformats.org/officeDocument/2006/relationships/hyperlink" Target="mailto:CAAR@cde.ca.gov" TargetMode="External"/><Relationship Id="rId5" Type="http://schemas.openxmlformats.org/officeDocument/2006/relationships/hyperlink" Target="mailto:CAAR@cde.ca.gov" TargetMode="External"/><Relationship Id="rId15" Type="http://schemas.openxmlformats.org/officeDocument/2006/relationships/hyperlink" Target="mailto:CAAR@cde.ca.gov" TargetMode="External"/><Relationship Id="rId10" Type="http://schemas.openxmlformats.org/officeDocument/2006/relationships/hyperlink" Target="mailto:CAAR@cde.ca.gov" TargetMode="External"/><Relationship Id="rId19" Type="http://schemas.openxmlformats.org/officeDocument/2006/relationships/table" Target="../tables/table5.xml"/><Relationship Id="rId4" Type="http://schemas.openxmlformats.org/officeDocument/2006/relationships/hyperlink" Target="mailto:CAAR@cde.ca.gov" TargetMode="External"/><Relationship Id="rId9" Type="http://schemas.openxmlformats.org/officeDocument/2006/relationships/hyperlink" Target="mailto:CAAR@cde.ca.gov" TargetMode="External"/><Relationship Id="rId14" Type="http://schemas.openxmlformats.org/officeDocument/2006/relationships/hyperlink" Target="mailto:CAAR@cde.c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showGridLines="0" tabSelected="1" zoomScaleNormal="100" workbookViewId="0"/>
  </sheetViews>
  <sheetFormatPr defaultColWidth="9.21875" defaultRowHeight="15" x14ac:dyDescent="0.2"/>
  <cols>
    <col min="1" max="1" width="16.109375" style="1" customWidth="1"/>
    <col min="2" max="2" width="63.88671875" customWidth="1"/>
    <col min="3" max="3" width="10.6640625" customWidth="1"/>
    <col min="4" max="4" width="11.21875" bestFit="1" customWidth="1"/>
    <col min="5" max="6" width="10.21875" customWidth="1"/>
    <col min="7" max="7" width="10.6640625" customWidth="1"/>
    <col min="8" max="8" width="10.5546875" customWidth="1"/>
    <col min="9" max="11" width="10.21875" customWidth="1"/>
    <col min="12" max="12" width="11.109375" customWidth="1"/>
    <col min="13" max="13" width="10.6640625" customWidth="1"/>
    <col min="14" max="14" width="11.44140625" customWidth="1"/>
    <col min="15" max="15" width="14.5546875" customWidth="1"/>
    <col min="17" max="17" width="10.33203125" bestFit="1" customWidth="1"/>
  </cols>
  <sheetData>
    <row r="1" spans="1:17" s="42" customFormat="1" ht="18" x14ac:dyDescent="0.25">
      <c r="A1" s="41" t="s">
        <v>0</v>
      </c>
      <c r="B1" s="2"/>
    </row>
    <row r="2" spans="1:17" ht="15.75" x14ac:dyDescent="0.25">
      <c r="A2" t="s">
        <v>1</v>
      </c>
      <c r="B2" s="2"/>
    </row>
    <row r="3" spans="1:17" ht="15.75" x14ac:dyDescent="0.25">
      <c r="A3" t="s">
        <v>2</v>
      </c>
      <c r="B3" s="2"/>
    </row>
    <row r="4" spans="1:17" ht="15.75" x14ac:dyDescent="0.25">
      <c r="A4" s="40" t="s">
        <v>3</v>
      </c>
      <c r="B4" s="2"/>
    </row>
    <row r="5" spans="1:17" ht="15.75" x14ac:dyDescent="0.25">
      <c r="A5" s="39" t="s">
        <v>4</v>
      </c>
      <c r="B5" s="38"/>
    </row>
    <row r="6" spans="1:17" ht="15.75" x14ac:dyDescent="0.25">
      <c r="A6" s="25" t="s">
        <v>5</v>
      </c>
      <c r="B6" s="26" t="s">
        <v>6</v>
      </c>
      <c r="C6" s="27" t="s">
        <v>7</v>
      </c>
      <c r="D6" s="27" t="s">
        <v>8</v>
      </c>
      <c r="E6" s="27" t="s">
        <v>9</v>
      </c>
      <c r="F6" s="27" t="s">
        <v>10</v>
      </c>
      <c r="G6" s="27" t="s">
        <v>11</v>
      </c>
      <c r="H6" s="27" t="s">
        <v>12</v>
      </c>
      <c r="I6" s="27" t="s">
        <v>13</v>
      </c>
      <c r="J6" s="27" t="s">
        <v>14</v>
      </c>
      <c r="K6" s="27" t="s">
        <v>15</v>
      </c>
      <c r="L6" s="27" t="s">
        <v>16</v>
      </c>
      <c r="M6" s="27" t="s">
        <v>17</v>
      </c>
      <c r="N6" s="27" t="s">
        <v>18</v>
      </c>
      <c r="O6" s="28" t="s">
        <v>19</v>
      </c>
    </row>
    <row r="7" spans="1:17" s="2" customFormat="1" ht="39.950000000000003" customHeight="1" x14ac:dyDescent="0.25">
      <c r="A7" s="11">
        <v>1</v>
      </c>
      <c r="B7" s="6" t="s">
        <v>20</v>
      </c>
      <c r="C7" s="29">
        <f>'1. PA and EPA'!I6</f>
        <v>3178</v>
      </c>
      <c r="D7" s="29">
        <f>'1. PA and EPA'!J6</f>
        <v>3180.5</v>
      </c>
      <c r="E7" s="29">
        <f>'1. PA and EPA'!K6</f>
        <v>5454.7</v>
      </c>
      <c r="F7" s="29">
        <f>'1. PA and EPA'!L6</f>
        <v>5452.2</v>
      </c>
      <c r="G7" s="29">
        <f>'1. PA and EPA'!M6</f>
        <v>5117</v>
      </c>
      <c r="H7" s="29">
        <f>'1. PA and EPA'!N6</f>
        <v>5117</v>
      </c>
      <c r="I7" s="29">
        <f>'1. PA and EPA'!O6</f>
        <v>5251.1</v>
      </c>
      <c r="J7" s="29" t="str">
        <f>'1. PA and EPA'!P6</f>
        <v>TBD</v>
      </c>
      <c r="K7" s="29" t="str">
        <f>'1. PA and EPA'!Q6</f>
        <v>TBD</v>
      </c>
      <c r="L7" s="29" t="str">
        <f>'1. PA and EPA'!R6</f>
        <v>TBD</v>
      </c>
      <c r="M7" s="29" t="str">
        <f>'1. PA and EPA'!S6</f>
        <v>TBD</v>
      </c>
      <c r="N7" s="29" t="str">
        <f>'1. PA and EPA'!T6</f>
        <v>TBD</v>
      </c>
      <c r="O7" s="21">
        <f t="shared" ref="O7:O11" si="0">SUM(C7:N7)</f>
        <v>32750.5</v>
      </c>
      <c r="Q7" s="48"/>
    </row>
    <row r="8" spans="1:17" s="2" customFormat="1" ht="39.950000000000003" customHeight="1" x14ac:dyDescent="0.25">
      <c r="A8" s="11">
        <v>1</v>
      </c>
      <c r="B8" s="6" t="s">
        <v>21</v>
      </c>
      <c r="C8" s="29">
        <f>Table2[[#This Row],[July 2026]]</f>
        <v>0</v>
      </c>
      <c r="D8" s="29">
        <f>Table2[[#This Row],[Aug 2026]]</f>
        <v>0</v>
      </c>
      <c r="E8" s="29">
        <f>Table2[[#This Row],[Sept 2026]]</f>
        <v>3125.5</v>
      </c>
      <c r="F8" s="29">
        <f>Table2[[#This Row],[Oct 2026]]</f>
        <v>0</v>
      </c>
      <c r="G8" s="29">
        <f>Table2[[#This Row],[Nov 2026]]</f>
        <v>0</v>
      </c>
      <c r="H8" s="29" t="str">
        <f>Table2[[#This Row],[Dec 2026]]</f>
        <v>TBD</v>
      </c>
      <c r="I8" s="29">
        <f>Table2[[#This Row],[Jan 2027]]</f>
        <v>0</v>
      </c>
      <c r="J8" s="29">
        <f>Table2[[#This Row],[Feb 2027]]</f>
        <v>0</v>
      </c>
      <c r="K8" s="29" t="str">
        <f>Table2[[#This Row],[Mar 2027]]</f>
        <v>TBD</v>
      </c>
      <c r="L8" s="29">
        <f>Table2[[#This Row],[April 2027]]</f>
        <v>0</v>
      </c>
      <c r="M8" s="29">
        <f>Table2[[#This Row],[May 2027]]</f>
        <v>0</v>
      </c>
      <c r="N8" s="29" t="str">
        <f>Table2[[#This Row],[June 2027]]</f>
        <v>TBD</v>
      </c>
      <c r="O8" s="32">
        <f t="shared" si="0"/>
        <v>3125.5</v>
      </c>
      <c r="Q8" s="48"/>
    </row>
    <row r="9" spans="1:17" s="2" customFormat="1" ht="39.950000000000003" customHeight="1" x14ac:dyDescent="0.25">
      <c r="A9" s="11">
        <v>1</v>
      </c>
      <c r="B9" s="6" t="s">
        <v>22</v>
      </c>
      <c r="C9" s="29">
        <f>'1. PA and EPA'!I11</f>
        <v>0</v>
      </c>
      <c r="D9" s="29">
        <f>'1. PA and EPA'!J11</f>
        <v>0</v>
      </c>
      <c r="E9" s="29">
        <f>'1. PA and EPA'!K11</f>
        <v>15.96</v>
      </c>
      <c r="F9" s="29">
        <f>'1. PA and EPA'!L11</f>
        <v>0</v>
      </c>
      <c r="G9" s="29">
        <f>'1. PA and EPA'!M11</f>
        <v>0</v>
      </c>
      <c r="H9" s="29" t="str">
        <f>'1. PA and EPA'!N11</f>
        <v>TBD</v>
      </c>
      <c r="I9" s="29">
        <f>'1. PA and EPA'!O11</f>
        <v>0</v>
      </c>
      <c r="J9" s="29">
        <f>'1. PA and EPA'!P11</f>
        <v>0</v>
      </c>
      <c r="K9" s="29">
        <f>'1. PA and EPA'!Q11</f>
        <v>0</v>
      </c>
      <c r="L9" s="29">
        <f>'1. PA and EPA'!R11</f>
        <v>0</v>
      </c>
      <c r="M9" s="29">
        <f>'1. PA and EPA'!S11</f>
        <v>0</v>
      </c>
      <c r="N9" s="29">
        <f>'1. PA and EPA'!T11</f>
        <v>0</v>
      </c>
      <c r="O9" s="32">
        <f t="shared" si="0"/>
        <v>15.96</v>
      </c>
      <c r="Q9" s="48"/>
    </row>
    <row r="10" spans="1:17" s="2" customFormat="1" ht="39.950000000000003" customHeight="1" x14ac:dyDescent="0.25">
      <c r="A10" s="11">
        <v>2</v>
      </c>
      <c r="B10" s="6" t="s">
        <v>23</v>
      </c>
      <c r="C10" s="29">
        <f>Table1[[#Totals],[July 2026]]</f>
        <v>0</v>
      </c>
      <c r="D10" s="29">
        <f>Table1[[#Totals],[Aug 2026]]</f>
        <v>21.2</v>
      </c>
      <c r="E10" s="29">
        <f>Table1[[#Totals],[Sept 2026]]</f>
        <v>290</v>
      </c>
      <c r="F10" s="29">
        <f>Table1[[#Totals],[Oct 2026]]</f>
        <v>61.3</v>
      </c>
      <c r="G10" s="29">
        <f>Table1[[#Totals],[Nov 2026]]</f>
        <v>4812.6000000000004</v>
      </c>
      <c r="H10" s="29">
        <f>Table1[[#Totals],[Dec 2026]]</f>
        <v>431.5</v>
      </c>
      <c r="I10" s="29">
        <f>Table1[[#Totals],[Jan 2027]]</f>
        <v>1040.0999999999999</v>
      </c>
      <c r="J10" s="60">
        <f>Table1[[#Totals],[Feb 2027]]</f>
        <v>1258</v>
      </c>
      <c r="K10" s="85">
        <f>Table1[[#Totals],[Mar 2027]]</f>
        <v>9.8999999999999986</v>
      </c>
      <c r="L10" s="29">
        <f>Table1[[#Totals],[April 2027]]</f>
        <v>0</v>
      </c>
      <c r="M10" s="29">
        <f>Table1[[#Totals],[May 2027]]</f>
        <v>3.5</v>
      </c>
      <c r="N10" s="109">
        <f>Table1[[#Totals],[June 2027]]</f>
        <v>0</v>
      </c>
      <c r="O10" s="32">
        <f t="shared" si="0"/>
        <v>7928.1</v>
      </c>
      <c r="Q10" s="48"/>
    </row>
    <row r="11" spans="1:17" s="2" customFormat="1" ht="39.950000000000003" customHeight="1" x14ac:dyDescent="0.25">
      <c r="A11" s="11">
        <v>3</v>
      </c>
      <c r="B11" s="6" t="s">
        <v>24</v>
      </c>
      <c r="C11" s="86">
        <f>Table4[[#Totals],[July 2026]]</f>
        <v>0</v>
      </c>
      <c r="D11" s="86">
        <f>Table4[[#Totals],[Aug 2026]]</f>
        <v>0</v>
      </c>
      <c r="E11" s="86">
        <f>Table4[[#Totals],[Sept 2026]]</f>
        <v>364.3</v>
      </c>
      <c r="F11" s="86">
        <f>Table4[[#Totals],[Oct 2026]]</f>
        <v>0</v>
      </c>
      <c r="G11" s="86">
        <f>Table4[[#Totals],[Nov 2026]]</f>
        <v>0</v>
      </c>
      <c r="H11" s="86">
        <f>Table4[[#Totals],[Dec 2026]]</f>
        <v>0</v>
      </c>
      <c r="I11" s="86">
        <f>Table4[[#Totals],[Jan 2027]]</f>
        <v>0</v>
      </c>
      <c r="J11" s="86">
        <f>Table4[[#Totals],[Feb 2027]]</f>
        <v>0</v>
      </c>
      <c r="K11" s="86">
        <f>Table4[[#Totals],[Mar 2027]]</f>
        <v>0</v>
      </c>
      <c r="L11" s="86">
        <f>Table4[[#Totals],[April 2027]]</f>
        <v>0</v>
      </c>
      <c r="M11" s="86">
        <f>Table4[[#Totals],[May 2027]]</f>
        <v>0</v>
      </c>
      <c r="N11" s="86">
        <f>Table4[[#Totals],[June 2027]]</f>
        <v>0</v>
      </c>
      <c r="O11" s="32">
        <f t="shared" si="0"/>
        <v>364.3</v>
      </c>
      <c r="Q11" s="48"/>
    </row>
    <row r="12" spans="1:17" s="2" customFormat="1" ht="39.950000000000003" customHeight="1" x14ac:dyDescent="0.25">
      <c r="A12" s="12">
        <v>4</v>
      </c>
      <c r="B12" s="13" t="s">
        <v>25</v>
      </c>
      <c r="C12" s="87">
        <f>Table5[[#Totals],[July 2026]]</f>
        <v>0</v>
      </c>
      <c r="D12" s="87">
        <f>Table5[[#Totals],[Aug 2026]]</f>
        <v>0</v>
      </c>
      <c r="E12" s="87">
        <f>Table5[[#Totals],[Sept 2026]]</f>
        <v>690.10000000000014</v>
      </c>
      <c r="F12" s="87">
        <f>Table5[[#Totals],[Oct 2026]]</f>
        <v>1.9</v>
      </c>
      <c r="G12" s="87">
        <f>Table5[[#Totals],[Nov 2026]]</f>
        <v>0</v>
      </c>
      <c r="H12" s="87">
        <f>Table5[[#Totals],[Dec 2026]]</f>
        <v>0</v>
      </c>
      <c r="I12" s="87">
        <f>Table5[[#Totals],[Jan 2027]]</f>
        <v>0</v>
      </c>
      <c r="J12" s="87">
        <f>Table5[[#Totals],[Feb 2027]]</f>
        <v>0</v>
      </c>
      <c r="K12" s="87">
        <f>Table5[[#Totals],[Mar 2027]]</f>
        <v>0</v>
      </c>
      <c r="L12" s="87">
        <f>Table5[[#Totals],[April 2027]]</f>
        <v>0</v>
      </c>
      <c r="M12" s="87">
        <f>Table5[[#Totals],[May 2027]]</f>
        <v>0</v>
      </c>
      <c r="N12" s="87">
        <f>Table5[[#Totals],[June 2027]]</f>
        <v>0</v>
      </c>
      <c r="O12" s="33">
        <f>SUM(C12:N12)</f>
        <v>692.00000000000011</v>
      </c>
      <c r="Q12" s="48"/>
    </row>
    <row r="13" spans="1:17" ht="15.75" x14ac:dyDescent="0.25">
      <c r="A13" s="88" t="s">
        <v>26</v>
      </c>
      <c r="B13" s="89"/>
      <c r="C13" s="90">
        <f>SUBTOTAL(109,Table3[July 2026])</f>
        <v>3178</v>
      </c>
      <c r="D13" s="90">
        <f>SUBTOTAL(109,Table3[Aug 2026])</f>
        <v>3201.7</v>
      </c>
      <c r="E13" s="90">
        <f>SUBTOTAL(109,Table3[Sept 2026])</f>
        <v>9940.56</v>
      </c>
      <c r="F13" s="90">
        <f>SUBTOTAL(109,Table3[Oct 2026])</f>
        <v>5515.4</v>
      </c>
      <c r="G13" s="90">
        <f>SUBTOTAL(109,Table3[Nov 2026])</f>
        <v>9929.6</v>
      </c>
      <c r="H13" s="90">
        <f>SUBTOTAL(109,Table3[Dec 2026])</f>
        <v>5548.5</v>
      </c>
      <c r="I13" s="90">
        <f>SUBTOTAL(109,Table3[Jan 2027])</f>
        <v>6291.2000000000007</v>
      </c>
      <c r="J13" s="90">
        <f>SUBTOTAL(109,Table3[Feb 2027])</f>
        <v>1258</v>
      </c>
      <c r="K13" s="90">
        <f>SUBTOTAL(109,Table3[Mar 2027])</f>
        <v>9.8999999999999986</v>
      </c>
      <c r="L13" s="90">
        <f>SUBTOTAL(109,Table3[April 2027])</f>
        <v>0</v>
      </c>
      <c r="M13" s="90">
        <f>SUBTOTAL(109,Table3[May 2027])</f>
        <v>3.5</v>
      </c>
      <c r="N13" s="90">
        <f>SUBTOTAL(109,Table3[June 2027])</f>
        <v>0</v>
      </c>
      <c r="O13" s="90">
        <f>SUBTOTAL(109,Table3[Total])</f>
        <v>44876.36</v>
      </c>
      <c r="Q13" s="48"/>
    </row>
    <row r="14" spans="1:17" x14ac:dyDescent="0.2">
      <c r="A14" t="s">
        <v>27</v>
      </c>
      <c r="B14" s="1"/>
    </row>
    <row r="15" spans="1:17" x14ac:dyDescent="0.2">
      <c r="A15" t="s">
        <v>28</v>
      </c>
      <c r="B15" s="3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1:17" x14ac:dyDescent="0.2">
      <c r="A16" t="s">
        <v>29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</row>
    <row r="17" spans="1:3" x14ac:dyDescent="0.2">
      <c r="A17" s="50" t="s">
        <v>163</v>
      </c>
    </row>
    <row r="21" spans="1:3" x14ac:dyDescent="0.2">
      <c r="C21" s="15"/>
    </row>
  </sheetData>
  <phoneticPr fontId="18" type="noConversion"/>
  <conditionalFormatting sqref="C7:O12">
    <cfRule type="cellIs" dxfId="187" priority="1" stopIfTrue="1" operator="equal">
      <formula>"TBD"</formula>
    </cfRule>
    <cfRule type="cellIs" dxfId="186" priority="4" stopIfTrue="1" operator="equal">
      <formula>0</formula>
    </cfRule>
  </conditionalFormatting>
  <hyperlinks>
    <hyperlink ref="A4" r:id="rId1" xr:uid="{84231E91-C51B-4027-8805-72B990C358C0}"/>
  </hyperlinks>
  <pageMargins left="0.7" right="0.7" top="0.75" bottom="0.75" header="0.3" footer="0.3"/>
  <pageSetup orientation="portrait" horizontalDpi="1200" verticalDpi="12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1"/>
  <sheetViews>
    <sheetView showGridLines="0" zoomScaleNormal="100" workbookViewId="0">
      <pane ySplit="5" topLeftCell="A6" activePane="bottomLeft" state="frozen"/>
      <selection pane="bottomLeft"/>
    </sheetView>
  </sheetViews>
  <sheetFormatPr defaultColWidth="9.21875" defaultRowHeight="15" customHeight="1" x14ac:dyDescent="0.2"/>
  <cols>
    <col min="1" max="1" width="16.88671875" customWidth="1"/>
    <col min="2" max="2" width="30.88671875" customWidth="1"/>
    <col min="3" max="3" width="19.5546875" customWidth="1"/>
    <col min="4" max="4" width="11.21875" customWidth="1"/>
    <col min="5" max="5" width="59.21875" customWidth="1"/>
    <col min="6" max="6" width="10.6640625" customWidth="1"/>
    <col min="7" max="7" width="16.5546875" bestFit="1" customWidth="1"/>
    <col min="8" max="9" width="10.6640625" customWidth="1"/>
    <col min="10" max="10" width="11.109375" customWidth="1"/>
    <col min="11" max="11" width="15.44140625" bestFit="1" customWidth="1"/>
    <col min="12" max="12" width="10.6640625" customWidth="1"/>
    <col min="13" max="13" width="10.5546875" customWidth="1"/>
    <col min="14" max="16" width="10.21875" customWidth="1"/>
    <col min="17" max="17" width="11.109375" customWidth="1"/>
    <col min="18" max="18" width="10.6640625" customWidth="1"/>
    <col min="19" max="19" width="11.44140625" customWidth="1"/>
    <col min="20" max="20" width="11.21875" customWidth="1"/>
    <col min="21" max="21" width="10.21875" bestFit="1" customWidth="1"/>
    <col min="22" max="22" width="10.33203125" bestFit="1" customWidth="1"/>
  </cols>
  <sheetData>
    <row r="1" spans="1:22" ht="18" x14ac:dyDescent="0.25">
      <c r="A1" s="57" t="s">
        <v>30</v>
      </c>
    </row>
    <row r="2" spans="1:22" x14ac:dyDescent="0.2">
      <c r="A2" t="s">
        <v>1</v>
      </c>
      <c r="H2" s="5"/>
    </row>
    <row r="3" spans="1:22" ht="18.75" x14ac:dyDescent="0.25">
      <c r="A3" s="46" t="s">
        <v>31</v>
      </c>
      <c r="B3" s="2"/>
    </row>
    <row r="4" spans="1:22" ht="15.75" x14ac:dyDescent="0.25">
      <c r="A4" s="30" t="s">
        <v>32</v>
      </c>
      <c r="H4" s="5"/>
    </row>
    <row r="5" spans="1:22" ht="66.599999999999994" customHeight="1" x14ac:dyDescent="0.25">
      <c r="A5" s="104" t="s">
        <v>33</v>
      </c>
      <c r="B5" s="100" t="s">
        <v>34</v>
      </c>
      <c r="C5" s="26" t="s">
        <v>35</v>
      </c>
      <c r="D5" s="26" t="s">
        <v>36</v>
      </c>
      <c r="E5" s="26" t="s">
        <v>37</v>
      </c>
      <c r="F5" s="26" t="s">
        <v>38</v>
      </c>
      <c r="G5" s="26" t="s">
        <v>39</v>
      </c>
      <c r="H5" s="26" t="s">
        <v>40</v>
      </c>
      <c r="I5" s="27" t="s">
        <v>7</v>
      </c>
      <c r="J5" s="27" t="s">
        <v>8</v>
      </c>
      <c r="K5" s="27" t="s">
        <v>9</v>
      </c>
      <c r="L5" s="27" t="s">
        <v>10</v>
      </c>
      <c r="M5" s="27" t="s">
        <v>11</v>
      </c>
      <c r="N5" s="27" t="s">
        <v>12</v>
      </c>
      <c r="O5" s="27" t="s">
        <v>13</v>
      </c>
      <c r="P5" s="27" t="s">
        <v>14</v>
      </c>
      <c r="Q5" s="27" t="s">
        <v>15</v>
      </c>
      <c r="R5" s="27" t="s">
        <v>16</v>
      </c>
      <c r="S5" s="27" t="s">
        <v>17</v>
      </c>
      <c r="T5" s="27" t="s">
        <v>18</v>
      </c>
      <c r="U5" s="28" t="s">
        <v>19</v>
      </c>
    </row>
    <row r="6" spans="1:22" s="15" customFormat="1" ht="45" customHeight="1" x14ac:dyDescent="0.2">
      <c r="A6" s="17" t="s">
        <v>41</v>
      </c>
      <c r="B6" s="101" t="s">
        <v>42</v>
      </c>
      <c r="C6" s="62" t="s">
        <v>42</v>
      </c>
      <c r="D6" s="35" t="s">
        <v>43</v>
      </c>
      <c r="E6" s="76" t="s">
        <v>20</v>
      </c>
      <c r="F6" s="16" t="s">
        <v>44</v>
      </c>
      <c r="G6" s="18" t="s">
        <v>45</v>
      </c>
      <c r="H6" s="22" t="s">
        <v>46</v>
      </c>
      <c r="I6" s="77">
        <v>3178</v>
      </c>
      <c r="J6" s="77">
        <v>3180.5</v>
      </c>
      <c r="K6" s="77">
        <v>5454.7</v>
      </c>
      <c r="L6" s="77">
        <v>5452.2</v>
      </c>
      <c r="M6" s="77">
        <v>5117</v>
      </c>
      <c r="N6" s="77">
        <v>5117</v>
      </c>
      <c r="O6" s="77">
        <v>5251.1</v>
      </c>
      <c r="P6" s="77" t="s">
        <v>47</v>
      </c>
      <c r="Q6" s="77" t="s">
        <v>47</v>
      </c>
      <c r="R6" s="77" t="s">
        <v>47</v>
      </c>
      <c r="S6" s="77" t="s">
        <v>47</v>
      </c>
      <c r="T6" s="77" t="s">
        <v>47</v>
      </c>
      <c r="U6" s="36">
        <f>SUM(I6:T6)</f>
        <v>32750.5</v>
      </c>
      <c r="V6" s="49"/>
    </row>
    <row r="7" spans="1:22" s="15" customFormat="1" ht="45" customHeight="1" x14ac:dyDescent="0.2">
      <c r="A7" s="17" t="s">
        <v>41</v>
      </c>
      <c r="B7" s="101" t="s">
        <v>42</v>
      </c>
      <c r="C7" s="62" t="s">
        <v>42</v>
      </c>
      <c r="D7" s="35" t="s">
        <v>48</v>
      </c>
      <c r="E7" s="19" t="s">
        <v>49</v>
      </c>
      <c r="F7" s="16" t="s">
        <v>44</v>
      </c>
      <c r="G7" s="18" t="s">
        <v>45</v>
      </c>
      <c r="H7" s="78" t="s">
        <v>50</v>
      </c>
      <c r="I7" s="77">
        <v>267.2</v>
      </c>
      <c r="J7" s="77">
        <v>0</v>
      </c>
      <c r="K7" s="77">
        <v>0</v>
      </c>
      <c r="L7" s="77">
        <v>0</v>
      </c>
      <c r="M7" s="77">
        <v>0</v>
      </c>
      <c r="N7" s="77">
        <v>0</v>
      </c>
      <c r="O7" s="77">
        <v>0</v>
      </c>
      <c r="P7" s="77">
        <v>0</v>
      </c>
      <c r="Q7" s="77">
        <v>0</v>
      </c>
      <c r="R7" s="77">
        <v>0</v>
      </c>
      <c r="S7" s="77">
        <v>0</v>
      </c>
      <c r="T7" s="77">
        <v>0</v>
      </c>
      <c r="U7" s="36">
        <f t="shared" ref="U7" si="0">SUM(I7:T7)</f>
        <v>267.2</v>
      </c>
      <c r="V7" s="49"/>
    </row>
    <row r="8" spans="1:22" s="15" customFormat="1" ht="45" customHeight="1" x14ac:dyDescent="0.2">
      <c r="A8" s="17">
        <v>25226</v>
      </c>
      <c r="B8" s="101" t="s">
        <v>42</v>
      </c>
      <c r="C8" s="62" t="s">
        <v>42</v>
      </c>
      <c r="D8" s="35" t="s">
        <v>43</v>
      </c>
      <c r="E8" s="19" t="s">
        <v>21</v>
      </c>
      <c r="F8" s="16" t="s">
        <v>51</v>
      </c>
      <c r="G8" s="18" t="s">
        <v>45</v>
      </c>
      <c r="H8" s="22" t="s">
        <v>52</v>
      </c>
      <c r="I8" s="77">
        <v>0</v>
      </c>
      <c r="J8" s="77">
        <v>0</v>
      </c>
      <c r="K8" s="77">
        <v>3125.5</v>
      </c>
      <c r="L8" s="77">
        <v>0</v>
      </c>
      <c r="M8" s="77">
        <v>0</v>
      </c>
      <c r="N8" s="77" t="s">
        <v>47</v>
      </c>
      <c r="O8" s="77">
        <v>0</v>
      </c>
      <c r="P8" s="77">
        <v>0</v>
      </c>
      <c r="Q8" s="77" t="s">
        <v>47</v>
      </c>
      <c r="R8" s="77">
        <v>0</v>
      </c>
      <c r="S8" s="77">
        <v>0</v>
      </c>
      <c r="T8" s="77" t="s">
        <v>47</v>
      </c>
      <c r="U8" s="36">
        <f>SUM(I8:T8)</f>
        <v>3125.5</v>
      </c>
    </row>
    <row r="9" spans="1:22" s="15" customFormat="1" ht="45" customHeight="1" x14ac:dyDescent="0.2">
      <c r="A9" s="35" t="s">
        <v>53</v>
      </c>
      <c r="B9" s="101" t="s">
        <v>54</v>
      </c>
      <c r="C9" s="79">
        <v>7819256000</v>
      </c>
      <c r="D9" s="35" t="s">
        <v>43</v>
      </c>
      <c r="E9" s="80" t="s">
        <v>55</v>
      </c>
      <c r="F9" s="17" t="s">
        <v>56</v>
      </c>
      <c r="G9" s="18" t="s">
        <v>45</v>
      </c>
      <c r="H9" s="22" t="s">
        <v>46</v>
      </c>
      <c r="I9" s="77">
        <v>0</v>
      </c>
      <c r="J9" s="77">
        <v>0</v>
      </c>
      <c r="K9" s="77">
        <v>0</v>
      </c>
      <c r="L9" s="77">
        <v>0</v>
      </c>
      <c r="M9" s="77">
        <v>0</v>
      </c>
      <c r="N9" s="77">
        <v>0</v>
      </c>
      <c r="O9" s="77">
        <v>0</v>
      </c>
      <c r="P9" s="77">
        <v>0</v>
      </c>
      <c r="Q9" s="77">
        <v>0</v>
      </c>
      <c r="R9" s="77">
        <v>0</v>
      </c>
      <c r="S9" s="77">
        <v>0</v>
      </c>
      <c r="T9" s="77">
        <v>0</v>
      </c>
      <c r="U9" s="36">
        <f t="shared" ref="U9:U16" si="1">SUM(I9:T9)</f>
        <v>0</v>
      </c>
    </row>
    <row r="10" spans="1:22" s="15" customFormat="1" ht="45" customHeight="1" x14ac:dyDescent="0.2">
      <c r="A10" s="17">
        <v>23766</v>
      </c>
      <c r="B10" s="101" t="s">
        <v>57</v>
      </c>
      <c r="C10" s="62">
        <v>9701000</v>
      </c>
      <c r="D10" s="35" t="s">
        <v>43</v>
      </c>
      <c r="E10" s="80" t="s">
        <v>58</v>
      </c>
      <c r="F10" s="16" t="s">
        <v>59</v>
      </c>
      <c r="G10" s="18" t="s">
        <v>45</v>
      </c>
      <c r="H10" s="22" t="s">
        <v>46</v>
      </c>
      <c r="I10" s="77">
        <v>0</v>
      </c>
      <c r="J10" s="77">
        <v>0</v>
      </c>
      <c r="K10" s="77">
        <v>0</v>
      </c>
      <c r="L10" s="77">
        <v>0</v>
      </c>
      <c r="M10" s="77">
        <v>0</v>
      </c>
      <c r="N10" s="77">
        <v>0</v>
      </c>
      <c r="O10" s="77">
        <v>0</v>
      </c>
      <c r="P10" s="77">
        <v>0</v>
      </c>
      <c r="Q10" s="77">
        <v>0</v>
      </c>
      <c r="R10" s="77">
        <v>0</v>
      </c>
      <c r="S10" s="77">
        <v>0</v>
      </c>
      <c r="T10" s="77">
        <v>0</v>
      </c>
      <c r="U10" s="36">
        <f>SUM(I10:T10)</f>
        <v>0</v>
      </c>
    </row>
    <row r="11" spans="1:22" s="15" customFormat="1" ht="45" customHeight="1" x14ac:dyDescent="0.2">
      <c r="A11" s="17">
        <v>23751</v>
      </c>
      <c r="B11" s="101" t="s">
        <v>42</v>
      </c>
      <c r="C11" s="62" t="s">
        <v>42</v>
      </c>
      <c r="D11" s="35" t="s">
        <v>43</v>
      </c>
      <c r="E11" s="19" t="s">
        <v>22</v>
      </c>
      <c r="F11" s="22" t="s">
        <v>44</v>
      </c>
      <c r="G11" s="18" t="s">
        <v>45</v>
      </c>
      <c r="H11" s="78" t="s">
        <v>60</v>
      </c>
      <c r="I11" s="77">
        <v>0</v>
      </c>
      <c r="J11" s="77">
        <v>0</v>
      </c>
      <c r="K11" s="77">
        <v>15.96</v>
      </c>
      <c r="L11" s="77">
        <v>0</v>
      </c>
      <c r="M11" s="77">
        <v>0</v>
      </c>
      <c r="N11" s="77" t="s">
        <v>47</v>
      </c>
      <c r="O11" s="77">
        <v>0</v>
      </c>
      <c r="P11" s="77">
        <v>0</v>
      </c>
      <c r="Q11" s="77">
        <v>0</v>
      </c>
      <c r="R11" s="77">
        <v>0</v>
      </c>
      <c r="S11" s="77">
        <v>0</v>
      </c>
      <c r="T11" s="77">
        <v>0</v>
      </c>
      <c r="U11" s="36">
        <f>SUM(I11:T11)</f>
        <v>15.96</v>
      </c>
    </row>
    <row r="12" spans="1:22" s="15" customFormat="1" ht="45" customHeight="1" x14ac:dyDescent="0.2">
      <c r="A12" s="17">
        <v>25709</v>
      </c>
      <c r="B12" s="101" t="s">
        <v>42</v>
      </c>
      <c r="C12" s="62" t="s">
        <v>42</v>
      </c>
      <c r="D12" s="35" t="s">
        <v>43</v>
      </c>
      <c r="E12" s="81" t="s">
        <v>61</v>
      </c>
      <c r="F12" s="22" t="s">
        <v>44</v>
      </c>
      <c r="G12" s="18" t="s">
        <v>45</v>
      </c>
      <c r="H12" s="78" t="s">
        <v>46</v>
      </c>
      <c r="I12" s="77">
        <v>0</v>
      </c>
      <c r="J12" s="77">
        <v>0</v>
      </c>
      <c r="K12" s="77">
        <v>0</v>
      </c>
      <c r="L12" s="77">
        <v>0</v>
      </c>
      <c r="M12" s="77">
        <v>0</v>
      </c>
      <c r="N12" s="77">
        <v>0</v>
      </c>
      <c r="O12" s="77">
        <v>0</v>
      </c>
      <c r="P12" s="77">
        <v>0</v>
      </c>
      <c r="Q12" s="77">
        <v>0</v>
      </c>
      <c r="R12" s="77">
        <v>0</v>
      </c>
      <c r="S12" s="77">
        <v>0</v>
      </c>
      <c r="T12" s="77">
        <v>0</v>
      </c>
      <c r="U12" s="36">
        <f>SUM(I12:T12)</f>
        <v>0</v>
      </c>
    </row>
    <row r="13" spans="1:22" s="15" customFormat="1" ht="45" customHeight="1" x14ac:dyDescent="0.2">
      <c r="A13" s="17">
        <v>25631</v>
      </c>
      <c r="B13" s="102" t="s">
        <v>62</v>
      </c>
      <c r="C13" s="62">
        <v>4672910000</v>
      </c>
      <c r="D13" s="35" t="s">
        <v>43</v>
      </c>
      <c r="E13" s="81" t="s">
        <v>63</v>
      </c>
      <c r="F13" s="16">
        <v>2600</v>
      </c>
      <c r="G13" s="18" t="s">
        <v>45</v>
      </c>
      <c r="H13" s="22" t="s">
        <v>46</v>
      </c>
      <c r="I13" s="77">
        <v>0</v>
      </c>
      <c r="J13" s="77">
        <v>0</v>
      </c>
      <c r="K13" s="77">
        <v>0</v>
      </c>
      <c r="L13" s="77">
        <v>0</v>
      </c>
      <c r="M13" s="77">
        <v>0</v>
      </c>
      <c r="N13" s="77">
        <v>0</v>
      </c>
      <c r="O13" s="77">
        <v>0</v>
      </c>
      <c r="P13" s="77">
        <v>0</v>
      </c>
      <c r="Q13" s="77">
        <v>0</v>
      </c>
      <c r="R13" s="77">
        <v>0</v>
      </c>
      <c r="S13" s="77">
        <v>0</v>
      </c>
      <c r="T13" s="77">
        <v>0</v>
      </c>
      <c r="U13" s="36">
        <f t="shared" si="1"/>
        <v>0</v>
      </c>
    </row>
    <row r="14" spans="1:22" s="15" customFormat="1" ht="45" customHeight="1" x14ac:dyDescent="0.2">
      <c r="A14" s="17">
        <v>25739</v>
      </c>
      <c r="B14" s="103" t="s">
        <v>64</v>
      </c>
      <c r="C14" s="62">
        <v>1061907357</v>
      </c>
      <c r="D14" s="35" t="s">
        <v>43</v>
      </c>
      <c r="E14" s="82" t="s">
        <v>65</v>
      </c>
      <c r="F14" s="72">
        <v>6770</v>
      </c>
      <c r="G14" s="18" t="s">
        <v>45</v>
      </c>
      <c r="H14" s="83" t="s">
        <v>46</v>
      </c>
      <c r="I14" s="77">
        <v>0</v>
      </c>
      <c r="J14" s="77">
        <v>0</v>
      </c>
      <c r="K14" s="77">
        <v>0</v>
      </c>
      <c r="L14" s="77">
        <v>0</v>
      </c>
      <c r="M14" s="77">
        <v>0</v>
      </c>
      <c r="N14" s="77">
        <v>0</v>
      </c>
      <c r="O14" s="77">
        <v>0</v>
      </c>
      <c r="P14" s="77">
        <v>0</v>
      </c>
      <c r="Q14" s="77">
        <v>0</v>
      </c>
      <c r="R14" s="77">
        <v>0</v>
      </c>
      <c r="S14" s="77">
        <v>0</v>
      </c>
      <c r="T14" s="77">
        <v>0</v>
      </c>
      <c r="U14" s="37">
        <f>SUM(I14:T14)</f>
        <v>0</v>
      </c>
    </row>
    <row r="15" spans="1:22" s="15" customFormat="1" ht="45" customHeight="1" x14ac:dyDescent="0.2">
      <c r="A15" s="17">
        <v>25717</v>
      </c>
      <c r="B15" s="103" t="s">
        <v>66</v>
      </c>
      <c r="C15" s="62">
        <v>319086106</v>
      </c>
      <c r="D15" s="35" t="s">
        <v>43</v>
      </c>
      <c r="E15" s="81" t="s">
        <v>67</v>
      </c>
      <c r="F15" s="72">
        <v>7399</v>
      </c>
      <c r="G15" s="18" t="s">
        <v>45</v>
      </c>
      <c r="H15" s="83" t="s">
        <v>46</v>
      </c>
      <c r="I15" s="77">
        <v>0</v>
      </c>
      <c r="J15" s="77">
        <v>0</v>
      </c>
      <c r="K15" s="77">
        <v>0</v>
      </c>
      <c r="L15" s="77">
        <v>0</v>
      </c>
      <c r="M15" s="77">
        <v>0</v>
      </c>
      <c r="N15" s="77">
        <v>0</v>
      </c>
      <c r="O15" s="77">
        <v>0</v>
      </c>
      <c r="P15" s="77">
        <v>0</v>
      </c>
      <c r="Q15" s="77">
        <v>0</v>
      </c>
      <c r="R15" s="77">
        <v>0</v>
      </c>
      <c r="S15" s="77">
        <v>0</v>
      </c>
      <c r="T15" s="77">
        <v>0</v>
      </c>
      <c r="U15" s="37">
        <f>SUM(I15:T15)</f>
        <v>0</v>
      </c>
    </row>
    <row r="16" spans="1:22" s="15" customFormat="1" ht="45" customHeight="1" x14ac:dyDescent="0.2">
      <c r="A16" s="17">
        <v>25751</v>
      </c>
      <c r="B16" s="103" t="s">
        <v>68</v>
      </c>
      <c r="C16" s="84" t="s">
        <v>42</v>
      </c>
      <c r="D16" s="35" t="s">
        <v>43</v>
      </c>
      <c r="E16" s="81" t="s">
        <v>69</v>
      </c>
      <c r="F16" s="72">
        <v>6018</v>
      </c>
      <c r="G16" s="18" t="s">
        <v>45</v>
      </c>
      <c r="H16" s="83" t="s">
        <v>46</v>
      </c>
      <c r="I16" s="77">
        <v>0</v>
      </c>
      <c r="J16" s="77">
        <v>0</v>
      </c>
      <c r="K16" s="77">
        <v>0</v>
      </c>
      <c r="L16" s="77">
        <v>0</v>
      </c>
      <c r="M16" s="77">
        <v>0</v>
      </c>
      <c r="N16" s="77">
        <v>0</v>
      </c>
      <c r="O16" s="77">
        <v>0</v>
      </c>
      <c r="P16" s="77">
        <v>0</v>
      </c>
      <c r="Q16" s="77">
        <v>0</v>
      </c>
      <c r="R16" s="77">
        <v>0</v>
      </c>
      <c r="S16" s="77">
        <v>0</v>
      </c>
      <c r="T16" s="77">
        <v>0</v>
      </c>
      <c r="U16" s="37">
        <f t="shared" si="1"/>
        <v>0</v>
      </c>
    </row>
    <row r="17" spans="1:21" ht="15.75" x14ac:dyDescent="0.25">
      <c r="A17" s="105" t="s">
        <v>70</v>
      </c>
      <c r="B17" s="91"/>
      <c r="C17" s="92"/>
      <c r="D17" s="93"/>
      <c r="E17" s="94"/>
      <c r="F17" s="92"/>
      <c r="G17" s="91"/>
      <c r="H17" s="92"/>
      <c r="I17" s="95">
        <f>SUBTOTAL(109,Table2[July 2026])</f>
        <v>3445.2</v>
      </c>
      <c r="J17" s="95">
        <f>SUBTOTAL(109,Table2[Aug 2026])</f>
        <v>3180.5</v>
      </c>
      <c r="K17" s="95">
        <f>SUBTOTAL(109,Table2[Sept 2026])</f>
        <v>8596.16</v>
      </c>
      <c r="L17" s="95">
        <f>SUBTOTAL(109,Table2[Oct 2026])</f>
        <v>5452.2</v>
      </c>
      <c r="M17" s="95">
        <f>SUBTOTAL(109,Table2[Nov 2026])</f>
        <v>5117</v>
      </c>
      <c r="N17" s="95">
        <f>SUBTOTAL(109,Table2[Dec 2026])</f>
        <v>5117</v>
      </c>
      <c r="O17" s="95">
        <f>SUBTOTAL(109,Table2[Jan 2027])</f>
        <v>5251.1</v>
      </c>
      <c r="P17" s="95">
        <f>SUBTOTAL(109,Table2[Feb 2027])</f>
        <v>0</v>
      </c>
      <c r="Q17" s="95">
        <f>SUBTOTAL(109,Table2[Mar 2027])</f>
        <v>0</v>
      </c>
      <c r="R17" s="95">
        <f>SUBTOTAL(109,Table2[April 2027])</f>
        <v>0</v>
      </c>
      <c r="S17" s="95">
        <f>SUBTOTAL(109,Table2[May 2027])</f>
        <v>0</v>
      </c>
      <c r="T17" s="95">
        <f>SUBTOTAL(109,Table2[June 2027])</f>
        <v>0</v>
      </c>
      <c r="U17" s="95">
        <f>SUBTOTAL(109,Table2[Total])</f>
        <v>36159.159999999996</v>
      </c>
    </row>
    <row r="18" spans="1:21" x14ac:dyDescent="0.2">
      <c r="A18" t="s">
        <v>27</v>
      </c>
      <c r="B18" s="1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1" x14ac:dyDescent="0.2">
      <c r="A19" t="s">
        <v>28</v>
      </c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</row>
    <row r="20" spans="1:21" x14ac:dyDescent="0.2">
      <c r="A20" t="s">
        <v>29</v>
      </c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</row>
    <row r="21" spans="1:21" x14ac:dyDescent="0.2">
      <c r="A21" s="14" t="str">
        <f>Summary!A17</f>
        <v>October 2026</v>
      </c>
    </row>
  </sheetData>
  <phoneticPr fontId="18" type="noConversion"/>
  <conditionalFormatting sqref="E9:E10">
    <cfRule type="cellIs" priority="7" operator="greaterThan">
      <formula>0</formula>
    </cfRule>
  </conditionalFormatting>
  <conditionalFormatting sqref="I6:T16 B13:B15 B16:C16">
    <cfRule type="cellIs" dxfId="185" priority="4" stopIfTrue="1" operator="equal">
      <formula>"TBD"</formula>
    </cfRule>
    <cfRule type="cellIs" dxfId="184" priority="5" stopIfTrue="1" operator="notEqual">
      <formula>0</formula>
    </cfRule>
    <cfRule type="cellIs" dxfId="183" priority="6" stopIfTrue="1" operator="equal">
      <formula>0</formula>
    </cfRule>
  </conditionalFormatting>
  <conditionalFormatting sqref="U6:U16">
    <cfRule type="cellIs" dxfId="182" priority="10" stopIfTrue="1" operator="equal">
      <formula>0</formula>
    </cfRule>
  </conditionalFormatting>
  <hyperlinks>
    <hyperlink ref="G9" r:id="rId1" xr:uid="{C6EE7349-C46D-4172-961A-CCDE648D8381}"/>
    <hyperlink ref="G13" r:id="rId2" xr:uid="{817DA814-25F4-4362-92A8-121F2361DEF9}"/>
    <hyperlink ref="G16" r:id="rId3" xr:uid="{CD79834F-FBB5-4F0E-8424-0C815EDD1AF7}"/>
    <hyperlink ref="G6" r:id="rId4" xr:uid="{D0033714-E841-4EFD-A2DC-02600C3703C2}"/>
    <hyperlink ref="G8" r:id="rId5" xr:uid="{CB12FB9B-C626-4D82-8840-A20D0C7967D8}"/>
    <hyperlink ref="G14" r:id="rId6" xr:uid="{AF1E791C-5A37-4BDF-B5AC-AE9418E19430}"/>
    <hyperlink ref="G15" r:id="rId7" xr:uid="{E66F1D75-8A54-4486-8554-634AB7F52F6C}"/>
  </hyperlinks>
  <pageMargins left="0.7" right="0.7" top="0.75" bottom="0.75" header="0.3" footer="0.3"/>
  <pageSetup scale="31" orientation="landscape" r:id="rId8"/>
  <tableParts count="1">
    <tablePart r:id="rId9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7"/>
  <sheetViews>
    <sheetView showGridLines="0" zoomScaleNormal="100" workbookViewId="0">
      <pane ySplit="5" topLeftCell="A6" activePane="bottomLeft" state="frozen"/>
      <selection pane="bottomLeft"/>
    </sheetView>
  </sheetViews>
  <sheetFormatPr defaultColWidth="9.21875" defaultRowHeight="15" customHeight="1" x14ac:dyDescent="0.2"/>
  <cols>
    <col min="1" max="1" width="18.6640625" customWidth="1"/>
    <col min="2" max="2" width="30.88671875" customWidth="1"/>
    <col min="3" max="4" width="19.44140625" customWidth="1"/>
    <col min="5" max="5" width="11.21875" customWidth="1"/>
    <col min="6" max="6" width="59" customWidth="1"/>
    <col min="7" max="7" width="9.5546875" bestFit="1" customWidth="1"/>
    <col min="8" max="8" width="20.88671875" customWidth="1"/>
    <col min="9" max="9" width="11.6640625" customWidth="1"/>
    <col min="10" max="11" width="10.6640625" customWidth="1"/>
    <col min="12" max="12" width="11.21875" customWidth="1"/>
    <col min="13" max="13" width="10.21875" customWidth="1"/>
    <col min="14" max="14" width="10.5546875" customWidth="1"/>
    <col min="15" max="15" width="10.6640625" customWidth="1"/>
    <col min="16" max="16" width="10.5546875" customWidth="1"/>
    <col min="17" max="17" width="10.21875" customWidth="1"/>
    <col min="18" max="18" width="10.6640625" customWidth="1"/>
    <col min="19" max="19" width="11.21875" customWidth="1"/>
    <col min="20" max="20" width="10.6640625" customWidth="1"/>
    <col min="21" max="21" width="11.5546875" customWidth="1"/>
    <col min="22" max="22" width="10.6640625" customWidth="1"/>
  </cols>
  <sheetData>
    <row r="1" spans="1:23" ht="18" x14ac:dyDescent="0.25">
      <c r="A1" s="10" t="s">
        <v>71</v>
      </c>
    </row>
    <row r="2" spans="1:23" x14ac:dyDescent="0.2">
      <c r="A2" t="s">
        <v>72</v>
      </c>
    </row>
    <row r="3" spans="1:23" x14ac:dyDescent="0.2">
      <c r="A3" t="s">
        <v>1</v>
      </c>
    </row>
    <row r="4" spans="1:23" ht="15.75" x14ac:dyDescent="0.25">
      <c r="A4" s="30" t="s">
        <v>73</v>
      </c>
    </row>
    <row r="5" spans="1:23" ht="66" customHeight="1" x14ac:dyDescent="0.25">
      <c r="A5" s="25" t="s">
        <v>33</v>
      </c>
      <c r="B5" s="26" t="s">
        <v>34</v>
      </c>
      <c r="C5" s="26" t="s">
        <v>74</v>
      </c>
      <c r="D5" s="26" t="s">
        <v>75</v>
      </c>
      <c r="E5" s="26" t="s">
        <v>36</v>
      </c>
      <c r="F5" s="26" t="s">
        <v>37</v>
      </c>
      <c r="G5" s="26" t="s">
        <v>38</v>
      </c>
      <c r="H5" s="26" t="s">
        <v>76</v>
      </c>
      <c r="I5" s="26" t="s">
        <v>77</v>
      </c>
      <c r="J5" s="27" t="s">
        <v>7</v>
      </c>
      <c r="K5" s="27" t="s">
        <v>8</v>
      </c>
      <c r="L5" s="27" t="s">
        <v>9</v>
      </c>
      <c r="M5" s="27" t="s">
        <v>10</v>
      </c>
      <c r="N5" s="27" t="s">
        <v>11</v>
      </c>
      <c r="O5" s="27" t="s">
        <v>12</v>
      </c>
      <c r="P5" s="27" t="s">
        <v>13</v>
      </c>
      <c r="Q5" s="27" t="s">
        <v>14</v>
      </c>
      <c r="R5" s="27" t="s">
        <v>15</v>
      </c>
      <c r="S5" s="27" t="s">
        <v>16</v>
      </c>
      <c r="T5" s="27" t="s">
        <v>17</v>
      </c>
      <c r="U5" s="27" t="s">
        <v>18</v>
      </c>
      <c r="V5" s="26" t="s">
        <v>19</v>
      </c>
    </row>
    <row r="6" spans="1:23" s="15" customFormat="1" ht="45" customHeight="1" x14ac:dyDescent="0.2">
      <c r="A6" s="17" t="s">
        <v>78</v>
      </c>
      <c r="B6" s="34" t="s">
        <v>79</v>
      </c>
      <c r="C6" s="62">
        <v>12470000</v>
      </c>
      <c r="D6" s="62">
        <v>12470000</v>
      </c>
      <c r="E6" s="68" t="s">
        <v>43</v>
      </c>
      <c r="F6" s="19" t="s">
        <v>80</v>
      </c>
      <c r="G6" s="16">
        <v>7810</v>
      </c>
      <c r="H6" s="18" t="s">
        <v>3</v>
      </c>
      <c r="I6" s="22" t="s">
        <v>81</v>
      </c>
      <c r="J6" s="70">
        <v>0</v>
      </c>
      <c r="K6" s="70">
        <v>12.5</v>
      </c>
      <c r="L6" s="70">
        <v>0</v>
      </c>
      <c r="M6" s="70">
        <v>0</v>
      </c>
      <c r="N6" s="70">
        <v>0</v>
      </c>
      <c r="O6" s="70">
        <v>0</v>
      </c>
      <c r="P6" s="70">
        <v>0</v>
      </c>
      <c r="Q6" s="70">
        <v>0</v>
      </c>
      <c r="R6" s="70">
        <v>0</v>
      </c>
      <c r="S6" s="70">
        <v>0</v>
      </c>
      <c r="T6" s="70">
        <v>0</v>
      </c>
      <c r="U6" s="70">
        <v>0</v>
      </c>
      <c r="V6" s="53">
        <f>SUM(Table1[[#This Row],[July 2026]:[June 2027]])</f>
        <v>12.5</v>
      </c>
      <c r="W6" s="51"/>
    </row>
    <row r="7" spans="1:23" s="15" customFormat="1" ht="45" customHeight="1" x14ac:dyDescent="0.2">
      <c r="A7" s="17">
        <v>25859</v>
      </c>
      <c r="B7" s="34" t="s">
        <v>171</v>
      </c>
      <c r="C7" s="62">
        <v>1000000000</v>
      </c>
      <c r="D7" s="62">
        <v>1000000000</v>
      </c>
      <c r="E7" s="68" t="s">
        <v>43</v>
      </c>
      <c r="F7" s="19" t="s">
        <v>164</v>
      </c>
      <c r="G7" s="34">
        <v>6335</v>
      </c>
      <c r="H7" s="18" t="s">
        <v>3</v>
      </c>
      <c r="I7" s="22" t="s">
        <v>81</v>
      </c>
      <c r="J7" s="70">
        <v>0</v>
      </c>
      <c r="K7" s="70">
        <v>0</v>
      </c>
      <c r="L7" s="70">
        <v>0</v>
      </c>
      <c r="M7" s="70">
        <v>0</v>
      </c>
      <c r="N7" s="70">
        <v>0</v>
      </c>
      <c r="O7" s="70">
        <v>0</v>
      </c>
      <c r="P7" s="70">
        <v>1000</v>
      </c>
      <c r="Q7" s="70">
        <v>0</v>
      </c>
      <c r="R7" s="70">
        <v>0</v>
      </c>
      <c r="S7" s="73">
        <v>0</v>
      </c>
      <c r="T7" s="70">
        <v>0</v>
      </c>
      <c r="U7" s="70">
        <v>0</v>
      </c>
      <c r="V7" s="53">
        <f>SUM(Table1[[#This Row],[July 2026]:[June 2027]])</f>
        <v>1000</v>
      </c>
      <c r="W7" s="51"/>
    </row>
    <row r="8" spans="1:23" s="15" customFormat="1" ht="45" customHeight="1" x14ac:dyDescent="0.2">
      <c r="A8" s="17">
        <v>25855</v>
      </c>
      <c r="B8" s="34" t="s">
        <v>172</v>
      </c>
      <c r="C8" s="62">
        <v>28000000</v>
      </c>
      <c r="D8" s="62">
        <v>28000000</v>
      </c>
      <c r="E8" s="68" t="s">
        <v>43</v>
      </c>
      <c r="F8" s="19" t="s">
        <v>165</v>
      </c>
      <c r="G8" s="34" t="s">
        <v>47</v>
      </c>
      <c r="H8" s="18" t="s">
        <v>3</v>
      </c>
      <c r="I8" s="22" t="s">
        <v>81</v>
      </c>
      <c r="J8" s="70">
        <v>0</v>
      </c>
      <c r="K8" s="70">
        <v>0</v>
      </c>
      <c r="L8" s="70">
        <v>0</v>
      </c>
      <c r="M8" s="70">
        <v>28</v>
      </c>
      <c r="N8" s="70">
        <v>0</v>
      </c>
      <c r="O8" s="70">
        <v>0</v>
      </c>
      <c r="P8" s="70">
        <v>0</v>
      </c>
      <c r="Q8" s="70">
        <v>0</v>
      </c>
      <c r="R8" s="70">
        <v>0</v>
      </c>
      <c r="S8" s="70">
        <v>0</v>
      </c>
      <c r="T8" s="70">
        <v>0</v>
      </c>
      <c r="U8" s="70">
        <v>0</v>
      </c>
      <c r="V8" s="53">
        <f>SUM(Table1[[#This Row],[July 2026]:[June 2027]])</f>
        <v>28</v>
      </c>
      <c r="W8" s="51"/>
    </row>
    <row r="9" spans="1:23" s="15" customFormat="1" ht="45" customHeight="1" x14ac:dyDescent="0.2">
      <c r="A9" s="17">
        <v>23434</v>
      </c>
      <c r="B9" s="107" t="s">
        <v>82</v>
      </c>
      <c r="C9" s="62">
        <v>8739000</v>
      </c>
      <c r="D9" s="62">
        <v>8739000</v>
      </c>
      <c r="E9" s="68" t="s">
        <v>43</v>
      </c>
      <c r="F9" s="19" t="s">
        <v>83</v>
      </c>
      <c r="G9" s="16">
        <v>6731</v>
      </c>
      <c r="H9" s="18" t="s">
        <v>3</v>
      </c>
      <c r="I9" s="22" t="s">
        <v>81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0">
        <v>0</v>
      </c>
      <c r="Q9" s="70">
        <v>0</v>
      </c>
      <c r="R9" s="70">
        <v>8.6999999999999993</v>
      </c>
      <c r="S9" s="70">
        <v>0</v>
      </c>
      <c r="T9" s="70">
        <v>0</v>
      </c>
      <c r="U9" s="70">
        <v>0</v>
      </c>
      <c r="V9" s="53">
        <f>SUM(Table1[[#This Row],[July 2026]:[June 2027]])</f>
        <v>8.6999999999999993</v>
      </c>
      <c r="W9" s="51"/>
    </row>
    <row r="10" spans="1:23" s="15" customFormat="1" ht="45" customHeight="1" x14ac:dyDescent="0.2">
      <c r="A10" s="78" t="s">
        <v>84</v>
      </c>
      <c r="B10" s="34" t="s">
        <v>85</v>
      </c>
      <c r="C10" s="62">
        <v>1161000</v>
      </c>
      <c r="D10" s="62">
        <v>1161000</v>
      </c>
      <c r="E10" s="68" t="s">
        <v>43</v>
      </c>
      <c r="F10" s="19" t="s">
        <v>86</v>
      </c>
      <c r="G10" s="22" t="s">
        <v>87</v>
      </c>
      <c r="H10" s="18" t="s">
        <v>3</v>
      </c>
      <c r="I10" s="22" t="s">
        <v>81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70">
        <v>0</v>
      </c>
      <c r="P10" s="70">
        <v>0</v>
      </c>
      <c r="Q10" s="70">
        <v>0</v>
      </c>
      <c r="R10" s="70">
        <v>1.2</v>
      </c>
      <c r="S10" s="70">
        <v>0</v>
      </c>
      <c r="T10" s="70">
        <v>0</v>
      </c>
      <c r="U10" s="70">
        <v>0</v>
      </c>
      <c r="V10" s="53">
        <f>SUM(Table1[[#This Row],[July 2026]:[June 2027]])</f>
        <v>1.2</v>
      </c>
      <c r="W10" s="51"/>
    </row>
    <row r="11" spans="1:23" s="15" customFormat="1" ht="66.95" customHeight="1" x14ac:dyDescent="0.2">
      <c r="A11" s="17">
        <v>25691</v>
      </c>
      <c r="B11" s="34" t="s">
        <v>169</v>
      </c>
      <c r="C11" s="62">
        <v>99000000</v>
      </c>
      <c r="D11" s="62">
        <v>90000000</v>
      </c>
      <c r="E11" s="68" t="s">
        <v>88</v>
      </c>
      <c r="F11" s="19" t="s">
        <v>89</v>
      </c>
      <c r="G11" s="69">
        <v>7415</v>
      </c>
      <c r="H11" s="18" t="s">
        <v>90</v>
      </c>
      <c r="I11" s="22" t="s">
        <v>91</v>
      </c>
      <c r="J11" s="70">
        <v>0</v>
      </c>
      <c r="K11" s="70">
        <v>0</v>
      </c>
      <c r="L11" s="70">
        <v>90</v>
      </c>
      <c r="M11" s="70">
        <v>0</v>
      </c>
      <c r="N11" s="70">
        <v>0</v>
      </c>
      <c r="O11" s="70">
        <v>0</v>
      </c>
      <c r="P11" s="70">
        <v>0</v>
      </c>
      <c r="Q11" s="70">
        <v>0</v>
      </c>
      <c r="R11" s="70">
        <v>0</v>
      </c>
      <c r="S11" s="70">
        <v>0</v>
      </c>
      <c r="T11" s="70">
        <v>0</v>
      </c>
      <c r="U11" s="70">
        <v>0</v>
      </c>
      <c r="V11" s="53">
        <f>SUM(Table1[[#This Row],[July 2026]:[June 2027]])</f>
        <v>90</v>
      </c>
      <c r="W11" s="51"/>
    </row>
    <row r="12" spans="1:23" s="15" customFormat="1" ht="66.95" customHeight="1" x14ac:dyDescent="0.2">
      <c r="A12" s="17">
        <v>25691</v>
      </c>
      <c r="B12" s="34" t="s">
        <v>170</v>
      </c>
      <c r="C12" s="62">
        <v>90000000</v>
      </c>
      <c r="D12" s="62">
        <v>90000000</v>
      </c>
      <c r="E12" s="68" t="s">
        <v>48</v>
      </c>
      <c r="F12" s="19" t="s">
        <v>89</v>
      </c>
      <c r="G12" s="69">
        <v>7415</v>
      </c>
      <c r="H12" s="18" t="s">
        <v>90</v>
      </c>
      <c r="I12" s="22" t="s">
        <v>92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0">
        <v>0</v>
      </c>
      <c r="Q12" s="70">
        <v>0</v>
      </c>
      <c r="R12" s="70">
        <v>0</v>
      </c>
      <c r="S12" s="70">
        <v>0</v>
      </c>
      <c r="T12" s="70">
        <v>0</v>
      </c>
      <c r="U12" s="70">
        <v>0</v>
      </c>
      <c r="V12" s="53">
        <f>SUM(Table1[[#This Row],[July 2026]:[June 2027]])</f>
        <v>0</v>
      </c>
      <c r="W12" s="51"/>
    </row>
    <row r="13" spans="1:23" s="15" customFormat="1" ht="66.95" customHeight="1" x14ac:dyDescent="0.2">
      <c r="A13" s="17">
        <v>25691</v>
      </c>
      <c r="B13" s="34" t="s">
        <v>93</v>
      </c>
      <c r="C13" s="62">
        <v>90000000</v>
      </c>
      <c r="D13" s="62">
        <v>90000000</v>
      </c>
      <c r="E13" s="68" t="s">
        <v>43</v>
      </c>
      <c r="F13" s="19" t="s">
        <v>89</v>
      </c>
      <c r="G13" s="69">
        <v>7415</v>
      </c>
      <c r="H13" s="18" t="s">
        <v>90</v>
      </c>
      <c r="I13" s="22" t="s">
        <v>94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0">
        <v>0</v>
      </c>
      <c r="Q13" s="70">
        <v>0</v>
      </c>
      <c r="R13" s="70">
        <v>0</v>
      </c>
      <c r="S13" s="70">
        <v>0</v>
      </c>
      <c r="T13" s="70">
        <v>0</v>
      </c>
      <c r="U13" s="70">
        <v>0</v>
      </c>
      <c r="V13" s="53">
        <f>SUM(Table1[[#This Row],[July 2026]:[June 2027]])</f>
        <v>0</v>
      </c>
      <c r="W13" s="51"/>
    </row>
    <row r="14" spans="1:23" s="15" customFormat="1" ht="66.95" customHeight="1" x14ac:dyDescent="0.2">
      <c r="A14" s="17">
        <v>25830</v>
      </c>
      <c r="B14" s="34" t="s">
        <v>173</v>
      </c>
      <c r="C14" s="62">
        <v>890000</v>
      </c>
      <c r="D14" s="62">
        <v>890000</v>
      </c>
      <c r="E14" s="68" t="s">
        <v>43</v>
      </c>
      <c r="F14" s="19" t="s">
        <v>166</v>
      </c>
      <c r="G14" s="34" t="s">
        <v>47</v>
      </c>
      <c r="H14" s="18" t="s">
        <v>3</v>
      </c>
      <c r="I14" s="22" t="s">
        <v>81</v>
      </c>
      <c r="J14" s="70">
        <v>0</v>
      </c>
      <c r="K14" s="70">
        <v>0</v>
      </c>
      <c r="L14" s="70">
        <v>0</v>
      </c>
      <c r="M14" s="70">
        <v>0</v>
      </c>
      <c r="N14" s="70">
        <v>0.1</v>
      </c>
      <c r="O14" s="70">
        <v>0</v>
      </c>
      <c r="P14" s="70">
        <v>0</v>
      </c>
      <c r="Q14" s="70">
        <v>0</v>
      </c>
      <c r="R14" s="70">
        <v>0</v>
      </c>
      <c r="S14" s="70">
        <v>0</v>
      </c>
      <c r="T14" s="70">
        <v>0</v>
      </c>
      <c r="U14" s="70">
        <v>0</v>
      </c>
      <c r="V14" s="53">
        <f>SUM(Table1[[#This Row],[July 2026]:[June 2027]])</f>
        <v>0.1</v>
      </c>
      <c r="W14" s="51"/>
    </row>
    <row r="15" spans="1:23" s="15" customFormat="1" ht="45" customHeight="1" x14ac:dyDescent="0.2">
      <c r="A15" s="17" t="s">
        <v>95</v>
      </c>
      <c r="B15" s="34" t="s">
        <v>96</v>
      </c>
      <c r="C15" s="62">
        <v>9224000</v>
      </c>
      <c r="D15" s="62">
        <v>8724000</v>
      </c>
      <c r="E15" s="68" t="s">
        <v>43</v>
      </c>
      <c r="F15" s="19" t="s">
        <v>97</v>
      </c>
      <c r="G15" s="69">
        <v>7810</v>
      </c>
      <c r="H15" s="18" t="s">
        <v>3</v>
      </c>
      <c r="I15" s="74" t="s">
        <v>81</v>
      </c>
      <c r="J15" s="70">
        <v>0</v>
      </c>
      <c r="K15" s="70">
        <v>8.6999999999999993</v>
      </c>
      <c r="L15" s="70">
        <v>0</v>
      </c>
      <c r="M15" s="70">
        <v>0</v>
      </c>
      <c r="N15" s="70">
        <v>0</v>
      </c>
      <c r="O15" s="70">
        <v>0</v>
      </c>
      <c r="P15" s="70">
        <v>0</v>
      </c>
      <c r="Q15" s="70">
        <v>0</v>
      </c>
      <c r="R15" s="70">
        <v>0</v>
      </c>
      <c r="S15" s="70">
        <v>0</v>
      </c>
      <c r="T15" s="70">
        <v>0</v>
      </c>
      <c r="U15" s="70">
        <v>0</v>
      </c>
      <c r="V15" s="53">
        <f>SUM(Table1[[#This Row],[July 2026]:[June 2027]])</f>
        <v>8.6999999999999993</v>
      </c>
      <c r="W15" s="51"/>
    </row>
    <row r="16" spans="1:23" s="15" customFormat="1" ht="45" customHeight="1" x14ac:dyDescent="0.2">
      <c r="A16" s="17">
        <v>25849</v>
      </c>
      <c r="B16" s="34" t="s">
        <v>98</v>
      </c>
      <c r="C16" s="62">
        <v>400000</v>
      </c>
      <c r="D16" s="62">
        <v>400000</v>
      </c>
      <c r="E16" s="68" t="s">
        <v>43</v>
      </c>
      <c r="F16" s="19" t="s">
        <v>99</v>
      </c>
      <c r="G16" s="34" t="s">
        <v>47</v>
      </c>
      <c r="H16" s="18" t="s">
        <v>3</v>
      </c>
      <c r="I16" s="22" t="s">
        <v>81</v>
      </c>
      <c r="J16" s="70">
        <v>0</v>
      </c>
      <c r="K16" s="70">
        <v>0</v>
      </c>
      <c r="L16" s="70">
        <v>0</v>
      </c>
      <c r="M16" s="70">
        <v>0</v>
      </c>
      <c r="N16" s="70">
        <v>0</v>
      </c>
      <c r="O16" s="70">
        <v>0</v>
      </c>
      <c r="P16" s="70">
        <v>0.1</v>
      </c>
      <c r="Q16" s="70">
        <v>0</v>
      </c>
      <c r="R16" s="70">
        <v>0</v>
      </c>
      <c r="S16" s="70">
        <v>0</v>
      </c>
      <c r="T16" s="70">
        <v>0</v>
      </c>
      <c r="U16" s="70">
        <v>0</v>
      </c>
      <c r="V16" s="53">
        <f>SUM(Table1[[#This Row],[July 2026]:[June 2027]])</f>
        <v>0.1</v>
      </c>
      <c r="W16" s="51"/>
    </row>
    <row r="17" spans="1:23" s="15" customFormat="1" ht="45" customHeight="1" x14ac:dyDescent="0.2">
      <c r="A17" s="17">
        <v>25835</v>
      </c>
      <c r="B17" s="34" t="s">
        <v>174</v>
      </c>
      <c r="C17" s="62">
        <v>757300000</v>
      </c>
      <c r="D17" s="62">
        <v>757300000</v>
      </c>
      <c r="E17" s="68" t="s">
        <v>43</v>
      </c>
      <c r="F17" s="19" t="s">
        <v>100</v>
      </c>
      <c r="G17" s="34">
        <v>7435</v>
      </c>
      <c r="H17" s="18" t="s">
        <v>3</v>
      </c>
      <c r="I17" s="22" t="s">
        <v>81</v>
      </c>
      <c r="J17" s="70">
        <v>0</v>
      </c>
      <c r="K17" s="70">
        <v>0</v>
      </c>
      <c r="L17" s="70">
        <v>0</v>
      </c>
      <c r="M17" s="70">
        <v>0</v>
      </c>
      <c r="N17" s="70">
        <v>757.3</v>
      </c>
      <c r="O17" s="70">
        <v>0</v>
      </c>
      <c r="P17" s="70">
        <v>0</v>
      </c>
      <c r="Q17" s="70">
        <v>0</v>
      </c>
      <c r="R17" s="70">
        <v>0</v>
      </c>
      <c r="S17" s="70">
        <v>0</v>
      </c>
      <c r="T17" s="70">
        <v>0</v>
      </c>
      <c r="U17" s="70">
        <v>0</v>
      </c>
      <c r="V17" s="53">
        <f>SUM(Table1[[#This Row],[July 2026]:[June 2027]])</f>
        <v>757.3</v>
      </c>
      <c r="W17" s="51"/>
    </row>
    <row r="18" spans="1:23" s="15" customFormat="1" ht="45" customHeight="1" x14ac:dyDescent="0.2">
      <c r="A18" s="17">
        <v>25840</v>
      </c>
      <c r="B18" s="34" t="s">
        <v>175</v>
      </c>
      <c r="C18" s="62">
        <v>350000000</v>
      </c>
      <c r="D18" s="62">
        <v>350000000</v>
      </c>
      <c r="E18" s="68" t="s">
        <v>43</v>
      </c>
      <c r="F18" s="19" t="s">
        <v>101</v>
      </c>
      <c r="G18" s="34">
        <v>6211</v>
      </c>
      <c r="H18" s="18" t="s">
        <v>3</v>
      </c>
      <c r="I18" s="22" t="s">
        <v>81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350</v>
      </c>
      <c r="P18" s="70">
        <v>0</v>
      </c>
      <c r="Q18" s="70">
        <v>0</v>
      </c>
      <c r="R18" s="70">
        <v>0</v>
      </c>
      <c r="S18" s="70">
        <v>0</v>
      </c>
      <c r="T18" s="70">
        <v>0</v>
      </c>
      <c r="U18" s="70">
        <v>0</v>
      </c>
      <c r="V18" s="53">
        <f>SUM(Table1[[#This Row],[July 2026]:[June 2027]])</f>
        <v>350</v>
      </c>
      <c r="W18" s="51"/>
    </row>
    <row r="19" spans="1:23" s="15" customFormat="1" ht="45" customHeight="1" x14ac:dyDescent="0.2">
      <c r="A19" s="17">
        <v>25793</v>
      </c>
      <c r="B19" s="34" t="s">
        <v>102</v>
      </c>
      <c r="C19" s="62">
        <v>200000000</v>
      </c>
      <c r="D19" s="62">
        <v>200000000</v>
      </c>
      <c r="E19" s="68" t="s">
        <v>48</v>
      </c>
      <c r="F19" s="19" t="s">
        <v>103</v>
      </c>
      <c r="G19" s="34">
        <v>6212</v>
      </c>
      <c r="H19" s="18" t="s">
        <v>3</v>
      </c>
      <c r="I19" s="22" t="s">
        <v>81</v>
      </c>
      <c r="J19" s="70">
        <v>0</v>
      </c>
      <c r="K19" s="70">
        <v>0</v>
      </c>
      <c r="L19" s="70">
        <v>200</v>
      </c>
      <c r="M19" s="70">
        <v>0</v>
      </c>
      <c r="N19" s="70">
        <v>0</v>
      </c>
      <c r="O19" s="70">
        <v>0</v>
      </c>
      <c r="P19" s="70">
        <v>0</v>
      </c>
      <c r="Q19" s="70">
        <v>0</v>
      </c>
      <c r="R19" s="70">
        <v>0</v>
      </c>
      <c r="S19" s="70">
        <v>0</v>
      </c>
      <c r="T19" s="70">
        <v>0</v>
      </c>
      <c r="U19" s="70">
        <v>0</v>
      </c>
      <c r="V19" s="53">
        <f>SUM(Table1[[#This Row],[July 2026]:[June 2027]])</f>
        <v>200</v>
      </c>
      <c r="W19" s="51"/>
    </row>
    <row r="20" spans="1:23" s="15" customFormat="1" ht="45" customHeight="1" x14ac:dyDescent="0.2">
      <c r="A20" s="17">
        <v>25841</v>
      </c>
      <c r="B20" s="34" t="s">
        <v>176</v>
      </c>
      <c r="C20" s="62">
        <v>40000000</v>
      </c>
      <c r="D20" s="62">
        <v>40000000</v>
      </c>
      <c r="E20" s="68" t="s">
        <v>43</v>
      </c>
      <c r="F20" s="19" t="s">
        <v>104</v>
      </c>
      <c r="G20" s="69">
        <v>7810</v>
      </c>
      <c r="H20" s="18" t="s">
        <v>3</v>
      </c>
      <c r="I20" s="22" t="s">
        <v>81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v>40</v>
      </c>
      <c r="Q20" s="70">
        <v>0</v>
      </c>
      <c r="R20" s="70">
        <v>0</v>
      </c>
      <c r="S20" s="70">
        <v>0</v>
      </c>
      <c r="T20" s="70">
        <v>0</v>
      </c>
      <c r="U20" s="70">
        <v>0</v>
      </c>
      <c r="V20" s="53">
        <f>SUM(Table1[[#This Row],[July 2026]:[June 2027]])</f>
        <v>40</v>
      </c>
      <c r="W20" s="51"/>
    </row>
    <row r="21" spans="1:23" s="15" customFormat="1" ht="45" customHeight="1" x14ac:dyDescent="0.2">
      <c r="A21" s="17">
        <v>25186</v>
      </c>
      <c r="B21" s="108" t="s">
        <v>105</v>
      </c>
      <c r="C21" s="62">
        <v>279069000</v>
      </c>
      <c r="D21" s="62">
        <v>279069000</v>
      </c>
      <c r="E21" s="68" t="s">
        <v>43</v>
      </c>
      <c r="F21" s="19" t="s">
        <v>106</v>
      </c>
      <c r="G21" s="16" t="s">
        <v>44</v>
      </c>
      <c r="H21" s="18" t="s">
        <v>107</v>
      </c>
      <c r="I21" s="22" t="s">
        <v>81</v>
      </c>
      <c r="J21" s="70">
        <v>0</v>
      </c>
      <c r="K21" s="70">
        <v>0</v>
      </c>
      <c r="L21" s="70">
        <v>0</v>
      </c>
      <c r="M21" s="70">
        <v>0</v>
      </c>
      <c r="N21" s="70">
        <v>279.10000000000002</v>
      </c>
      <c r="O21" s="70">
        <v>0</v>
      </c>
      <c r="P21" s="70">
        <v>0</v>
      </c>
      <c r="Q21" s="70">
        <v>0</v>
      </c>
      <c r="R21" s="70">
        <v>0</v>
      </c>
      <c r="S21" s="70">
        <v>0</v>
      </c>
      <c r="T21" s="70">
        <v>0</v>
      </c>
      <c r="U21" s="70">
        <v>0</v>
      </c>
      <c r="V21" s="53">
        <f>SUM(Table1[[#This Row],[July 2026]:[June 2027]])</f>
        <v>279.10000000000002</v>
      </c>
      <c r="W21" s="51"/>
    </row>
    <row r="22" spans="1:23" s="15" customFormat="1" ht="45" customHeight="1" x14ac:dyDescent="0.2">
      <c r="A22" s="17">
        <v>25709</v>
      </c>
      <c r="B22" s="34" t="s">
        <v>177</v>
      </c>
      <c r="C22" s="62">
        <v>4000000</v>
      </c>
      <c r="D22" s="62">
        <v>4000000</v>
      </c>
      <c r="E22" s="68" t="s">
        <v>43</v>
      </c>
      <c r="F22" s="19" t="s">
        <v>108</v>
      </c>
      <c r="G22" s="34" t="s">
        <v>47</v>
      </c>
      <c r="H22" s="18" t="s">
        <v>3</v>
      </c>
      <c r="I22" s="22" t="s">
        <v>81</v>
      </c>
      <c r="J22" s="70">
        <v>0</v>
      </c>
      <c r="K22" s="70">
        <v>0</v>
      </c>
      <c r="L22" s="70">
        <v>0</v>
      </c>
      <c r="M22" s="70">
        <v>0</v>
      </c>
      <c r="N22" s="70">
        <v>4</v>
      </c>
      <c r="O22" s="70">
        <v>0</v>
      </c>
      <c r="P22" s="70">
        <v>0</v>
      </c>
      <c r="Q22" s="70">
        <v>0</v>
      </c>
      <c r="R22" s="70">
        <v>0</v>
      </c>
      <c r="S22" s="70">
        <v>0</v>
      </c>
      <c r="T22" s="70">
        <v>0</v>
      </c>
      <c r="U22" s="70">
        <v>0</v>
      </c>
      <c r="V22" s="53">
        <f>SUM(Table1[[#This Row],[July 2026]:[June 2027]])</f>
        <v>4</v>
      </c>
      <c r="W22" s="51"/>
    </row>
    <row r="23" spans="1:23" s="15" customFormat="1" ht="45" customHeight="1" x14ac:dyDescent="0.2">
      <c r="A23" s="17">
        <v>25718</v>
      </c>
      <c r="B23" s="34" t="s">
        <v>178</v>
      </c>
      <c r="C23" s="62">
        <v>3500000</v>
      </c>
      <c r="D23" s="62">
        <v>3500000</v>
      </c>
      <c r="E23" s="68" t="s">
        <v>43</v>
      </c>
      <c r="F23" s="19" t="s">
        <v>109</v>
      </c>
      <c r="G23" s="16">
        <v>6620</v>
      </c>
      <c r="H23" s="20" t="s">
        <v>3</v>
      </c>
      <c r="I23" s="22" t="s">
        <v>81</v>
      </c>
      <c r="J23" s="70">
        <v>0</v>
      </c>
      <c r="K23" s="70">
        <v>0</v>
      </c>
      <c r="L23" s="70">
        <v>0</v>
      </c>
      <c r="M23" s="70">
        <v>0</v>
      </c>
      <c r="N23" s="70">
        <v>0</v>
      </c>
      <c r="O23" s="70">
        <v>0</v>
      </c>
      <c r="P23" s="70">
        <v>0</v>
      </c>
      <c r="Q23" s="70">
        <v>0</v>
      </c>
      <c r="R23" s="70">
        <v>0</v>
      </c>
      <c r="S23" s="70">
        <v>0</v>
      </c>
      <c r="T23" s="70">
        <v>3.5</v>
      </c>
      <c r="U23" s="70">
        <v>0</v>
      </c>
      <c r="V23" s="53">
        <f>SUM(Table1[[#This Row],[July 2026]:[June 2027]])</f>
        <v>3.5</v>
      </c>
      <c r="W23" s="51"/>
    </row>
    <row r="24" spans="1:23" s="15" customFormat="1" ht="45" customHeight="1" x14ac:dyDescent="0.2">
      <c r="A24" s="17">
        <v>25592</v>
      </c>
      <c r="B24" s="34" t="s">
        <v>179</v>
      </c>
      <c r="C24" s="62">
        <v>4140000</v>
      </c>
      <c r="D24" s="62">
        <v>4140000</v>
      </c>
      <c r="E24" s="68" t="s">
        <v>43</v>
      </c>
      <c r="F24" s="19" t="s">
        <v>110</v>
      </c>
      <c r="G24" s="16">
        <v>7810</v>
      </c>
      <c r="H24" s="18" t="s">
        <v>3</v>
      </c>
      <c r="I24" s="74" t="s">
        <v>81</v>
      </c>
      <c r="J24" s="70">
        <v>0</v>
      </c>
      <c r="K24" s="70">
        <v>0</v>
      </c>
      <c r="L24" s="70">
        <v>0</v>
      </c>
      <c r="M24" s="70">
        <v>4.0999999999999996</v>
      </c>
      <c r="N24" s="70">
        <v>0</v>
      </c>
      <c r="O24" s="70">
        <v>0</v>
      </c>
      <c r="P24" s="70">
        <v>0</v>
      </c>
      <c r="Q24" s="70">
        <v>0</v>
      </c>
      <c r="R24" s="70">
        <v>0</v>
      </c>
      <c r="S24" s="70">
        <v>0</v>
      </c>
      <c r="T24" s="70">
        <v>0</v>
      </c>
      <c r="U24" s="70">
        <v>0</v>
      </c>
      <c r="V24" s="53">
        <f>SUM(Table1[[#This Row],[July 2026]:[June 2027]])</f>
        <v>4.0999999999999996</v>
      </c>
      <c r="W24" s="51"/>
    </row>
    <row r="25" spans="1:23" s="15" customFormat="1" ht="45" customHeight="1" x14ac:dyDescent="0.2">
      <c r="A25" s="17">
        <v>25855</v>
      </c>
      <c r="B25" s="34" t="s">
        <v>180</v>
      </c>
      <c r="C25" s="62">
        <v>50000000</v>
      </c>
      <c r="D25" s="62">
        <v>50000000</v>
      </c>
      <c r="E25" s="68" t="s">
        <v>43</v>
      </c>
      <c r="F25" s="19" t="s">
        <v>111</v>
      </c>
      <c r="G25" s="34" t="s">
        <v>47</v>
      </c>
      <c r="H25" s="18" t="s">
        <v>3</v>
      </c>
      <c r="I25" s="22" t="s">
        <v>81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50</v>
      </c>
      <c r="P25" s="70">
        <v>0</v>
      </c>
      <c r="Q25" s="70">
        <v>0</v>
      </c>
      <c r="R25" s="70">
        <v>0</v>
      </c>
      <c r="S25" s="70">
        <v>0</v>
      </c>
      <c r="T25" s="70">
        <v>0</v>
      </c>
      <c r="U25" s="70">
        <v>0</v>
      </c>
      <c r="V25" s="53">
        <f>SUM(Table1[[#This Row],[July 2026]:[June 2027]])</f>
        <v>50</v>
      </c>
      <c r="W25" s="51"/>
    </row>
    <row r="26" spans="1:23" s="15" customFormat="1" ht="45" customHeight="1" x14ac:dyDescent="0.2">
      <c r="A26" s="17">
        <v>24171</v>
      </c>
      <c r="B26" s="34" t="s">
        <v>112</v>
      </c>
      <c r="C26" s="62">
        <v>1500000</v>
      </c>
      <c r="D26" s="62">
        <v>1500000</v>
      </c>
      <c r="E26" s="68" t="s">
        <v>43</v>
      </c>
      <c r="F26" s="19" t="s">
        <v>113</v>
      </c>
      <c r="G26" s="72">
        <v>7370</v>
      </c>
      <c r="H26" s="18" t="s">
        <v>3</v>
      </c>
      <c r="I26" s="22" t="s">
        <v>81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1.5</v>
      </c>
      <c r="P26" s="70">
        <v>0</v>
      </c>
      <c r="Q26" s="70">
        <v>0</v>
      </c>
      <c r="R26" s="70">
        <v>0</v>
      </c>
      <c r="S26" s="70">
        <v>0</v>
      </c>
      <c r="T26" s="70">
        <v>0</v>
      </c>
      <c r="U26" s="70">
        <v>0</v>
      </c>
      <c r="V26" s="53">
        <f>SUM(Table1[[#This Row],[July 2026]:[June 2027]])</f>
        <v>1.5</v>
      </c>
      <c r="W26" s="51"/>
    </row>
    <row r="27" spans="1:23" s="15" customFormat="1" ht="45" customHeight="1" x14ac:dyDescent="0.2">
      <c r="A27" s="17">
        <v>25739</v>
      </c>
      <c r="B27" s="34" t="s">
        <v>114</v>
      </c>
      <c r="C27" s="62" t="s">
        <v>47</v>
      </c>
      <c r="D27" s="62" t="s">
        <v>47</v>
      </c>
      <c r="E27" s="68" t="s">
        <v>43</v>
      </c>
      <c r="F27" s="19" t="s">
        <v>115</v>
      </c>
      <c r="G27" s="72">
        <v>6770</v>
      </c>
      <c r="H27" s="18" t="s">
        <v>3</v>
      </c>
      <c r="I27" s="22" t="s">
        <v>81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v>0</v>
      </c>
      <c r="Q27" s="70">
        <v>0</v>
      </c>
      <c r="R27" s="70">
        <v>0</v>
      </c>
      <c r="S27" s="70" t="s">
        <v>47</v>
      </c>
      <c r="T27" s="70">
        <v>0</v>
      </c>
      <c r="U27" s="70">
        <v>0</v>
      </c>
      <c r="V27" s="53">
        <f>SUM(Table1[[#This Row],[July 2026]:[June 2027]])</f>
        <v>0</v>
      </c>
      <c r="W27" s="51"/>
    </row>
    <row r="28" spans="1:23" s="15" customFormat="1" ht="45" customHeight="1" x14ac:dyDescent="0.2">
      <c r="A28" s="17">
        <v>23751</v>
      </c>
      <c r="B28" s="34" t="s">
        <v>181</v>
      </c>
      <c r="C28" s="62">
        <v>121536</v>
      </c>
      <c r="D28" s="62">
        <v>121536</v>
      </c>
      <c r="E28" s="68" t="s">
        <v>43</v>
      </c>
      <c r="F28" s="19" t="s">
        <v>116</v>
      </c>
      <c r="G28" s="72" t="s">
        <v>117</v>
      </c>
      <c r="H28" s="18" t="s">
        <v>3</v>
      </c>
      <c r="I28" s="22" t="s">
        <v>81</v>
      </c>
      <c r="J28" s="70">
        <v>0</v>
      </c>
      <c r="K28" s="70">
        <v>0</v>
      </c>
      <c r="L28" s="70">
        <v>0</v>
      </c>
      <c r="M28" s="70">
        <v>0</v>
      </c>
      <c r="N28" s="70">
        <v>0.1</v>
      </c>
      <c r="O28" s="70">
        <v>0</v>
      </c>
      <c r="P28" s="70">
        <v>0</v>
      </c>
      <c r="Q28" s="70">
        <v>0</v>
      </c>
      <c r="R28" s="70">
        <v>0</v>
      </c>
      <c r="S28" s="70">
        <v>0</v>
      </c>
      <c r="T28" s="70">
        <v>0</v>
      </c>
      <c r="U28" s="70">
        <v>0</v>
      </c>
      <c r="V28" s="53">
        <f>SUM(Table1[[#This Row],[July 2026]:[June 2027]])</f>
        <v>0.1</v>
      </c>
      <c r="W28" s="51"/>
    </row>
    <row r="29" spans="1:23" s="15" customFormat="1" ht="45" customHeight="1" x14ac:dyDescent="0.2">
      <c r="A29" s="17" t="s">
        <v>118</v>
      </c>
      <c r="B29" s="75" t="s">
        <v>119</v>
      </c>
      <c r="C29" s="62">
        <v>29184000</v>
      </c>
      <c r="D29" s="62">
        <v>29184000</v>
      </c>
      <c r="E29" s="68" t="s">
        <v>43</v>
      </c>
      <c r="F29" s="19" t="s">
        <v>120</v>
      </c>
      <c r="G29" s="71" t="s">
        <v>121</v>
      </c>
      <c r="H29" s="20" t="s">
        <v>3</v>
      </c>
      <c r="I29" s="22" t="s">
        <v>81</v>
      </c>
      <c r="J29" s="70">
        <v>0</v>
      </c>
      <c r="K29" s="70">
        <v>0</v>
      </c>
      <c r="L29" s="70">
        <v>0</v>
      </c>
      <c r="M29" s="70">
        <v>29.2</v>
      </c>
      <c r="N29" s="70">
        <v>0</v>
      </c>
      <c r="O29" s="70">
        <v>0</v>
      </c>
      <c r="P29" s="70">
        <v>0</v>
      </c>
      <c r="Q29" s="70">
        <v>0</v>
      </c>
      <c r="R29" s="70">
        <v>0</v>
      </c>
      <c r="S29" s="70">
        <v>0</v>
      </c>
      <c r="T29" s="70">
        <v>0</v>
      </c>
      <c r="U29" s="70">
        <v>0</v>
      </c>
      <c r="V29" s="53">
        <f>SUM(Table1[[#This Row],[July 2026]:[June 2027]])</f>
        <v>29.2</v>
      </c>
      <c r="W29" s="51"/>
    </row>
    <row r="30" spans="1:23" s="15" customFormat="1" ht="60" x14ac:dyDescent="0.2">
      <c r="A30" s="17" t="s">
        <v>168</v>
      </c>
      <c r="B30" s="34" t="s">
        <v>182</v>
      </c>
      <c r="C30" s="62">
        <v>5033559000</v>
      </c>
      <c r="D30" s="62">
        <v>5033559000</v>
      </c>
      <c r="E30" s="68" t="s">
        <v>43</v>
      </c>
      <c r="F30" s="19" t="s">
        <v>122</v>
      </c>
      <c r="G30" s="34">
        <v>6021</v>
      </c>
      <c r="H30" s="18" t="s">
        <v>3</v>
      </c>
      <c r="I30" s="22" t="s">
        <v>123</v>
      </c>
      <c r="J30" s="70">
        <v>0</v>
      </c>
      <c r="K30" s="70">
        <v>0</v>
      </c>
      <c r="L30" s="70">
        <v>0</v>
      </c>
      <c r="M30" s="70">
        <v>0</v>
      </c>
      <c r="N30" s="70">
        <v>3772</v>
      </c>
      <c r="O30" s="70">
        <v>0</v>
      </c>
      <c r="P30" s="70">
        <v>0</v>
      </c>
      <c r="Q30" s="70">
        <v>1258</v>
      </c>
      <c r="R30" s="70">
        <v>0</v>
      </c>
      <c r="S30" s="70">
        <v>0</v>
      </c>
      <c r="T30" s="70">
        <v>0</v>
      </c>
      <c r="U30" s="70">
        <v>0</v>
      </c>
      <c r="V30" s="53">
        <f>SUM(Table1[[#This Row],[July 2026]:[June 2027]])</f>
        <v>5030</v>
      </c>
      <c r="W30" s="51"/>
    </row>
    <row r="31" spans="1:23" s="15" customFormat="1" ht="45" customHeight="1" x14ac:dyDescent="0.2">
      <c r="A31" s="17" t="s">
        <v>47</v>
      </c>
      <c r="B31" s="17" t="s">
        <v>183</v>
      </c>
      <c r="C31" s="62">
        <v>30000000</v>
      </c>
      <c r="D31" s="62">
        <v>30000000</v>
      </c>
      <c r="E31" s="68" t="s">
        <v>43</v>
      </c>
      <c r="F31" s="19" t="s">
        <v>167</v>
      </c>
      <c r="G31" s="34" t="s">
        <v>47</v>
      </c>
      <c r="H31" s="18" t="s">
        <v>3</v>
      </c>
      <c r="I31" s="22" t="s">
        <v>81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30</v>
      </c>
      <c r="P31" s="70">
        <v>0</v>
      </c>
      <c r="Q31" s="70">
        <v>0</v>
      </c>
      <c r="R31" s="70">
        <v>0</v>
      </c>
      <c r="S31" s="70">
        <v>0</v>
      </c>
      <c r="T31" s="70">
        <v>0</v>
      </c>
      <c r="U31" s="70">
        <v>0</v>
      </c>
      <c r="V31" s="53">
        <f>SUM(Table1[[#This Row],[July 2026]:[June 2027]])</f>
        <v>30</v>
      </c>
      <c r="W31" s="51"/>
    </row>
    <row r="32" spans="1:23" s="15" customFormat="1" ht="45" customHeight="1" x14ac:dyDescent="0.2">
      <c r="A32" s="17">
        <v>23318</v>
      </c>
      <c r="B32" s="34" t="s">
        <v>184</v>
      </c>
      <c r="C32" s="62" t="s">
        <v>47</v>
      </c>
      <c r="D32" s="62" t="s">
        <v>47</v>
      </c>
      <c r="E32" s="68" t="s">
        <v>43</v>
      </c>
      <c r="F32" s="19" t="s">
        <v>124</v>
      </c>
      <c r="G32" s="16" t="s">
        <v>44</v>
      </c>
      <c r="H32" s="18" t="s">
        <v>3</v>
      </c>
      <c r="I32" s="22" t="s">
        <v>81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 t="s">
        <v>47</v>
      </c>
      <c r="Q32" s="70">
        <v>0</v>
      </c>
      <c r="R32" s="70">
        <v>0</v>
      </c>
      <c r="S32" s="70">
        <v>0</v>
      </c>
      <c r="T32" s="70">
        <v>0</v>
      </c>
      <c r="U32" s="70">
        <v>0</v>
      </c>
      <c r="V32" s="53">
        <f>SUM(Table1[[#This Row],[July 2026]:[June 2027]])</f>
        <v>0</v>
      </c>
      <c r="W32" s="51"/>
    </row>
    <row r="33" spans="1:23" ht="15.75" x14ac:dyDescent="0.25">
      <c r="A33" s="111" t="s">
        <v>125</v>
      </c>
      <c r="B33" s="112"/>
      <c r="C33" s="113"/>
      <c r="D33" s="113"/>
      <c r="E33" s="112"/>
      <c r="F33" s="114"/>
      <c r="G33" s="110"/>
      <c r="H33" s="115"/>
      <c r="I33" s="115"/>
      <c r="J33" s="116">
        <f>SUBTOTAL(109,Table1[July 2026])</f>
        <v>0</v>
      </c>
      <c r="K33" s="116">
        <f>SUBTOTAL(109,Table1[Aug 2026])</f>
        <v>21.2</v>
      </c>
      <c r="L33" s="116">
        <f>SUBTOTAL(109,Table1[Sept 2026])</f>
        <v>290</v>
      </c>
      <c r="M33" s="116">
        <f>SUBTOTAL(109,Table1[Oct 2026])</f>
        <v>61.3</v>
      </c>
      <c r="N33" s="116">
        <f>SUBTOTAL(109,Table1[Nov 2026])</f>
        <v>4812.6000000000004</v>
      </c>
      <c r="O33" s="116">
        <f>SUBTOTAL(109,Table1[Dec 2026])</f>
        <v>431.5</v>
      </c>
      <c r="P33" s="116">
        <f>SUBTOTAL(109,Table1[Jan 2027])</f>
        <v>1040.0999999999999</v>
      </c>
      <c r="Q33" s="117">
        <f>SUBTOTAL(109,Table1[Feb 2027])</f>
        <v>1258</v>
      </c>
      <c r="R33" s="116">
        <f>SUBTOTAL(109,Table1[Mar 2027])</f>
        <v>9.8999999999999986</v>
      </c>
      <c r="S33" s="116">
        <f>SUBTOTAL(109,Table1[April 2027])</f>
        <v>0</v>
      </c>
      <c r="T33" s="116">
        <f>SUBTOTAL(109,Table1[May 2027])</f>
        <v>3.5</v>
      </c>
      <c r="U33" s="116">
        <f>SUBTOTAL(109,Table1[June 2027])</f>
        <v>0</v>
      </c>
      <c r="V33" s="116">
        <f>SUBTOTAL(109,Table1[Total])</f>
        <v>7928.0999999999995</v>
      </c>
      <c r="W33" s="51"/>
    </row>
    <row r="34" spans="1:23" x14ac:dyDescent="0.2">
      <c r="A34" t="s">
        <v>27</v>
      </c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</row>
    <row r="35" spans="1:23" x14ac:dyDescent="0.2">
      <c r="A35" t="s">
        <v>28</v>
      </c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</row>
    <row r="36" spans="1:23" x14ac:dyDescent="0.2">
      <c r="A36" t="s">
        <v>29</v>
      </c>
      <c r="C36" s="7"/>
      <c r="D36" s="7"/>
      <c r="E36" s="7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3" x14ac:dyDescent="0.2">
      <c r="A37" s="14" t="str">
        <f>Summary!A17</f>
        <v>October 2026</v>
      </c>
    </row>
  </sheetData>
  <sheetProtection selectLockedCells="1" selectUnlockedCells="1"/>
  <phoneticPr fontId="18" type="noConversion"/>
  <conditionalFormatting sqref="J28:P28">
    <cfRule type="containsText" dxfId="181" priority="16" stopIfTrue="1" operator="containsText" text="TBD">
      <formula>NOT(ISERROR(SEARCH("TBD",J28)))</formula>
    </cfRule>
    <cfRule type="cellIs" dxfId="180" priority="17" stopIfTrue="1" operator="notEqual">
      <formula>0</formula>
    </cfRule>
    <cfRule type="cellIs" dxfId="179" priority="18" stopIfTrue="1" operator="equal">
      <formula>0</formula>
    </cfRule>
  </conditionalFormatting>
  <conditionalFormatting sqref="J27:S27">
    <cfRule type="containsText" dxfId="178" priority="10" stopIfTrue="1" operator="containsText" text="TBD">
      <formula>NOT(ISERROR(SEARCH("TBD",J27)))</formula>
    </cfRule>
    <cfRule type="cellIs" dxfId="177" priority="11" stopIfTrue="1" operator="notEqual">
      <formula>0</formula>
    </cfRule>
    <cfRule type="cellIs" dxfId="176" priority="12" stopIfTrue="1" operator="equal">
      <formula>0</formula>
    </cfRule>
  </conditionalFormatting>
  <conditionalFormatting sqref="J7:U32 J6:V6 V7:V8">
    <cfRule type="containsText" dxfId="175" priority="79" stopIfTrue="1" operator="containsText" text="TBD">
      <formula>NOT(ISERROR(SEARCH("TBD",J6)))</formula>
    </cfRule>
  </conditionalFormatting>
  <conditionalFormatting sqref="J19:U19">
    <cfRule type="containsText" dxfId="174" priority="25" stopIfTrue="1" operator="containsText" text="TBD">
      <formula>NOT(ISERROR(SEARCH("TBD",J19)))</formula>
    </cfRule>
    <cfRule type="cellIs" dxfId="173" priority="26" stopIfTrue="1" operator="notEqual">
      <formula>0</formula>
    </cfRule>
    <cfRule type="cellIs" dxfId="172" priority="27" stopIfTrue="1" operator="equal">
      <formula>0</formula>
    </cfRule>
  </conditionalFormatting>
  <conditionalFormatting sqref="J6:V6 V7:V8 J7:U32">
    <cfRule type="cellIs" dxfId="171" priority="80" stopIfTrue="1" operator="notEqual">
      <formula>0</formula>
    </cfRule>
    <cfRule type="cellIs" dxfId="170" priority="81" stopIfTrue="1" operator="equal">
      <formula>0</formula>
    </cfRule>
  </conditionalFormatting>
  <conditionalFormatting sqref="M17">
    <cfRule type="containsText" dxfId="169" priority="31" stopIfTrue="1" operator="containsText" text="TBD">
      <formula>NOT(ISERROR(SEARCH("TBD",M17)))</formula>
    </cfRule>
    <cfRule type="cellIs" dxfId="168" priority="32" stopIfTrue="1" operator="notEqual">
      <formula>0</formula>
    </cfRule>
    <cfRule type="cellIs" dxfId="167" priority="33" stopIfTrue="1" operator="equal">
      <formula>0</formula>
    </cfRule>
  </conditionalFormatting>
  <conditionalFormatting sqref="N17">
    <cfRule type="containsText" dxfId="166" priority="28" stopIfTrue="1" operator="containsText" text="TBD">
      <formula>NOT(ISERROR(SEARCH("TBD",N17)))</formula>
    </cfRule>
    <cfRule type="cellIs" dxfId="165" priority="29" stopIfTrue="1" operator="notEqual">
      <formula>0</formula>
    </cfRule>
    <cfRule type="cellIs" dxfId="164" priority="30" stopIfTrue="1" operator="equal">
      <formula>0</formula>
    </cfRule>
  </conditionalFormatting>
  <conditionalFormatting sqref="N26:O26">
    <cfRule type="cellIs" dxfId="163" priority="23" stopIfTrue="1" operator="notEqual">
      <formula>0</formula>
    </cfRule>
    <cfRule type="containsText" dxfId="162" priority="22" stopIfTrue="1" operator="containsText" text="TBD">
      <formula>NOT(ISERROR(SEARCH("TBD",N26)))</formula>
    </cfRule>
    <cfRule type="cellIs" dxfId="161" priority="24" stopIfTrue="1" operator="equal">
      <formula>0</formula>
    </cfRule>
  </conditionalFormatting>
  <conditionalFormatting sqref="P26:U26">
    <cfRule type="cellIs" dxfId="160" priority="20" stopIfTrue="1" operator="notEqual">
      <formula>0</formula>
    </cfRule>
    <cfRule type="containsText" dxfId="159" priority="19" stopIfTrue="1" operator="containsText" text="TBD">
      <formula>NOT(ISERROR(SEARCH("TBD",P26)))</formula>
    </cfRule>
    <cfRule type="cellIs" dxfId="158" priority="21" stopIfTrue="1" operator="equal">
      <formula>0</formula>
    </cfRule>
  </conditionalFormatting>
  <conditionalFormatting sqref="Q28:U28">
    <cfRule type="cellIs" dxfId="157" priority="15" stopIfTrue="1" operator="equal">
      <formula>0</formula>
    </cfRule>
    <cfRule type="containsText" dxfId="156" priority="13" stopIfTrue="1" operator="containsText" text="TBD">
      <formula>NOT(ISERROR(SEARCH("TBD",Q28)))</formula>
    </cfRule>
    <cfRule type="cellIs" dxfId="155" priority="14" stopIfTrue="1" operator="notEqual">
      <formula>0</formula>
    </cfRule>
  </conditionalFormatting>
  <conditionalFormatting sqref="S27">
    <cfRule type="cellIs" dxfId="154" priority="3" stopIfTrue="1" operator="equal">
      <formula>0</formula>
    </cfRule>
    <cfRule type="containsText" dxfId="153" priority="4" stopIfTrue="1" operator="containsText" text="TBD">
      <formula>NOT(ISERROR(SEARCH("TBD",S27)))</formula>
    </cfRule>
    <cfRule type="cellIs" dxfId="152" priority="5" stopIfTrue="1" operator="notEqual">
      <formula>0</formula>
    </cfRule>
    <cfRule type="cellIs" dxfId="151" priority="6" stopIfTrue="1" operator="equal">
      <formula>0</formula>
    </cfRule>
    <cfRule type="containsText" dxfId="150" priority="1" stopIfTrue="1" operator="containsText" text="TBD">
      <formula>NOT(ISERROR(SEARCH("TBD",S27)))</formula>
    </cfRule>
    <cfRule type="cellIs" dxfId="149" priority="2" stopIfTrue="1" operator="notEqual">
      <formula>0</formula>
    </cfRule>
  </conditionalFormatting>
  <conditionalFormatting sqref="T27:U27">
    <cfRule type="cellIs" dxfId="148" priority="8" stopIfTrue="1" operator="notEqual">
      <formula>0</formula>
    </cfRule>
    <cfRule type="containsText" dxfId="147" priority="7" stopIfTrue="1" operator="containsText" text="TBD">
      <formula>NOT(ISERROR(SEARCH("TBD",T27)))</formula>
    </cfRule>
    <cfRule type="cellIs" dxfId="146" priority="9" stopIfTrue="1" operator="equal">
      <formula>0</formula>
    </cfRule>
  </conditionalFormatting>
  <conditionalFormatting sqref="V6:V32">
    <cfRule type="cellIs" dxfId="145" priority="149" stopIfTrue="1" operator="notEqual">
      <formula>0</formula>
    </cfRule>
    <cfRule type="cellIs" dxfId="144" priority="150" stopIfTrue="1" operator="equal">
      <formula>0</formula>
    </cfRule>
  </conditionalFormatting>
  <hyperlinks>
    <hyperlink ref="H21" r:id="rId1" xr:uid="{906D28CE-2D3D-49C0-B3C9-5A766C2396CB}"/>
    <hyperlink ref="H25" r:id="rId2" xr:uid="{4B20E54C-A2F3-426F-A02F-C9ACCEF0168C}"/>
    <hyperlink ref="H20" r:id="rId3" xr:uid="{B9CAF6E9-4A1D-4C17-98E6-A1A58FCDFCB8}"/>
    <hyperlink ref="H26" r:id="rId4" xr:uid="{4B55DA32-18DD-45F3-ABF6-17437ED5D53B}"/>
    <hyperlink ref="H28" r:id="rId5" xr:uid="{B58DC862-2B0B-4BEE-BCF4-5A3D2AC689F0}"/>
    <hyperlink ref="H27" r:id="rId6" xr:uid="{83C7DC09-E461-4ADF-B203-E5DE0BCE29D4}"/>
    <hyperlink ref="H31" r:id="rId7" xr:uid="{8E03162B-D76D-4595-9FC0-5E1BAD5AD0AD}"/>
  </hyperlinks>
  <pageMargins left="0.7" right="0.7" top="0.75" bottom="0.75" header="0.3" footer="0.3"/>
  <pageSetup scale="31" orientation="landscape" r:id="rId8"/>
  <tableParts count="1">
    <tablePart r:id="rId9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1"/>
  <sheetViews>
    <sheetView showGridLines="0" zoomScaleNormal="100" workbookViewId="0">
      <pane ySplit="4" topLeftCell="A5" activePane="bottomLeft" state="frozen"/>
      <selection pane="bottomLeft"/>
    </sheetView>
  </sheetViews>
  <sheetFormatPr defaultColWidth="9.21875" defaultRowHeight="15" customHeight="1" x14ac:dyDescent="0.2"/>
  <cols>
    <col min="1" max="1" width="18.6640625" customWidth="1"/>
    <col min="2" max="2" width="30.88671875" customWidth="1"/>
    <col min="3" max="3" width="19.5546875" customWidth="1"/>
    <col min="4" max="4" width="11.109375" customWidth="1"/>
    <col min="5" max="5" width="59" customWidth="1"/>
    <col min="6" max="6" width="9.21875" bestFit="1" customWidth="1"/>
    <col min="7" max="7" width="19" customWidth="1"/>
    <col min="8" max="8" width="18.88671875" customWidth="1"/>
    <col min="9" max="10" width="10.6640625" customWidth="1"/>
    <col min="11" max="11" width="11.109375" customWidth="1"/>
    <col min="12" max="12" width="10.109375" customWidth="1"/>
    <col min="13" max="13" width="10.6640625" customWidth="1"/>
    <col min="14" max="14" width="10.5546875" customWidth="1"/>
    <col min="15" max="17" width="10.21875" customWidth="1"/>
    <col min="18" max="18" width="11.109375" customWidth="1"/>
    <col min="19" max="19" width="10.6640625" customWidth="1"/>
    <col min="20" max="20" width="11.44140625" customWidth="1"/>
    <col min="21" max="21" width="10.88671875" customWidth="1"/>
  </cols>
  <sheetData>
    <row r="1" spans="1:21" ht="18" x14ac:dyDescent="0.25">
      <c r="A1" s="10" t="s">
        <v>126</v>
      </c>
    </row>
    <row r="2" spans="1:21" x14ac:dyDescent="0.2">
      <c r="A2" t="s">
        <v>1</v>
      </c>
    </row>
    <row r="3" spans="1:21" ht="15.75" x14ac:dyDescent="0.25">
      <c r="A3" s="30" t="s">
        <v>127</v>
      </c>
      <c r="B3" s="2"/>
    </row>
    <row r="4" spans="1:21" ht="68.45" customHeight="1" x14ac:dyDescent="0.25">
      <c r="A4" s="25" t="s">
        <v>33</v>
      </c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  <c r="G4" s="26" t="s">
        <v>76</v>
      </c>
      <c r="H4" s="26" t="s">
        <v>77</v>
      </c>
      <c r="I4" s="27" t="s">
        <v>7</v>
      </c>
      <c r="J4" s="27" t="s">
        <v>8</v>
      </c>
      <c r="K4" s="27" t="s">
        <v>9</v>
      </c>
      <c r="L4" s="27" t="s">
        <v>10</v>
      </c>
      <c r="M4" s="27" t="s">
        <v>11</v>
      </c>
      <c r="N4" s="27" t="s">
        <v>12</v>
      </c>
      <c r="O4" s="27" t="s">
        <v>13</v>
      </c>
      <c r="P4" s="27" t="s">
        <v>14</v>
      </c>
      <c r="Q4" s="27" t="s">
        <v>15</v>
      </c>
      <c r="R4" s="27" t="s">
        <v>16</v>
      </c>
      <c r="S4" s="27" t="s">
        <v>17</v>
      </c>
      <c r="T4" s="27" t="s">
        <v>18</v>
      </c>
      <c r="U4" s="26" t="s">
        <v>19</v>
      </c>
    </row>
    <row r="5" spans="1:21" s="15" customFormat="1" ht="45" customHeight="1" x14ac:dyDescent="0.2">
      <c r="A5" s="17" t="s">
        <v>117</v>
      </c>
      <c r="B5" s="34" t="s">
        <v>128</v>
      </c>
      <c r="C5" s="31" t="s">
        <v>128</v>
      </c>
      <c r="D5" s="35" t="s">
        <v>48</v>
      </c>
      <c r="E5" s="19" t="s">
        <v>129</v>
      </c>
      <c r="F5" s="16" t="s">
        <v>130</v>
      </c>
      <c r="G5" s="18" t="s">
        <v>3</v>
      </c>
      <c r="H5" s="22" t="s">
        <v>52</v>
      </c>
      <c r="I5" s="24">
        <v>0</v>
      </c>
      <c r="J5" s="24">
        <v>0</v>
      </c>
      <c r="K5" s="70">
        <v>364.3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3">
        <f>SUM(Table4[[#This Row],[July 2026]:[June 2027]])</f>
        <v>364.3</v>
      </c>
    </row>
    <row r="6" spans="1:21" s="15" customFormat="1" ht="45" customHeight="1" x14ac:dyDescent="0.2">
      <c r="A6" s="17" t="s">
        <v>117</v>
      </c>
      <c r="B6" s="34" t="s">
        <v>128</v>
      </c>
      <c r="C6" s="31" t="s">
        <v>128</v>
      </c>
      <c r="D6" s="35" t="s">
        <v>43</v>
      </c>
      <c r="E6" s="19" t="s">
        <v>129</v>
      </c>
      <c r="F6" s="16" t="s">
        <v>130</v>
      </c>
      <c r="G6" s="18" t="s">
        <v>3</v>
      </c>
      <c r="H6" s="22" t="s">
        <v>52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61" t="s">
        <v>47</v>
      </c>
      <c r="O6" s="24">
        <v>0</v>
      </c>
      <c r="P6" s="24">
        <v>0</v>
      </c>
      <c r="Q6" s="61" t="s">
        <v>47</v>
      </c>
      <c r="R6" s="24">
        <v>0</v>
      </c>
      <c r="S6" s="24">
        <v>0</v>
      </c>
      <c r="T6" s="61" t="s">
        <v>47</v>
      </c>
      <c r="U6" s="23">
        <f>SUM(Table4[[#This Row],[July 2026]:[June 2027]])</f>
        <v>0</v>
      </c>
    </row>
    <row r="7" spans="1:21" ht="15.75" x14ac:dyDescent="0.2">
      <c r="A7" s="106" t="s">
        <v>131</v>
      </c>
      <c r="B7" s="96"/>
      <c r="C7" s="96"/>
      <c r="D7" s="96"/>
      <c r="E7" s="96"/>
      <c r="F7" s="97"/>
      <c r="G7" s="96"/>
      <c r="H7" s="96"/>
      <c r="I7" s="98">
        <f>SUBTOTAL(109,Table4[July 2026])</f>
        <v>0</v>
      </c>
      <c r="J7" s="98">
        <f>SUBTOTAL(109,Table4[Aug 2026])</f>
        <v>0</v>
      </c>
      <c r="K7" s="98">
        <f>SUBTOTAL(109,Table4[Sept 2026])</f>
        <v>364.3</v>
      </c>
      <c r="L7" s="98">
        <f>SUBTOTAL(109,Table4[Oct 2026])</f>
        <v>0</v>
      </c>
      <c r="M7" s="98">
        <f>SUBTOTAL(109,Table4[Nov 2026])</f>
        <v>0</v>
      </c>
      <c r="N7" s="98">
        <f>SUBTOTAL(109,Table4[Dec 2026])</f>
        <v>0</v>
      </c>
      <c r="O7" s="98">
        <f>SUBTOTAL(109,Table4[Jan 2027])</f>
        <v>0</v>
      </c>
      <c r="P7" s="98">
        <f>SUBTOTAL(109,Table4[Feb 2027])</f>
        <v>0</v>
      </c>
      <c r="Q7" s="98">
        <f>SUBTOTAL(109,Table4[Mar 2027])</f>
        <v>0</v>
      </c>
      <c r="R7" s="98">
        <f>SUBTOTAL(109,Table4[April 2027])</f>
        <v>0</v>
      </c>
      <c r="S7" s="98">
        <f>SUBTOTAL(109,Table4[May 2027])</f>
        <v>0</v>
      </c>
      <c r="T7" s="98">
        <f>SUBTOTAL(109,Table4[June 2027])</f>
        <v>0</v>
      </c>
      <c r="U7" s="99">
        <f>SUBTOTAL(109,Table4[Total])</f>
        <v>364.3</v>
      </c>
    </row>
    <row r="8" spans="1:21" x14ac:dyDescent="0.2">
      <c r="A8" t="s">
        <v>27</v>
      </c>
    </row>
    <row r="9" spans="1:21" x14ac:dyDescent="0.2">
      <c r="A9" t="s">
        <v>28</v>
      </c>
    </row>
    <row r="10" spans="1:21" x14ac:dyDescent="0.2">
      <c r="A10" t="s">
        <v>29</v>
      </c>
    </row>
    <row r="11" spans="1:21" x14ac:dyDescent="0.2">
      <c r="A11" s="14" t="str">
        <f>Summary!A17</f>
        <v>October 2026</v>
      </c>
      <c r="B11" s="8"/>
    </row>
  </sheetData>
  <conditionalFormatting sqref="I5:J5 L5:T5 I6:M6 O6:P6 R6:S6">
    <cfRule type="cellIs" dxfId="143" priority="29" stopIfTrue="1" operator="equal">
      <formula>"TBD"</formula>
    </cfRule>
    <cfRule type="cellIs" dxfId="142" priority="30" stopIfTrue="1" operator="notEqual">
      <formula>0</formula>
    </cfRule>
    <cfRule type="cellIs" dxfId="141" priority="31" stopIfTrue="1" operator="equal">
      <formula>0</formula>
    </cfRule>
  </conditionalFormatting>
  <conditionalFormatting sqref="K5">
    <cfRule type="containsText" dxfId="140" priority="19" stopIfTrue="1" operator="containsText" text="TBD">
      <formula>NOT(ISERROR(SEARCH("TBD",K5)))</formula>
    </cfRule>
    <cfRule type="cellIs" dxfId="139" priority="20" stopIfTrue="1" operator="notEqual">
      <formula>0</formula>
    </cfRule>
    <cfRule type="cellIs" dxfId="138" priority="21" stopIfTrue="1" operator="equal">
      <formula>0</formula>
    </cfRule>
    <cfRule type="containsText" dxfId="137" priority="22" stopIfTrue="1" operator="containsText" text="TBD">
      <formula>NOT(ISERROR(SEARCH("TBD",K5)))</formula>
    </cfRule>
    <cfRule type="cellIs" dxfId="136" priority="23" stopIfTrue="1" operator="notEqual">
      <formula>0</formula>
    </cfRule>
    <cfRule type="cellIs" dxfId="135" priority="24" stopIfTrue="1" operator="equal">
      <formula>0</formula>
    </cfRule>
  </conditionalFormatting>
  <conditionalFormatting sqref="N6">
    <cfRule type="containsText" dxfId="134" priority="13" stopIfTrue="1" operator="containsText" text="TBD">
      <formula>NOT(ISERROR(SEARCH("TBD",N6)))</formula>
    </cfRule>
    <cfRule type="cellIs" dxfId="133" priority="14" stopIfTrue="1" operator="notEqual">
      <formula>0</formula>
    </cfRule>
    <cfRule type="cellIs" dxfId="132" priority="15" stopIfTrue="1" operator="equal">
      <formula>0</formula>
    </cfRule>
    <cfRule type="containsText" dxfId="131" priority="16" stopIfTrue="1" operator="containsText" text="TBD">
      <formula>NOT(ISERROR(SEARCH("TBD",N6)))</formula>
    </cfRule>
    <cfRule type="cellIs" dxfId="130" priority="17" stopIfTrue="1" operator="notEqual">
      <formula>0</formula>
    </cfRule>
    <cfRule type="cellIs" dxfId="129" priority="18" stopIfTrue="1" operator="equal">
      <formula>0</formula>
    </cfRule>
  </conditionalFormatting>
  <conditionalFormatting sqref="Q6">
    <cfRule type="containsText" dxfId="128" priority="7" stopIfTrue="1" operator="containsText" text="TBD">
      <formula>NOT(ISERROR(SEARCH("TBD",Q6)))</formula>
    </cfRule>
    <cfRule type="cellIs" dxfId="127" priority="8" stopIfTrue="1" operator="notEqual">
      <formula>0</formula>
    </cfRule>
    <cfRule type="cellIs" dxfId="126" priority="9" stopIfTrue="1" operator="equal">
      <formula>0</formula>
    </cfRule>
    <cfRule type="containsText" dxfId="125" priority="10" stopIfTrue="1" operator="containsText" text="TBD">
      <formula>NOT(ISERROR(SEARCH("TBD",Q6)))</formula>
    </cfRule>
    <cfRule type="cellIs" dxfId="124" priority="11" stopIfTrue="1" operator="notEqual">
      <formula>0</formula>
    </cfRule>
    <cfRule type="cellIs" dxfId="123" priority="12" stopIfTrue="1" operator="equal">
      <formula>0</formula>
    </cfRule>
  </conditionalFormatting>
  <conditionalFormatting sqref="T6">
    <cfRule type="containsText" dxfId="122" priority="1" stopIfTrue="1" operator="containsText" text="TBD">
      <formula>NOT(ISERROR(SEARCH("TBD",T6)))</formula>
    </cfRule>
    <cfRule type="cellIs" dxfId="121" priority="2" stopIfTrue="1" operator="notEqual">
      <formula>0</formula>
    </cfRule>
    <cfRule type="cellIs" dxfId="120" priority="3" stopIfTrue="1" operator="equal">
      <formula>0</formula>
    </cfRule>
    <cfRule type="containsText" dxfId="119" priority="4" stopIfTrue="1" operator="containsText" text="TBD">
      <formula>NOT(ISERROR(SEARCH("TBD",T6)))</formula>
    </cfRule>
    <cfRule type="cellIs" dxfId="118" priority="5" stopIfTrue="1" operator="notEqual">
      <formula>0</formula>
    </cfRule>
    <cfRule type="cellIs" dxfId="117" priority="6" stopIfTrue="1" operator="equal">
      <formula>0</formula>
    </cfRule>
  </conditionalFormatting>
  <conditionalFormatting sqref="U5:U6">
    <cfRule type="cellIs" dxfId="116" priority="25" stopIfTrue="1" operator="notEqual">
      <formula>0</formula>
    </cfRule>
    <cfRule type="cellIs" dxfId="115" priority="26" stopIfTrue="1" operator="equal">
      <formula>0</formula>
    </cfRule>
  </conditionalFormatting>
  <hyperlinks>
    <hyperlink ref="G5:G7" r:id="rId1" display="jfinley@cde.ca.gov" xr:uid="{00000000-0004-0000-0300-000000000000}"/>
    <hyperlink ref="G5" r:id="rId2" display="jfinley@cde.ca.gov" xr:uid="{AA32EB7E-EC18-442B-AA18-3BCD13AEEB11}"/>
  </hyperlinks>
  <pageMargins left="0.7" right="0.7" top="0.75" bottom="0.75" header="0.3" footer="0.3"/>
  <pageSetup orientation="portrait" horizontalDpi="200" verticalDpi="200" r:id="rId3"/>
  <tableParts count="1"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3"/>
  <sheetViews>
    <sheetView showGridLines="0" zoomScaleNormal="100" workbookViewId="0">
      <pane ySplit="6" topLeftCell="A7" activePane="bottomLeft" state="frozen"/>
      <selection pane="bottomLeft"/>
    </sheetView>
  </sheetViews>
  <sheetFormatPr defaultColWidth="9.21875" defaultRowHeight="15" customHeight="1" x14ac:dyDescent="0.2"/>
  <cols>
    <col min="1" max="1" width="14.77734375" customWidth="1"/>
    <col min="2" max="2" width="44.109375" customWidth="1"/>
    <col min="3" max="3" width="23.33203125" customWidth="1"/>
    <col min="4" max="4" width="19.5546875" customWidth="1"/>
    <col min="5" max="5" width="11.5546875" customWidth="1"/>
    <col min="6" max="6" width="59" customWidth="1"/>
    <col min="7" max="7" width="10.6640625" bestFit="1" customWidth="1"/>
    <col min="8" max="8" width="17.5546875" bestFit="1" customWidth="1"/>
    <col min="9" max="9" width="21.44140625" bestFit="1" customWidth="1"/>
    <col min="10" max="10" width="13.109375" bestFit="1" customWidth="1"/>
    <col min="11" max="11" width="13" bestFit="1" customWidth="1"/>
    <col min="12" max="12" width="16.77734375" customWidth="1"/>
    <col min="13" max="22" width="12.6640625" customWidth="1"/>
    <col min="26" max="26" width="26" customWidth="1"/>
  </cols>
  <sheetData>
    <row r="1" spans="1:22" ht="18" x14ac:dyDescent="0.25">
      <c r="A1" s="10" t="s">
        <v>132</v>
      </c>
      <c r="D1" s="59"/>
    </row>
    <row r="2" spans="1:22" x14ac:dyDescent="0.2">
      <c r="A2" t="s">
        <v>1</v>
      </c>
    </row>
    <row r="3" spans="1:22" ht="18" x14ac:dyDescent="0.2">
      <c r="A3" s="30" t="s">
        <v>133</v>
      </c>
    </row>
    <row r="4" spans="1:22" s="9" customFormat="1" ht="18" x14ac:dyDescent="0.2">
      <c r="A4" s="30" t="s">
        <v>134</v>
      </c>
    </row>
    <row r="5" spans="1:22" ht="15.75" x14ac:dyDescent="0.25">
      <c r="A5" s="30" t="s">
        <v>135</v>
      </c>
    </row>
    <row r="6" spans="1:22" ht="63.6" customHeight="1" x14ac:dyDescent="0.25">
      <c r="A6" s="25" t="s">
        <v>33</v>
      </c>
      <c r="B6" s="26" t="s">
        <v>34</v>
      </c>
      <c r="C6" s="26" t="s">
        <v>74</v>
      </c>
      <c r="D6" s="26" t="s">
        <v>75</v>
      </c>
      <c r="E6" s="26" t="s">
        <v>36</v>
      </c>
      <c r="F6" s="26" t="s">
        <v>37</v>
      </c>
      <c r="G6" s="26" t="s">
        <v>38</v>
      </c>
      <c r="H6" s="26" t="s">
        <v>76</v>
      </c>
      <c r="I6" s="26" t="s">
        <v>77</v>
      </c>
      <c r="J6" s="27" t="s">
        <v>7</v>
      </c>
      <c r="K6" s="27" t="s">
        <v>8</v>
      </c>
      <c r="L6" s="27" t="s">
        <v>9</v>
      </c>
      <c r="M6" s="27" t="s">
        <v>10</v>
      </c>
      <c r="N6" s="27" t="s">
        <v>11</v>
      </c>
      <c r="O6" s="27" t="s">
        <v>12</v>
      </c>
      <c r="P6" s="27" t="s">
        <v>13</v>
      </c>
      <c r="Q6" s="27" t="s">
        <v>14</v>
      </c>
      <c r="R6" s="27" t="s">
        <v>15</v>
      </c>
      <c r="S6" s="27" t="s">
        <v>16</v>
      </c>
      <c r="T6" s="27" t="s">
        <v>17</v>
      </c>
      <c r="U6" s="27" t="s">
        <v>18</v>
      </c>
      <c r="V6" s="26" t="s">
        <v>19</v>
      </c>
    </row>
    <row r="7" spans="1:22" s="15" customFormat="1" ht="45" customHeight="1" x14ac:dyDescent="0.2">
      <c r="A7" s="17">
        <v>15438</v>
      </c>
      <c r="B7" s="34" t="s">
        <v>160</v>
      </c>
      <c r="C7" s="62">
        <v>144468349</v>
      </c>
      <c r="D7" s="62">
        <v>92864366</v>
      </c>
      <c r="E7" s="44" t="s">
        <v>88</v>
      </c>
      <c r="F7" s="19" t="s">
        <v>136</v>
      </c>
      <c r="G7" s="16">
        <v>3182</v>
      </c>
      <c r="H7" s="18" t="s">
        <v>3</v>
      </c>
      <c r="I7" s="22" t="s">
        <v>52</v>
      </c>
      <c r="J7" s="52">
        <v>0</v>
      </c>
      <c r="K7" s="52">
        <v>0</v>
      </c>
      <c r="L7" s="118">
        <v>46.2</v>
      </c>
      <c r="M7" s="52">
        <v>0</v>
      </c>
      <c r="N7" s="52">
        <v>0</v>
      </c>
      <c r="O7" s="65" t="s">
        <v>47</v>
      </c>
      <c r="P7" s="52">
        <v>0</v>
      </c>
      <c r="Q7" s="52">
        <v>0</v>
      </c>
      <c r="R7" s="52">
        <v>0</v>
      </c>
      <c r="S7" s="52">
        <v>0</v>
      </c>
      <c r="T7" s="52">
        <v>0</v>
      </c>
      <c r="U7" s="52">
        <v>0</v>
      </c>
      <c r="V7" s="43">
        <f>SUM(Table5[[#This Row],[July 2026]:[June 2027]])</f>
        <v>46.2</v>
      </c>
    </row>
    <row r="8" spans="1:22" s="15" customFormat="1" ht="45" customHeight="1" x14ac:dyDescent="0.2">
      <c r="A8" s="17">
        <v>15438</v>
      </c>
      <c r="B8" s="34" t="s">
        <v>155</v>
      </c>
      <c r="C8" s="62">
        <v>146281376</v>
      </c>
      <c r="D8" s="62">
        <v>109711027</v>
      </c>
      <c r="E8" s="44" t="s">
        <v>48</v>
      </c>
      <c r="F8" s="19" t="s">
        <v>136</v>
      </c>
      <c r="G8" s="16">
        <v>3182</v>
      </c>
      <c r="H8" s="18" t="s">
        <v>3</v>
      </c>
      <c r="I8" s="22" t="s">
        <v>52</v>
      </c>
      <c r="J8" s="52">
        <v>0</v>
      </c>
      <c r="K8" s="52">
        <v>0</v>
      </c>
      <c r="L8" s="65">
        <v>0.7</v>
      </c>
      <c r="M8" s="52">
        <v>0</v>
      </c>
      <c r="N8" s="52">
        <v>0</v>
      </c>
      <c r="O8" s="65" t="s">
        <v>47</v>
      </c>
      <c r="P8" s="52">
        <v>0</v>
      </c>
      <c r="Q8" s="52">
        <v>0</v>
      </c>
      <c r="R8" s="65" t="s">
        <v>47</v>
      </c>
      <c r="S8" s="52">
        <v>0</v>
      </c>
      <c r="T8" s="52">
        <v>0</v>
      </c>
      <c r="U8" s="65" t="s">
        <v>47</v>
      </c>
      <c r="V8" s="43">
        <f>SUM(Table5[[#This Row],[July 2026]:[June 2027]])</f>
        <v>0.7</v>
      </c>
    </row>
    <row r="9" spans="1:22" s="15" customFormat="1" ht="45" customHeight="1" x14ac:dyDescent="0.2">
      <c r="A9" s="17">
        <v>15438</v>
      </c>
      <c r="B9" s="34" t="s">
        <v>137</v>
      </c>
      <c r="C9" s="62">
        <v>150123355</v>
      </c>
      <c r="D9" s="62">
        <v>149255355</v>
      </c>
      <c r="E9" s="44" t="s">
        <v>43</v>
      </c>
      <c r="F9" s="19" t="s">
        <v>136</v>
      </c>
      <c r="G9" s="16">
        <v>3182</v>
      </c>
      <c r="H9" s="18" t="s">
        <v>3</v>
      </c>
      <c r="I9" s="22" t="s">
        <v>52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65" t="s">
        <v>47</v>
      </c>
      <c r="U9" s="65">
        <v>0</v>
      </c>
      <c r="V9" s="43">
        <f>SUM(Table5[[#This Row],[July 2026]:[June 2027]])</f>
        <v>0</v>
      </c>
    </row>
    <row r="10" spans="1:22" s="15" customFormat="1" ht="45" customHeight="1" x14ac:dyDescent="0.2">
      <c r="A10" s="17">
        <v>14329</v>
      </c>
      <c r="B10" s="34" t="s">
        <v>161</v>
      </c>
      <c r="C10" s="62">
        <v>2114685484</v>
      </c>
      <c r="D10" s="62">
        <v>8995860</v>
      </c>
      <c r="E10" s="44" t="s">
        <v>88</v>
      </c>
      <c r="F10" s="45" t="s">
        <v>138</v>
      </c>
      <c r="G10" s="16">
        <v>3010</v>
      </c>
      <c r="H10" s="18" t="s">
        <v>3</v>
      </c>
      <c r="I10" s="22" t="s">
        <v>52</v>
      </c>
      <c r="J10" s="52">
        <v>0</v>
      </c>
      <c r="K10" s="52">
        <v>0</v>
      </c>
      <c r="L10" s="65">
        <v>3.9</v>
      </c>
      <c r="M10" s="52">
        <v>0</v>
      </c>
      <c r="N10" s="52">
        <v>0</v>
      </c>
      <c r="O10" s="66" t="s">
        <v>47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43">
        <f>SUM(Table5[[#This Row],[July 2026]:[June 2027]])</f>
        <v>3.9</v>
      </c>
    </row>
    <row r="11" spans="1:22" s="15" customFormat="1" ht="45" customHeight="1" x14ac:dyDescent="0.2">
      <c r="A11" s="17">
        <v>14329</v>
      </c>
      <c r="B11" s="34" t="s">
        <v>156</v>
      </c>
      <c r="C11" s="62">
        <v>2078581949</v>
      </c>
      <c r="D11" s="62">
        <v>606527204</v>
      </c>
      <c r="E11" s="44" t="s">
        <v>48</v>
      </c>
      <c r="F11" s="19" t="s">
        <v>139</v>
      </c>
      <c r="G11" s="16">
        <v>3010</v>
      </c>
      <c r="H11" s="18" t="s">
        <v>3</v>
      </c>
      <c r="I11" s="22" t="s">
        <v>52</v>
      </c>
      <c r="J11" s="52">
        <v>0</v>
      </c>
      <c r="K11" s="52">
        <v>0</v>
      </c>
      <c r="L11" s="65">
        <v>420.3</v>
      </c>
      <c r="M11" s="52">
        <v>0</v>
      </c>
      <c r="N11" s="52">
        <v>0</v>
      </c>
      <c r="O11" s="66" t="s">
        <v>47</v>
      </c>
      <c r="P11" s="52">
        <v>0</v>
      </c>
      <c r="Q11" s="52">
        <v>0</v>
      </c>
      <c r="R11" s="66" t="s">
        <v>47</v>
      </c>
      <c r="S11" s="52">
        <v>0</v>
      </c>
      <c r="T11" s="52">
        <v>0</v>
      </c>
      <c r="U11" s="66" t="s">
        <v>47</v>
      </c>
      <c r="V11" s="43">
        <f>SUM(Table5[[#This Row],[July 2026]:[June 2027]])</f>
        <v>420.3</v>
      </c>
    </row>
    <row r="12" spans="1:22" s="15" customFormat="1" ht="45" customHeight="1" x14ac:dyDescent="0.2">
      <c r="A12" s="17">
        <v>14329</v>
      </c>
      <c r="B12" s="101" t="s">
        <v>140</v>
      </c>
      <c r="C12" s="62">
        <v>2076137515</v>
      </c>
      <c r="D12" s="62">
        <v>2125796940</v>
      </c>
      <c r="E12" s="44" t="s">
        <v>43</v>
      </c>
      <c r="F12" s="19" t="s">
        <v>139</v>
      </c>
      <c r="G12" s="16">
        <v>3010</v>
      </c>
      <c r="H12" s="18" t="s">
        <v>3</v>
      </c>
      <c r="I12" s="22" t="s">
        <v>52</v>
      </c>
      <c r="J12" s="52">
        <v>0</v>
      </c>
      <c r="K12" s="52">
        <v>0</v>
      </c>
      <c r="L12" s="65">
        <v>99.8</v>
      </c>
      <c r="M12" s="52">
        <v>0</v>
      </c>
      <c r="N12" s="52">
        <v>0</v>
      </c>
      <c r="O12" s="66" t="s">
        <v>47</v>
      </c>
      <c r="P12" s="52">
        <v>0</v>
      </c>
      <c r="Q12" s="52">
        <v>0</v>
      </c>
      <c r="R12" s="66" t="s">
        <v>47</v>
      </c>
      <c r="S12" s="52">
        <v>0</v>
      </c>
      <c r="T12" s="52">
        <v>0</v>
      </c>
      <c r="U12" s="66" t="s">
        <v>47</v>
      </c>
      <c r="V12" s="43">
        <f>SUM(Table5[[#This Row],[July 2026]:[June 2027]])</f>
        <v>99.8</v>
      </c>
    </row>
    <row r="13" spans="1:22" s="15" customFormat="1" ht="45" customHeight="1" x14ac:dyDescent="0.2">
      <c r="A13" s="17">
        <v>14357</v>
      </c>
      <c r="B13" s="34" t="s">
        <v>161</v>
      </c>
      <c r="C13" s="62">
        <v>16753449</v>
      </c>
      <c r="D13" s="62">
        <v>516365</v>
      </c>
      <c r="E13" s="17" t="s">
        <v>88</v>
      </c>
      <c r="F13" s="19" t="s">
        <v>141</v>
      </c>
      <c r="G13" s="16">
        <v>3025</v>
      </c>
      <c r="H13" s="18" t="s">
        <v>3</v>
      </c>
      <c r="I13" s="22" t="s">
        <v>52</v>
      </c>
      <c r="J13" s="52">
        <v>0</v>
      </c>
      <c r="K13" s="52">
        <v>0</v>
      </c>
      <c r="L13" s="65">
        <v>0.2</v>
      </c>
      <c r="M13" s="52">
        <v>0</v>
      </c>
      <c r="N13" s="52">
        <v>0</v>
      </c>
      <c r="O13" s="66" t="s">
        <v>47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  <c r="U13" s="52">
        <v>0</v>
      </c>
      <c r="V13" s="43">
        <f>SUM(Table5[[#This Row],[July 2026]:[June 2027]])</f>
        <v>0.2</v>
      </c>
    </row>
    <row r="14" spans="1:22" s="15" customFormat="1" ht="45" customHeight="1" x14ac:dyDescent="0.2">
      <c r="A14" s="17">
        <v>14357</v>
      </c>
      <c r="B14" s="34" t="s">
        <v>156</v>
      </c>
      <c r="C14" s="62">
        <v>15345901</v>
      </c>
      <c r="D14" s="62">
        <v>8669007</v>
      </c>
      <c r="E14" s="17" t="s">
        <v>48</v>
      </c>
      <c r="F14" s="19" t="s">
        <v>141</v>
      </c>
      <c r="G14" s="16">
        <v>3025</v>
      </c>
      <c r="H14" s="18" t="s">
        <v>3</v>
      </c>
      <c r="I14" s="22" t="s">
        <v>52</v>
      </c>
      <c r="J14" s="52">
        <v>0</v>
      </c>
      <c r="K14" s="52">
        <v>0</v>
      </c>
      <c r="L14" s="65">
        <v>3.2</v>
      </c>
      <c r="M14" s="52">
        <v>0</v>
      </c>
      <c r="N14" s="52">
        <v>0</v>
      </c>
      <c r="O14" s="66" t="s">
        <v>47</v>
      </c>
      <c r="P14" s="52">
        <v>0</v>
      </c>
      <c r="Q14" s="52">
        <v>0</v>
      </c>
      <c r="R14" s="66" t="s">
        <v>47</v>
      </c>
      <c r="S14" s="52">
        <v>0</v>
      </c>
      <c r="T14" s="52">
        <v>0</v>
      </c>
      <c r="U14" s="66" t="s">
        <v>47</v>
      </c>
      <c r="V14" s="43">
        <f>SUM(Table5[[#This Row],[July 2026]:[June 2027]])</f>
        <v>3.2</v>
      </c>
    </row>
    <row r="15" spans="1:22" s="15" customFormat="1" ht="45" customHeight="1" x14ac:dyDescent="0.2">
      <c r="A15" s="17">
        <v>14357</v>
      </c>
      <c r="B15" s="101" t="s">
        <v>140</v>
      </c>
      <c r="C15" s="62">
        <v>14238581</v>
      </c>
      <c r="D15" s="62">
        <v>14579156</v>
      </c>
      <c r="E15" s="44" t="s">
        <v>43</v>
      </c>
      <c r="F15" s="19" t="s">
        <v>141</v>
      </c>
      <c r="G15" s="16">
        <v>3025</v>
      </c>
      <c r="H15" s="18" t="s">
        <v>3</v>
      </c>
      <c r="I15" s="22" t="s">
        <v>52</v>
      </c>
      <c r="J15" s="52">
        <v>0</v>
      </c>
      <c r="K15" s="52">
        <v>0</v>
      </c>
      <c r="L15" s="65">
        <v>0.7</v>
      </c>
      <c r="M15" s="52">
        <v>0</v>
      </c>
      <c r="N15" s="52">
        <v>0</v>
      </c>
      <c r="O15" s="66" t="s">
        <v>47</v>
      </c>
      <c r="P15" s="52">
        <v>0</v>
      </c>
      <c r="Q15" s="52">
        <v>0</v>
      </c>
      <c r="R15" s="66" t="s">
        <v>47</v>
      </c>
      <c r="S15" s="52">
        <v>0</v>
      </c>
      <c r="T15" s="52">
        <v>0</v>
      </c>
      <c r="U15" s="66" t="s">
        <v>47</v>
      </c>
      <c r="V15" s="43">
        <f>SUM(Table5[[#This Row],[July 2026]:[June 2027]])</f>
        <v>0.7</v>
      </c>
    </row>
    <row r="16" spans="1:22" s="15" customFormat="1" ht="45" customHeight="1" x14ac:dyDescent="0.2">
      <c r="A16" s="17">
        <v>14341</v>
      </c>
      <c r="B16" s="101" t="s">
        <v>142</v>
      </c>
      <c r="C16" s="63">
        <v>219904790</v>
      </c>
      <c r="D16" s="63">
        <v>9950751</v>
      </c>
      <c r="E16" s="17" t="s">
        <v>88</v>
      </c>
      <c r="F16" s="19" t="s">
        <v>143</v>
      </c>
      <c r="G16" s="16">
        <v>4035</v>
      </c>
      <c r="H16" s="18" t="s">
        <v>3</v>
      </c>
      <c r="I16" s="22" t="s">
        <v>52</v>
      </c>
      <c r="J16" s="52">
        <v>0</v>
      </c>
      <c r="K16" s="52">
        <v>0</v>
      </c>
      <c r="L16" s="65">
        <v>5</v>
      </c>
      <c r="M16" s="52">
        <v>0</v>
      </c>
      <c r="N16" s="52">
        <v>0</v>
      </c>
      <c r="O16" s="66" t="s">
        <v>47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  <c r="U16" s="52">
        <v>0</v>
      </c>
      <c r="V16" s="43">
        <f>SUM(Table5[[#This Row],[July 2026]:[June 2027]])</f>
        <v>5</v>
      </c>
    </row>
    <row r="17" spans="1:22" s="15" customFormat="1" ht="45" customHeight="1" x14ac:dyDescent="0.2">
      <c r="A17" s="17">
        <v>14341</v>
      </c>
      <c r="B17" s="34" t="s">
        <v>158</v>
      </c>
      <c r="C17" s="64">
        <v>212589723</v>
      </c>
      <c r="D17" s="64">
        <v>84260782</v>
      </c>
      <c r="E17" s="17" t="s">
        <v>48</v>
      </c>
      <c r="F17" s="19" t="s">
        <v>143</v>
      </c>
      <c r="G17" s="16">
        <v>4035</v>
      </c>
      <c r="H17" s="18" t="s">
        <v>3</v>
      </c>
      <c r="I17" s="22" t="s">
        <v>52</v>
      </c>
      <c r="J17" s="52">
        <v>0</v>
      </c>
      <c r="K17" s="52">
        <v>0</v>
      </c>
      <c r="L17" s="65">
        <v>28.8</v>
      </c>
      <c r="M17" s="52">
        <v>0</v>
      </c>
      <c r="N17" s="52">
        <v>0</v>
      </c>
      <c r="O17" s="66" t="s">
        <v>47</v>
      </c>
      <c r="P17" s="52">
        <v>0</v>
      </c>
      <c r="Q17" s="52">
        <v>0</v>
      </c>
      <c r="R17" s="66" t="s">
        <v>47</v>
      </c>
      <c r="S17" s="52">
        <v>0</v>
      </c>
      <c r="T17" s="52">
        <v>0</v>
      </c>
      <c r="U17" s="66" t="s">
        <v>47</v>
      </c>
      <c r="V17" s="43">
        <f>SUM(Table5[[#This Row],[July 2026]:[June 2027]])</f>
        <v>28.8</v>
      </c>
    </row>
    <row r="18" spans="1:22" s="15" customFormat="1" ht="45" customHeight="1" x14ac:dyDescent="0.2">
      <c r="A18" s="17">
        <v>14341</v>
      </c>
      <c r="B18" s="101" t="s">
        <v>144</v>
      </c>
      <c r="C18" s="62">
        <v>207559800</v>
      </c>
      <c r="D18" s="64">
        <v>212559800</v>
      </c>
      <c r="E18" s="44" t="s">
        <v>43</v>
      </c>
      <c r="F18" s="19" t="s">
        <v>143</v>
      </c>
      <c r="G18" s="16">
        <v>4035</v>
      </c>
      <c r="H18" s="18" t="s">
        <v>3</v>
      </c>
      <c r="I18" s="22" t="s">
        <v>52</v>
      </c>
      <c r="J18" s="52">
        <v>0</v>
      </c>
      <c r="K18" s="52">
        <v>0</v>
      </c>
      <c r="L18" s="65">
        <v>12.6</v>
      </c>
      <c r="M18" s="52">
        <v>0</v>
      </c>
      <c r="N18" s="52">
        <v>0</v>
      </c>
      <c r="O18" s="66" t="s">
        <v>47</v>
      </c>
      <c r="P18" s="52">
        <v>0</v>
      </c>
      <c r="Q18" s="52">
        <v>0</v>
      </c>
      <c r="R18" s="66" t="s">
        <v>47</v>
      </c>
      <c r="S18" s="52">
        <v>0</v>
      </c>
      <c r="T18" s="52">
        <v>0</v>
      </c>
      <c r="U18" s="66" t="s">
        <v>47</v>
      </c>
      <c r="V18" s="43">
        <f>SUM(Table5[[#This Row],[July 2026]:[June 2027]])</f>
        <v>12.6</v>
      </c>
    </row>
    <row r="19" spans="1:22" s="15" customFormat="1" ht="45" customHeight="1" x14ac:dyDescent="0.2">
      <c r="A19" s="17">
        <v>15146</v>
      </c>
      <c r="B19" s="101" t="s">
        <v>145</v>
      </c>
      <c r="C19" s="62">
        <v>17565157</v>
      </c>
      <c r="D19" s="62">
        <v>2486807</v>
      </c>
      <c r="E19" s="17" t="s">
        <v>88</v>
      </c>
      <c r="F19" s="19" t="s">
        <v>146</v>
      </c>
      <c r="G19" s="16">
        <v>4201</v>
      </c>
      <c r="H19" s="18" t="s">
        <v>3</v>
      </c>
      <c r="I19" s="22" t="s">
        <v>52</v>
      </c>
      <c r="J19" s="52">
        <v>0</v>
      </c>
      <c r="K19" s="52">
        <v>0</v>
      </c>
      <c r="L19" s="65">
        <v>1.3</v>
      </c>
      <c r="M19" s="52">
        <v>0</v>
      </c>
      <c r="N19" s="52">
        <v>0</v>
      </c>
      <c r="O19" s="66" t="s">
        <v>47</v>
      </c>
      <c r="P19" s="52">
        <v>0</v>
      </c>
      <c r="Q19" s="52">
        <v>0</v>
      </c>
      <c r="R19" s="65">
        <v>0</v>
      </c>
      <c r="S19" s="52">
        <v>0</v>
      </c>
      <c r="T19" s="52">
        <v>0</v>
      </c>
      <c r="U19" s="65">
        <v>0</v>
      </c>
      <c r="V19" s="43">
        <f>SUM(Table5[[#This Row],[July 2026]:[June 2027]])</f>
        <v>1.3</v>
      </c>
    </row>
    <row r="20" spans="1:22" s="15" customFormat="1" ht="45" customHeight="1" x14ac:dyDescent="0.2">
      <c r="A20" s="17">
        <v>15146</v>
      </c>
      <c r="B20" s="34" t="s">
        <v>159</v>
      </c>
      <c r="C20" s="62">
        <v>17417718</v>
      </c>
      <c r="D20" s="62">
        <v>11854041</v>
      </c>
      <c r="E20" s="17" t="s">
        <v>48</v>
      </c>
      <c r="F20" s="19" t="s">
        <v>146</v>
      </c>
      <c r="G20" s="16">
        <v>4201</v>
      </c>
      <c r="H20" s="18" t="s">
        <v>3</v>
      </c>
      <c r="I20" s="22" t="s">
        <v>52</v>
      </c>
      <c r="J20" s="52">
        <v>0</v>
      </c>
      <c r="K20" s="52">
        <v>0</v>
      </c>
      <c r="L20" s="65">
        <v>2.1</v>
      </c>
      <c r="M20" s="52">
        <v>0</v>
      </c>
      <c r="N20" s="52">
        <v>0</v>
      </c>
      <c r="O20" s="66" t="s">
        <v>47</v>
      </c>
      <c r="P20" s="52">
        <v>0</v>
      </c>
      <c r="Q20" s="52">
        <v>0</v>
      </c>
      <c r="R20" s="66" t="s">
        <v>47</v>
      </c>
      <c r="S20" s="52">
        <v>0</v>
      </c>
      <c r="T20" s="52">
        <v>0</v>
      </c>
      <c r="U20" s="66" t="s">
        <v>47</v>
      </c>
      <c r="V20" s="43">
        <f>SUM(Table5[[#This Row],[July 2026]:[June 2027]])</f>
        <v>2.1</v>
      </c>
    </row>
    <row r="21" spans="1:22" s="15" customFormat="1" ht="45" customHeight="1" x14ac:dyDescent="0.2">
      <c r="A21" s="17">
        <v>15146</v>
      </c>
      <c r="B21" s="101" t="s">
        <v>147</v>
      </c>
      <c r="C21" s="62">
        <v>18503793</v>
      </c>
      <c r="D21" s="62">
        <v>18503793</v>
      </c>
      <c r="E21" s="44" t="s">
        <v>43</v>
      </c>
      <c r="F21" s="19" t="s">
        <v>146</v>
      </c>
      <c r="G21" s="16">
        <v>4201</v>
      </c>
      <c r="H21" s="18" t="s">
        <v>3</v>
      </c>
      <c r="I21" s="22" t="s">
        <v>52</v>
      </c>
      <c r="J21" s="52">
        <v>0</v>
      </c>
      <c r="K21" s="52">
        <v>0</v>
      </c>
      <c r="L21" s="65">
        <v>0.8</v>
      </c>
      <c r="M21" s="52">
        <v>0</v>
      </c>
      <c r="N21" s="52">
        <v>0</v>
      </c>
      <c r="O21" s="66" t="s">
        <v>47</v>
      </c>
      <c r="P21" s="52">
        <v>0</v>
      </c>
      <c r="Q21" s="52">
        <v>0</v>
      </c>
      <c r="R21" s="66" t="s">
        <v>47</v>
      </c>
      <c r="S21" s="52">
        <v>0</v>
      </c>
      <c r="T21" s="52">
        <v>0</v>
      </c>
      <c r="U21" s="66" t="s">
        <v>47</v>
      </c>
      <c r="V21" s="43">
        <f>SUM(Table5[[#This Row],[July 2026]:[June 2027]])</f>
        <v>0.8</v>
      </c>
    </row>
    <row r="22" spans="1:22" s="15" customFormat="1" ht="45" customHeight="1" x14ac:dyDescent="0.2">
      <c r="A22" s="17">
        <v>14346</v>
      </c>
      <c r="B22" s="101" t="s">
        <v>145</v>
      </c>
      <c r="C22" s="62">
        <v>128322459</v>
      </c>
      <c r="D22" s="62">
        <v>7097625</v>
      </c>
      <c r="E22" s="17" t="s">
        <v>88</v>
      </c>
      <c r="F22" s="19" t="s">
        <v>148</v>
      </c>
      <c r="G22" s="16">
        <v>4203</v>
      </c>
      <c r="H22" s="18" t="s">
        <v>3</v>
      </c>
      <c r="I22" s="22" t="s">
        <v>52</v>
      </c>
      <c r="J22" s="52">
        <v>0</v>
      </c>
      <c r="K22" s="52">
        <v>0</v>
      </c>
      <c r="L22" s="65">
        <v>3.5</v>
      </c>
      <c r="M22" s="52">
        <v>0</v>
      </c>
      <c r="N22" s="52">
        <v>0</v>
      </c>
      <c r="O22" s="66" t="s">
        <v>47</v>
      </c>
      <c r="P22" s="52">
        <v>0</v>
      </c>
      <c r="Q22" s="52">
        <v>0</v>
      </c>
      <c r="R22" s="65">
        <v>0</v>
      </c>
      <c r="S22" s="52">
        <v>0</v>
      </c>
      <c r="T22" s="52">
        <v>0</v>
      </c>
      <c r="U22" s="65">
        <v>0</v>
      </c>
      <c r="V22" s="43">
        <f>SUM(Table5[[#This Row],[July 2026]:[June 2027]])</f>
        <v>3.5</v>
      </c>
    </row>
    <row r="23" spans="1:22" s="15" customFormat="1" ht="45" customHeight="1" x14ac:dyDescent="0.2">
      <c r="A23" s="17">
        <v>14346</v>
      </c>
      <c r="B23" s="34" t="s">
        <v>159</v>
      </c>
      <c r="C23" s="62">
        <v>132243214</v>
      </c>
      <c r="D23" s="62">
        <v>57777760</v>
      </c>
      <c r="E23" s="17" t="s">
        <v>48</v>
      </c>
      <c r="F23" s="19" t="s">
        <v>148</v>
      </c>
      <c r="G23" s="16">
        <v>4203</v>
      </c>
      <c r="H23" s="18" t="s">
        <v>3</v>
      </c>
      <c r="I23" s="22" t="s">
        <v>52</v>
      </c>
      <c r="J23" s="52">
        <v>0</v>
      </c>
      <c r="K23" s="52">
        <v>0</v>
      </c>
      <c r="L23" s="65">
        <v>18</v>
      </c>
      <c r="M23" s="52">
        <v>0</v>
      </c>
      <c r="N23" s="52">
        <v>0</v>
      </c>
      <c r="O23" s="66" t="s">
        <v>47</v>
      </c>
      <c r="P23" s="52">
        <v>0</v>
      </c>
      <c r="Q23" s="52">
        <v>0</v>
      </c>
      <c r="R23" s="67" t="s">
        <v>47</v>
      </c>
      <c r="S23" s="52">
        <v>0</v>
      </c>
      <c r="T23" s="52">
        <v>0</v>
      </c>
      <c r="U23" s="67" t="s">
        <v>47</v>
      </c>
      <c r="V23" s="43">
        <f>SUM(Table5[[#This Row],[July 2026]:[June 2027]])</f>
        <v>18</v>
      </c>
    </row>
    <row r="24" spans="1:22" s="15" customFormat="1" ht="45" customHeight="1" x14ac:dyDescent="0.2">
      <c r="A24" s="17">
        <v>14346</v>
      </c>
      <c r="B24" s="101" t="s">
        <v>147</v>
      </c>
      <c r="C24" s="62">
        <v>126065799</v>
      </c>
      <c r="D24" s="62">
        <v>126065799</v>
      </c>
      <c r="E24" s="44" t="s">
        <v>43</v>
      </c>
      <c r="F24" s="19" t="s">
        <v>148</v>
      </c>
      <c r="G24" s="16">
        <v>4203</v>
      </c>
      <c r="H24" s="18" t="s">
        <v>3</v>
      </c>
      <c r="I24" s="22" t="s">
        <v>52</v>
      </c>
      <c r="J24" s="52">
        <v>0</v>
      </c>
      <c r="K24" s="52">
        <v>0</v>
      </c>
      <c r="L24" s="65">
        <v>5.7</v>
      </c>
      <c r="M24" s="52">
        <v>0</v>
      </c>
      <c r="N24" s="52">
        <v>0</v>
      </c>
      <c r="O24" s="66" t="s">
        <v>47</v>
      </c>
      <c r="P24" s="52">
        <v>0</v>
      </c>
      <c r="Q24" s="52">
        <v>0</v>
      </c>
      <c r="R24" s="67" t="s">
        <v>47</v>
      </c>
      <c r="S24" s="52">
        <v>0</v>
      </c>
      <c r="T24" s="52">
        <v>0</v>
      </c>
      <c r="U24" s="67" t="s">
        <v>47</v>
      </c>
      <c r="V24" s="43">
        <f>SUM(Table5[[#This Row],[July 2026]:[June 2027]])</f>
        <v>5.7</v>
      </c>
    </row>
    <row r="25" spans="1:22" s="15" customFormat="1" ht="45" customHeight="1" x14ac:dyDescent="0.2">
      <c r="A25" s="17">
        <v>15396</v>
      </c>
      <c r="B25" s="34" t="s">
        <v>162</v>
      </c>
      <c r="C25" s="64">
        <v>145227534</v>
      </c>
      <c r="D25" s="64">
        <v>13639466</v>
      </c>
      <c r="E25" s="17" t="s">
        <v>88</v>
      </c>
      <c r="F25" s="19" t="s">
        <v>149</v>
      </c>
      <c r="G25" s="16">
        <v>4127</v>
      </c>
      <c r="H25" s="18" t="s">
        <v>3</v>
      </c>
      <c r="I25" s="22" t="s">
        <v>52</v>
      </c>
      <c r="J25" s="52">
        <v>0</v>
      </c>
      <c r="K25" s="52">
        <v>0</v>
      </c>
      <c r="L25" s="119">
        <v>8.1999999999999993</v>
      </c>
      <c r="M25" s="52">
        <v>0</v>
      </c>
      <c r="N25" s="52">
        <v>0</v>
      </c>
      <c r="O25" s="66" t="s">
        <v>47</v>
      </c>
      <c r="P25" s="52">
        <v>0</v>
      </c>
      <c r="Q25" s="52">
        <v>0</v>
      </c>
      <c r="R25" s="65">
        <v>0</v>
      </c>
      <c r="S25" s="52">
        <v>0</v>
      </c>
      <c r="T25" s="52">
        <v>0</v>
      </c>
      <c r="U25" s="65">
        <v>0</v>
      </c>
      <c r="V25" s="43">
        <f>SUM(Table5[[#This Row],[July 2026]:[June 2027]])</f>
        <v>8.1999999999999993</v>
      </c>
    </row>
    <row r="26" spans="1:22" s="15" customFormat="1" ht="45" customHeight="1" x14ac:dyDescent="0.2">
      <c r="A26" s="17">
        <v>15396</v>
      </c>
      <c r="B26" s="34" t="s">
        <v>157</v>
      </c>
      <c r="C26" s="64">
        <v>156348120</v>
      </c>
      <c r="D26" s="64">
        <v>92424651</v>
      </c>
      <c r="E26" s="17" t="s">
        <v>48</v>
      </c>
      <c r="F26" s="19" t="s">
        <v>149</v>
      </c>
      <c r="G26" s="16">
        <v>4127</v>
      </c>
      <c r="H26" s="18" t="s">
        <v>3</v>
      </c>
      <c r="I26" s="22" t="s">
        <v>52</v>
      </c>
      <c r="J26" s="52">
        <v>0</v>
      </c>
      <c r="K26" s="52">
        <v>0</v>
      </c>
      <c r="L26" s="65">
        <v>23.6</v>
      </c>
      <c r="M26" s="52">
        <v>0</v>
      </c>
      <c r="N26" s="52">
        <v>0</v>
      </c>
      <c r="O26" s="66" t="s">
        <v>47</v>
      </c>
      <c r="P26" s="52">
        <v>0</v>
      </c>
      <c r="Q26" s="52">
        <v>0</v>
      </c>
      <c r="R26" s="67" t="s">
        <v>47</v>
      </c>
      <c r="S26" s="52">
        <v>0</v>
      </c>
      <c r="T26" s="52">
        <v>0</v>
      </c>
      <c r="U26" s="67" t="s">
        <v>47</v>
      </c>
      <c r="V26" s="43">
        <f>SUM(Table5[[#This Row],[July 2026]:[June 2027]])</f>
        <v>23.6</v>
      </c>
    </row>
    <row r="27" spans="1:22" s="15" customFormat="1" ht="45" customHeight="1" x14ac:dyDescent="0.2">
      <c r="A27" s="17">
        <v>15396</v>
      </c>
      <c r="B27" s="34" t="s">
        <v>150</v>
      </c>
      <c r="C27" s="62">
        <v>158614575</v>
      </c>
      <c r="D27" s="64">
        <v>158614575</v>
      </c>
      <c r="E27" s="44" t="s">
        <v>43</v>
      </c>
      <c r="F27" s="19" t="s">
        <v>149</v>
      </c>
      <c r="G27" s="16">
        <v>4127</v>
      </c>
      <c r="H27" s="18" t="s">
        <v>3</v>
      </c>
      <c r="I27" s="22" t="s">
        <v>52</v>
      </c>
      <c r="J27" s="52">
        <v>0</v>
      </c>
      <c r="K27" s="52">
        <v>0</v>
      </c>
      <c r="L27" s="65">
        <v>5.5</v>
      </c>
      <c r="M27" s="52">
        <v>0</v>
      </c>
      <c r="N27" s="52">
        <v>0</v>
      </c>
      <c r="O27" s="66" t="s">
        <v>47</v>
      </c>
      <c r="P27" s="52">
        <v>0</v>
      </c>
      <c r="Q27" s="52">
        <v>0</v>
      </c>
      <c r="R27" s="67" t="s">
        <v>47</v>
      </c>
      <c r="S27" s="52">
        <v>0</v>
      </c>
      <c r="T27" s="52">
        <v>0</v>
      </c>
      <c r="U27" s="67" t="s">
        <v>47</v>
      </c>
      <c r="V27" s="43">
        <f>SUM(Table5[[#This Row],[July 2026]:[June 2027]])</f>
        <v>5.5</v>
      </c>
    </row>
    <row r="28" spans="1:22" s="15" customFormat="1" ht="45" customHeight="1" x14ac:dyDescent="0.2">
      <c r="A28" s="17">
        <v>14356</v>
      </c>
      <c r="B28" s="101" t="s">
        <v>151</v>
      </c>
      <c r="C28" s="62">
        <v>5507000</v>
      </c>
      <c r="D28" s="62">
        <v>5507000</v>
      </c>
      <c r="E28" s="17" t="s">
        <v>43</v>
      </c>
      <c r="F28" s="19" t="s">
        <v>152</v>
      </c>
      <c r="G28" s="16">
        <v>4126</v>
      </c>
      <c r="H28" s="18" t="s">
        <v>3</v>
      </c>
      <c r="I28" s="22" t="s">
        <v>153</v>
      </c>
      <c r="J28" s="52">
        <v>0</v>
      </c>
      <c r="K28" s="52">
        <v>0</v>
      </c>
      <c r="L28" s="52">
        <v>0</v>
      </c>
      <c r="M28" s="52">
        <v>1.9</v>
      </c>
      <c r="N28" s="52">
        <v>0</v>
      </c>
      <c r="O28" s="66" t="s">
        <v>47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66" t="s">
        <v>47</v>
      </c>
      <c r="V28" s="43">
        <f>SUM(Table5[[#This Row],[July 2026]:[June 2027]])</f>
        <v>1.9</v>
      </c>
    </row>
    <row r="29" spans="1:22" ht="18.600000000000001" customHeight="1" x14ac:dyDescent="0.25">
      <c r="A29" s="120" t="s">
        <v>154</v>
      </c>
      <c r="B29" s="92"/>
      <c r="C29" s="121"/>
      <c r="D29" s="121"/>
      <c r="E29" s="93"/>
      <c r="F29" s="94"/>
      <c r="G29" s="91"/>
      <c r="H29" s="91"/>
      <c r="I29" s="91"/>
      <c r="J29" s="95">
        <f>SUBTOTAL(109,Table5[July 2026])</f>
        <v>0</v>
      </c>
      <c r="K29" s="95">
        <f>SUBTOTAL(109,Table5[Aug 2026])</f>
        <v>0</v>
      </c>
      <c r="L29" s="95">
        <f>SUBTOTAL(109,Table5[Sept 2026])</f>
        <v>690.10000000000014</v>
      </c>
      <c r="M29" s="95">
        <f>SUBTOTAL(109,Table5[Oct 2026])</f>
        <v>1.9</v>
      </c>
      <c r="N29" s="95">
        <f>SUBTOTAL(109,Table5[Nov 2026])</f>
        <v>0</v>
      </c>
      <c r="O29" s="95">
        <f>SUBTOTAL(109,Table5[Dec 2026])</f>
        <v>0</v>
      </c>
      <c r="P29" s="95">
        <f>SUBTOTAL(109,Table5[Jan 2027])</f>
        <v>0</v>
      </c>
      <c r="Q29" s="95">
        <f>SUBTOTAL(109,Table5[Feb 2027])</f>
        <v>0</v>
      </c>
      <c r="R29" s="95">
        <f>SUBTOTAL(109,Table5[Mar 2027])</f>
        <v>0</v>
      </c>
      <c r="S29" s="95">
        <f>SUBTOTAL(109,Table5[April 2027])</f>
        <v>0</v>
      </c>
      <c r="T29" s="95">
        <f>SUBTOTAL(109,Table5[May 2027])</f>
        <v>0</v>
      </c>
      <c r="U29" s="95">
        <f>SUBTOTAL(109,Table5[June 2027])</f>
        <v>0</v>
      </c>
      <c r="V29" s="95">
        <f>SUBTOTAL(109,Table5[Total])</f>
        <v>692.00000000000011</v>
      </c>
    </row>
    <row r="30" spans="1:22" x14ac:dyDescent="0.2">
      <c r="A30" t="s">
        <v>27</v>
      </c>
    </row>
    <row r="31" spans="1:22" x14ac:dyDescent="0.2">
      <c r="A31" t="s">
        <v>28</v>
      </c>
      <c r="C31" s="56"/>
    </row>
    <row r="32" spans="1:22" x14ac:dyDescent="0.2">
      <c r="A32" t="s">
        <v>29</v>
      </c>
    </row>
    <row r="33" spans="1:12" x14ac:dyDescent="0.2">
      <c r="A33" s="14" t="str">
        <f>Summary!A17</f>
        <v>October 2026</v>
      </c>
      <c r="L33" s="58"/>
    </row>
  </sheetData>
  <conditionalFormatting sqref="J7:U28">
    <cfRule type="cellIs" dxfId="114" priority="582" operator="equal">
      <formula>0</formula>
    </cfRule>
    <cfRule type="cellIs" dxfId="113" priority="581" operator="notEqual">
      <formula>0</formula>
    </cfRule>
  </conditionalFormatting>
  <conditionalFormatting sqref="L8:L9 Q9">
    <cfRule type="cellIs" dxfId="112" priority="657" stopIfTrue="1" operator="equal">
      <formula>0</formula>
    </cfRule>
    <cfRule type="cellIs" dxfId="111" priority="656" stopIfTrue="1" operator="notEqual">
      <formula>0</formula>
    </cfRule>
    <cfRule type="cellIs" dxfId="110" priority="655" stopIfTrue="1" operator="equal">
      <formula>"TBD"</formula>
    </cfRule>
  </conditionalFormatting>
  <conditionalFormatting sqref="L10:L27">
    <cfRule type="cellIs" dxfId="109" priority="57" stopIfTrue="1" operator="equal">
      <formula>0</formula>
    </cfRule>
    <cfRule type="cellIs" dxfId="108" priority="56" stopIfTrue="1" operator="notEqual">
      <formula>0</formula>
    </cfRule>
    <cfRule type="cellIs" dxfId="107" priority="55" stopIfTrue="1" operator="equal">
      <formula>"TBD"</formula>
    </cfRule>
  </conditionalFormatting>
  <conditionalFormatting sqref="L13:L27">
    <cfRule type="cellIs" dxfId="106" priority="59" operator="equal">
      <formula>0</formula>
    </cfRule>
    <cfRule type="cellIs" dxfId="105" priority="58" operator="notEqual">
      <formula>0</formula>
    </cfRule>
  </conditionalFormatting>
  <conditionalFormatting sqref="L17:L27 O7:O28 L7:M7">
    <cfRule type="cellIs" dxfId="104" priority="191" stopIfTrue="1" operator="equal">
      <formula>"TBD"</formula>
    </cfRule>
  </conditionalFormatting>
  <conditionalFormatting sqref="L7:M7 O7:O28 L17:L27">
    <cfRule type="cellIs" dxfId="103" priority="192" stopIfTrue="1" operator="notEqual">
      <formula>0</formula>
    </cfRule>
    <cfRule type="cellIs" dxfId="102" priority="193" stopIfTrue="1" operator="equal">
      <formula>0</formula>
    </cfRule>
  </conditionalFormatting>
  <conditionalFormatting sqref="L8:Q9 P9:R9">
    <cfRule type="cellIs" dxfId="101" priority="661" operator="notEqual">
      <formula>0</formula>
    </cfRule>
    <cfRule type="cellIs" dxfId="100" priority="662" operator="equal">
      <formula>0</formula>
    </cfRule>
  </conditionalFormatting>
  <conditionalFormatting sqref="L12:R12 L15:R15 L18:R18 L21:R21 L24:R24 L25:L27 O25:O27 L27:R27 R25:R27 T12 T15 T18 T21 T24 T27">
    <cfRule type="cellIs" dxfId="99" priority="230" operator="notEqual">
      <formula>0</formula>
    </cfRule>
    <cfRule type="cellIs" dxfId="98" priority="231" operator="equal">
      <formula>0</formula>
    </cfRule>
  </conditionalFormatting>
  <conditionalFormatting sqref="O10:O28">
    <cfRule type="cellIs" dxfId="97" priority="22" operator="notEqual">
      <formula>0</formula>
    </cfRule>
    <cfRule type="cellIs" dxfId="96" priority="23" operator="equal">
      <formula>0</formula>
    </cfRule>
  </conditionalFormatting>
  <conditionalFormatting sqref="O13:O28">
    <cfRule type="cellIs" dxfId="95" priority="19" stopIfTrue="1" operator="equal">
      <formula>"TBD"</formula>
    </cfRule>
    <cfRule type="cellIs" dxfId="94" priority="20" stopIfTrue="1" operator="notEqual">
      <formula>0</formula>
    </cfRule>
    <cfRule type="cellIs" dxfId="93" priority="21" stopIfTrue="1" operator="equal">
      <formula>0</formula>
    </cfRule>
  </conditionalFormatting>
  <conditionalFormatting sqref="P7 U25:U28 Q28">
    <cfRule type="cellIs" dxfId="92" priority="520" stopIfTrue="1" operator="notEqual">
      <formula>0</formula>
    </cfRule>
    <cfRule type="cellIs" dxfId="91" priority="521" stopIfTrue="1" operator="equal">
      <formula>0</formula>
    </cfRule>
  </conditionalFormatting>
  <conditionalFormatting sqref="R7:R12">
    <cfRule type="cellIs" dxfId="90" priority="175" operator="notEqual">
      <formula>0</formula>
    </cfRule>
    <cfRule type="cellIs" dxfId="89" priority="176" operator="equal">
      <formula>0</formula>
    </cfRule>
  </conditionalFormatting>
  <conditionalFormatting sqref="R8:R12">
    <cfRule type="cellIs" dxfId="88" priority="172" stopIfTrue="1" operator="equal">
      <formula>"TBD"</formula>
    </cfRule>
    <cfRule type="cellIs" dxfId="87" priority="174" stopIfTrue="1" operator="equal">
      <formula>0</formula>
    </cfRule>
    <cfRule type="cellIs" dxfId="86" priority="173" stopIfTrue="1" operator="notEqual">
      <formula>0</formula>
    </cfRule>
  </conditionalFormatting>
  <conditionalFormatting sqref="R10:R15">
    <cfRule type="cellIs" dxfId="85" priority="275" stopIfTrue="1" operator="notEqual">
      <formula>0</formula>
    </cfRule>
    <cfRule type="cellIs" dxfId="84" priority="276" stopIfTrue="1" operator="equal">
      <formula>0</formula>
    </cfRule>
    <cfRule type="cellIs" dxfId="83" priority="274" stopIfTrue="1" operator="equal">
      <formula>"TBD"</formula>
    </cfRule>
  </conditionalFormatting>
  <conditionalFormatting sqref="R14:R15">
    <cfRule type="cellIs" dxfId="82" priority="134" stopIfTrue="1" operator="notEqual">
      <formula>0</formula>
    </cfRule>
    <cfRule type="cellIs" dxfId="81" priority="133" stopIfTrue="1" operator="equal">
      <formula>"TBD"</formula>
    </cfRule>
    <cfRule type="cellIs" dxfId="80" priority="135" stopIfTrue="1" operator="equal">
      <formula>0</formula>
    </cfRule>
    <cfRule type="cellIs" dxfId="79" priority="136" operator="notEqual">
      <formula>0</formula>
    </cfRule>
    <cfRule type="cellIs" dxfId="78" priority="137" operator="equal">
      <formula>0</formula>
    </cfRule>
  </conditionalFormatting>
  <conditionalFormatting sqref="R16:R27">
    <cfRule type="cellIs" dxfId="77" priority="369" stopIfTrue="1" operator="equal">
      <formula>"TBD"</formula>
    </cfRule>
    <cfRule type="cellIs" dxfId="76" priority="370" stopIfTrue="1" operator="notEqual">
      <formula>0</formula>
    </cfRule>
    <cfRule type="cellIs" dxfId="75" priority="371" stopIfTrue="1" operator="equal">
      <formula>0</formula>
    </cfRule>
  </conditionalFormatting>
  <conditionalFormatting sqref="R17:R21">
    <cfRule type="cellIs" dxfId="74" priority="82" stopIfTrue="1" operator="notEqual">
      <formula>0</formula>
    </cfRule>
    <cfRule type="cellIs" dxfId="73" priority="83" stopIfTrue="1" operator="equal">
      <formula>0</formula>
    </cfRule>
    <cfRule type="cellIs" dxfId="72" priority="81" stopIfTrue="1" operator="equal">
      <formula>"TBD"</formula>
    </cfRule>
  </conditionalFormatting>
  <conditionalFormatting sqref="R19:R21">
    <cfRule type="cellIs" dxfId="71" priority="77" operator="notEqual">
      <formula>0</formula>
    </cfRule>
    <cfRule type="cellIs" dxfId="70" priority="78" operator="equal">
      <formula>0</formula>
    </cfRule>
  </conditionalFormatting>
  <conditionalFormatting sqref="R19:R27">
    <cfRule type="cellIs" dxfId="69" priority="45" stopIfTrue="1" operator="equal">
      <formula>"TBD"</formula>
    </cfRule>
    <cfRule type="cellIs" dxfId="68" priority="47" stopIfTrue="1" operator="equal">
      <formula>0</formula>
    </cfRule>
    <cfRule type="cellIs" dxfId="67" priority="46" stopIfTrue="1" operator="notEqual">
      <formula>0</formula>
    </cfRule>
  </conditionalFormatting>
  <conditionalFormatting sqref="R22:R27">
    <cfRule type="cellIs" dxfId="66" priority="41" operator="notEqual">
      <formula>0</formula>
    </cfRule>
    <cfRule type="cellIs" dxfId="65" priority="42" operator="equal">
      <formula>0</formula>
    </cfRule>
    <cfRule type="cellIs" dxfId="64" priority="40" stopIfTrue="1" operator="equal">
      <formula>0</formula>
    </cfRule>
    <cfRule type="cellIs" dxfId="63" priority="40" stopIfTrue="1" operator="equal">
      <formula>"TBD"</formula>
    </cfRule>
    <cfRule type="cellIs" dxfId="62" priority="40" stopIfTrue="1" operator="notEqual">
      <formula>0</formula>
    </cfRule>
  </conditionalFormatting>
  <conditionalFormatting sqref="R25:R27">
    <cfRule type="cellIs" dxfId="61" priority="365" stopIfTrue="1" operator="equal">
      <formula>0</formula>
    </cfRule>
    <cfRule type="cellIs" dxfId="60" priority="364" stopIfTrue="1" operator="notEqual">
      <formula>0</formula>
    </cfRule>
    <cfRule type="cellIs" dxfId="59" priority="363" stopIfTrue="1" operator="equal">
      <formula>"TBD"</formula>
    </cfRule>
  </conditionalFormatting>
  <conditionalFormatting sqref="S7:S9">
    <cfRule type="cellIs" dxfId="58" priority="234" stopIfTrue="1" operator="equal">
      <formula>0</formula>
    </cfRule>
    <cfRule type="cellIs" dxfId="57" priority="233" stopIfTrue="1" operator="notEqual">
      <formula>0</formula>
    </cfRule>
    <cfRule type="cellIs" dxfId="56" priority="232" stopIfTrue="1" operator="equal">
      <formula>"TBD"</formula>
    </cfRule>
  </conditionalFormatting>
  <conditionalFormatting sqref="S12 S15 S18 S21 S24 S27">
    <cfRule type="cellIs" dxfId="55" priority="224" stopIfTrue="1" operator="equal">
      <formula>"TBD"</formula>
    </cfRule>
    <cfRule type="cellIs" dxfId="54" priority="225" stopIfTrue="1" operator="notEqual">
      <formula>0</formula>
    </cfRule>
    <cfRule type="cellIs" dxfId="53" priority="226" stopIfTrue="1" operator="equal">
      <formula>0</formula>
    </cfRule>
  </conditionalFormatting>
  <conditionalFormatting sqref="T9">
    <cfRule type="cellIs" dxfId="52" priority="2" stopIfTrue="1" operator="notEqual">
      <formula>0</formula>
    </cfRule>
    <cfRule type="cellIs" dxfId="51" priority="3" stopIfTrue="1" operator="equal">
      <formula>0</formula>
    </cfRule>
    <cfRule type="cellIs" dxfId="50" priority="4" operator="notEqual">
      <formula>0</formula>
    </cfRule>
    <cfRule type="cellIs" dxfId="49" priority="5" operator="equal">
      <formula>0</formula>
    </cfRule>
    <cfRule type="cellIs" dxfId="48" priority="6" stopIfTrue="1" operator="equal">
      <formula>"TBD"</formula>
    </cfRule>
    <cfRule type="cellIs" dxfId="47" priority="7" stopIfTrue="1" operator="notEqual">
      <formula>0</formula>
    </cfRule>
    <cfRule type="cellIs" dxfId="46" priority="8" stopIfTrue="1" operator="equal">
      <formula>0</formula>
    </cfRule>
    <cfRule type="cellIs" dxfId="45" priority="1" stopIfTrue="1" operator="equal">
      <formula>"TBD"</formula>
    </cfRule>
  </conditionalFormatting>
  <conditionalFormatting sqref="U7:U27">
    <cfRule type="cellIs" dxfId="44" priority="237" stopIfTrue="1" operator="equal">
      <formula>0</formula>
    </cfRule>
    <cfRule type="cellIs" dxfId="43" priority="236" stopIfTrue="1" operator="notEqual">
      <formula>0</formula>
    </cfRule>
    <cfRule type="cellIs" dxfId="42" priority="235" stopIfTrue="1" operator="equal">
      <formula>"TBD"</formula>
    </cfRule>
  </conditionalFormatting>
  <conditionalFormatting sqref="U8:U9">
    <cfRule type="cellIs" dxfId="41" priority="210" stopIfTrue="1" operator="equal">
      <formula>0</formula>
    </cfRule>
    <cfRule type="cellIs" dxfId="40" priority="209" stopIfTrue="1" operator="notEqual">
      <formula>0</formula>
    </cfRule>
    <cfRule type="cellIs" dxfId="39" priority="211" operator="notEqual">
      <formula>0</formula>
    </cfRule>
    <cfRule type="cellIs" dxfId="38" priority="212" operator="equal">
      <formula>0</formula>
    </cfRule>
    <cfRule type="cellIs" dxfId="37" priority="208" stopIfTrue="1" operator="equal">
      <formula>"TBD"</formula>
    </cfRule>
  </conditionalFormatting>
  <conditionalFormatting sqref="U11:U12">
    <cfRule type="cellIs" dxfId="36" priority="164" stopIfTrue="1" operator="equal">
      <formula>"TBD"</formula>
    </cfRule>
    <cfRule type="cellIs" dxfId="35" priority="165" stopIfTrue="1" operator="notEqual">
      <formula>0</formula>
    </cfRule>
    <cfRule type="cellIs" dxfId="34" priority="167" operator="notEqual">
      <formula>0</formula>
    </cfRule>
    <cfRule type="cellIs" dxfId="33" priority="168" operator="equal">
      <formula>0</formula>
    </cfRule>
    <cfRule type="cellIs" dxfId="32" priority="169" stopIfTrue="1" operator="equal">
      <formula>"TBD"</formula>
    </cfRule>
    <cfRule type="cellIs" dxfId="31" priority="170" stopIfTrue="1" operator="notEqual">
      <formula>0</formula>
    </cfRule>
    <cfRule type="cellIs" dxfId="30" priority="171" stopIfTrue="1" operator="equal">
      <formula>0</formula>
    </cfRule>
    <cfRule type="cellIs" dxfId="29" priority="166" stopIfTrue="1" operator="equal">
      <formula>0</formula>
    </cfRule>
  </conditionalFormatting>
  <conditionalFormatting sqref="U12 U15 U18 U21 U24:U27">
    <cfRule type="cellIs" dxfId="28" priority="229" stopIfTrue="1" operator="equal">
      <formula>0</formula>
    </cfRule>
    <cfRule type="cellIs" dxfId="27" priority="227" stopIfTrue="1" operator="equal">
      <formula>"TBD"</formula>
    </cfRule>
    <cfRule type="cellIs" dxfId="26" priority="228" stopIfTrue="1" operator="notEqual">
      <formula>0</formula>
    </cfRule>
  </conditionalFormatting>
  <conditionalFormatting sqref="U14:U15">
    <cfRule type="cellIs" dxfId="25" priority="130" operator="equal">
      <formula>0</formula>
    </cfRule>
    <cfRule type="cellIs" dxfId="24" priority="129" operator="notEqual">
      <formula>0</formula>
    </cfRule>
    <cfRule type="cellIs" dxfId="23" priority="126" stopIfTrue="1" operator="equal">
      <formula>"TBD"</formula>
    </cfRule>
    <cfRule type="cellIs" dxfId="22" priority="127" stopIfTrue="1" operator="notEqual">
      <formula>0</formula>
    </cfRule>
    <cfRule type="cellIs" dxfId="21" priority="128" stopIfTrue="1" operator="equal">
      <formula>0</formula>
    </cfRule>
  </conditionalFormatting>
  <conditionalFormatting sqref="U17:U18">
    <cfRule type="cellIs" dxfId="20" priority="101" operator="notEqual">
      <formula>0</formula>
    </cfRule>
    <cfRule type="cellIs" dxfId="19" priority="102" operator="equal">
      <formula>0</formula>
    </cfRule>
  </conditionalFormatting>
  <conditionalFormatting sqref="U17:U21">
    <cfRule type="cellIs" dxfId="18" priority="71" stopIfTrue="1" operator="equal">
      <formula>"TBD"</formula>
    </cfRule>
    <cfRule type="cellIs" dxfId="17" priority="72" stopIfTrue="1" operator="notEqual">
      <formula>0</formula>
    </cfRule>
    <cfRule type="cellIs" dxfId="16" priority="73" stopIfTrue="1" operator="equal">
      <formula>0</formula>
    </cfRule>
  </conditionalFormatting>
  <conditionalFormatting sqref="U19:U21">
    <cfRule type="cellIs" dxfId="15" priority="65" operator="notEqual">
      <formula>0</formula>
    </cfRule>
    <cfRule type="cellIs" dxfId="14" priority="66" operator="equal">
      <formula>0</formula>
    </cfRule>
  </conditionalFormatting>
  <conditionalFormatting sqref="U19:U27">
    <cfRule type="cellIs" dxfId="13" priority="37" stopIfTrue="1" operator="equal">
      <formula>0</formula>
    </cfRule>
    <cfRule type="cellIs" dxfId="12" priority="36" stopIfTrue="1" operator="notEqual">
      <formula>0</formula>
    </cfRule>
    <cfRule type="cellIs" dxfId="11" priority="35" stopIfTrue="1" operator="equal">
      <formula>"TBD"</formula>
    </cfRule>
  </conditionalFormatting>
  <conditionalFormatting sqref="U22:U28">
    <cfRule type="cellIs" dxfId="10" priority="15" stopIfTrue="1" operator="notEqual">
      <formula>0</formula>
    </cfRule>
    <cfRule type="cellIs" dxfId="9" priority="18" operator="equal">
      <formula>0</formula>
    </cfRule>
    <cfRule type="cellIs" dxfId="8" priority="17" operator="notEqual">
      <formula>0</formula>
    </cfRule>
    <cfRule type="cellIs" dxfId="7" priority="16" stopIfTrue="1" operator="equal">
      <formula>0</formula>
    </cfRule>
    <cfRule type="cellIs" dxfId="6" priority="14" stopIfTrue="1" operator="equal">
      <formula>"TBD"</formula>
    </cfRule>
  </conditionalFormatting>
  <conditionalFormatting sqref="U25:U28 P7 Q28">
    <cfRule type="cellIs" dxfId="5" priority="519" stopIfTrue="1" operator="equal">
      <formula>"TBD"</formula>
    </cfRule>
  </conditionalFormatting>
  <conditionalFormatting sqref="U28">
    <cfRule type="cellIs" dxfId="4" priority="13" operator="equal">
      <formula>0</formula>
    </cfRule>
    <cfRule type="cellIs" dxfId="3" priority="11" stopIfTrue="1" operator="equal">
      <formula>0</formula>
    </cfRule>
    <cfRule type="cellIs" dxfId="2" priority="10" stopIfTrue="1" operator="notEqual">
      <formula>0</formula>
    </cfRule>
    <cfRule type="cellIs" dxfId="1" priority="9" stopIfTrue="1" operator="equal">
      <formula>"TBD"</formula>
    </cfRule>
    <cfRule type="cellIs" dxfId="0" priority="12" operator="notEqual">
      <formula>0</formula>
    </cfRule>
  </conditionalFormatting>
  <hyperlinks>
    <hyperlink ref="H7" r:id="rId1" xr:uid="{53042502-A34C-4561-AA36-70B4CD9D2B2A}"/>
    <hyperlink ref="H22" r:id="rId2" xr:uid="{6459A1DC-8829-4B84-B256-E5427076AE79}"/>
    <hyperlink ref="H10" r:id="rId3" xr:uid="{0548B860-A44B-4246-8B80-76BC674AD55F}"/>
    <hyperlink ref="H16" r:id="rId4" xr:uid="{533C0905-E41A-4BB0-8B8A-13286B6A4035}"/>
    <hyperlink ref="H19" r:id="rId5" xr:uid="{0D0A178B-2859-48D5-806C-E797EE8C3969}"/>
    <hyperlink ref="H25" r:id="rId6" xr:uid="{311166E0-5FA4-4A9B-B4C2-ACA5E35480A9}"/>
    <hyperlink ref="H20" r:id="rId7" xr:uid="{2F775FF8-1E3E-4D30-A3D5-FDD32EEE996B}"/>
    <hyperlink ref="H23" r:id="rId8" xr:uid="{2CD77FA6-C89F-495A-B2B8-0B7BE2A1C0C5}"/>
    <hyperlink ref="H26" r:id="rId9" xr:uid="{9E055B21-4590-4B86-928B-F73266348DA0}"/>
    <hyperlink ref="H28" r:id="rId10" xr:uid="{4A3B3DA3-94B4-4FFB-A051-E42E20070661}"/>
    <hyperlink ref="H11" r:id="rId11" xr:uid="{163EA155-2801-466A-8967-7F1A7627FFDD}"/>
    <hyperlink ref="H17" r:id="rId12" xr:uid="{8453AA58-CF62-48A9-9811-DC586F5F4C1F}"/>
    <hyperlink ref="H12" r:id="rId13" xr:uid="{BEEF5E07-50B0-4E15-A2ED-14B7ED1FFF62}"/>
    <hyperlink ref="H18" r:id="rId14" xr:uid="{F24F744E-8395-44D7-8253-7F4BCCC8812A}"/>
    <hyperlink ref="H21" r:id="rId15" xr:uid="{A1713BE3-2D04-437A-8EBE-8781A52EC6A9}"/>
    <hyperlink ref="H24" r:id="rId16" xr:uid="{D78A42AF-A2C8-4487-AC4A-4EB61CD7F556}"/>
    <hyperlink ref="H27" r:id="rId17" xr:uid="{30F56200-1C79-4626-8B0C-DF9AC3934744}"/>
  </hyperlinks>
  <pageMargins left="0.7" right="0.7" top="0.75" bottom="0.75" header="0.3" footer="0.3"/>
  <pageSetup scale="28" orientation="landscape" r:id="rId18"/>
  <tableParts count="1">
    <tablePart r:id="rId1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34ED83EA0B5E468033F72E96A6CA4D" ma:contentTypeVersion="22" ma:contentTypeDescription="Create a new document." ma:contentTypeScope="" ma:versionID="442bde7254312f821ef0f6f76832210a">
  <xsd:schema xmlns:xsd="http://www.w3.org/2001/XMLSchema" xmlns:xs="http://www.w3.org/2001/XMLSchema" xmlns:p="http://schemas.microsoft.com/office/2006/metadata/properties" xmlns:ns2="f89dec18-d0c2-45d2-8a15-31051f2519f8" xmlns:ns3="1aae30ff-d7bc-47e3-882e-cd3423d00d62" targetNamespace="http://schemas.microsoft.com/office/2006/metadata/properties" ma:root="true" ma:fieldsID="7ff3419d8d9908078aac2494a55cd37c" ns2:_="" ns3:_="">
    <xsd:import namespace="f89dec18-d0c2-45d2-8a15-31051f2519f8"/>
    <xsd:import namespace="1aae30ff-d7bc-47e3-882e-cd3423d00d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_Flow_SignoffStatu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Questions" minOccurs="0"/>
                <xsd:element ref="ns2:Respons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dec18-d0c2-45d2-8a15-31051f2519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9" nillable="true" ma:displayName="Sign-off status" ma:internalName="Sign_x002d_off_x0020_status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c2487d89-012e-44bc-975c-10dd49798f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Questions" ma:index="27" nillable="true" ma:displayName="Questions" ma:format="Dropdown" ma:internalName="Questions">
      <xsd:simpleType>
        <xsd:restriction base="dms:Note">
          <xsd:maxLength value="255"/>
        </xsd:restriction>
      </xsd:simpleType>
    </xsd:element>
    <xsd:element name="Response" ma:index="28" nillable="true" ma:displayName="Response" ma:format="Dropdown" ma:internalName="Response">
      <xsd:simpleType>
        <xsd:restriction base="dms:Note">
          <xsd:maxLength value="255"/>
        </xsd:restriction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e30ff-d7bc-47e3-882e-cd3423d00d6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f47c6646-7324-4359-8ae4-f18e09663bfc}" ma:internalName="TaxCatchAll" ma:showField="CatchAllData" ma:web="1aae30ff-d7bc-47e3-882e-cd3423d00d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ae30ff-d7bc-47e3-882e-cd3423d00d62" xsi:nil="true"/>
    <_Flow_SignoffStatus xmlns="f89dec18-d0c2-45d2-8a15-31051f2519f8" xsi:nil="true"/>
    <lcf76f155ced4ddcb4097134ff3c332f xmlns="f89dec18-d0c2-45d2-8a15-31051f2519f8">
      <Terms xmlns="http://schemas.microsoft.com/office/infopath/2007/PartnerControls"/>
    </lcf76f155ced4ddcb4097134ff3c332f>
    <Questions xmlns="f89dec18-d0c2-45d2-8a15-31051f2519f8" xsi:nil="true"/>
    <Response xmlns="f89dec18-d0c2-45d2-8a15-31051f2519f8" xsi:nil="true"/>
  </documentManagement>
</p:properties>
</file>

<file path=customXml/itemProps1.xml><?xml version="1.0" encoding="utf-8"?>
<ds:datastoreItem xmlns:ds="http://schemas.openxmlformats.org/officeDocument/2006/customXml" ds:itemID="{5597B887-5875-4D7A-8A2C-E9DF346184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9dec18-d0c2-45d2-8a15-31051f2519f8"/>
    <ds:schemaRef ds:uri="1aae30ff-d7bc-47e3-882e-cd3423d00d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AC8958-EF6F-404F-99C3-B5FD013EE0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A5624D-EC86-4061-9BD3-41A12EEADD2D}">
  <ds:schemaRefs>
    <ds:schemaRef ds:uri="http://purl.org/dc/elements/1.1/"/>
    <ds:schemaRef ds:uri="http://schemas.microsoft.com/office/2006/metadata/properties"/>
    <ds:schemaRef ds:uri="1aae30ff-d7bc-47e3-882e-cd3423d00d62"/>
    <ds:schemaRef ds:uri="http://purl.org/dc/terms/"/>
    <ds:schemaRef ds:uri="f89dec18-d0c2-45d2-8a15-31051f2519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1. PA and EPA</vt:lpstr>
      <vt:lpstr>2. State Categorical</vt:lpstr>
      <vt:lpstr>3. Lottery</vt:lpstr>
      <vt:lpstr>4. Federal Programs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EstCashFlow3-26: Select Programs - Categorical Programs (CA Dept of Education)</dc:title>
  <dc:subject>Estimated Cash Flow for select programs for fiscal year 2026-27.</dc:subject>
  <dc:creator/>
  <cp:keywords/>
  <dc:description/>
  <cp:lastModifiedBy/>
  <cp:revision>1</cp:revision>
  <dcterms:created xsi:type="dcterms:W3CDTF">2024-12-31T17:51:24Z</dcterms:created>
  <dcterms:modified xsi:type="dcterms:W3CDTF">2026-10-06T21:46:14Z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0x0101003534ED83EA0B5E468033F72E96A6CA4D</vt:lpwstr>
  </property>
  <property fmtid="{D5CDD505-2E9C-101B-9397-08002B2CF9AE}" pid="3" name="MediaServiceImageTags">
    <vt:lpwstr/>
  </property>
</Properties>
</file>