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B23F8545-6B62-44E0-8FD6-55369D31E00B}" xr6:coauthVersionLast="47" xr6:coauthVersionMax="47" xr10:uidLastSave="{00000000-0000-0000-0000-000000000000}"/>
  <bookViews>
    <workbookView xWindow="28690" yWindow="1830" windowWidth="29020" windowHeight="15820" xr2:uid="{66E38774-AF71-48FF-8741-C4143D25C842}"/>
  </bookViews>
  <sheets>
    <sheet name="ADA LM BA 21-22 AN R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9" i="1" l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CS89" i="1"/>
  <c r="CT89" i="1"/>
  <c r="CU89" i="1"/>
  <c r="CV89" i="1"/>
  <c r="CW89" i="1"/>
  <c r="CX89" i="1"/>
  <c r="CY89" i="1"/>
  <c r="CZ89" i="1"/>
  <c r="DA89" i="1"/>
  <c r="DB89" i="1"/>
  <c r="DC89" i="1"/>
  <c r="DD89" i="1"/>
  <c r="DE89" i="1"/>
  <c r="DF89" i="1"/>
  <c r="DG89" i="1"/>
  <c r="DH89" i="1"/>
  <c r="DI89" i="1"/>
  <c r="DJ89" i="1"/>
  <c r="DK89" i="1"/>
  <c r="DL89" i="1"/>
  <c r="DM89" i="1"/>
  <c r="DN89" i="1"/>
  <c r="DO89" i="1"/>
  <c r="DP89" i="1"/>
  <c r="DQ89" i="1"/>
  <c r="DR89" i="1"/>
  <c r="DS89" i="1"/>
  <c r="DT89" i="1"/>
  <c r="DU89" i="1"/>
  <c r="DV89" i="1"/>
  <c r="DW89" i="1"/>
  <c r="DX89" i="1"/>
  <c r="DY89" i="1"/>
  <c r="DZ89" i="1"/>
  <c r="EA89" i="1"/>
  <c r="EB89" i="1"/>
  <c r="M89" i="1" l="1"/>
  <c r="N89" i="1"/>
  <c r="O89" i="1"/>
  <c r="P89" i="1"/>
  <c r="Q89" i="1"/>
  <c r="R89" i="1"/>
  <c r="S89" i="1"/>
  <c r="T89" i="1"/>
</calcChain>
</file>

<file path=xl/sharedStrings.xml><?xml version="1.0" encoding="utf-8"?>
<sst xmlns="http://schemas.openxmlformats.org/spreadsheetml/2006/main" count="730" uniqueCount="270">
  <si>
    <t>School Fiscal Services Division</t>
  </si>
  <si>
    <t>California Department of Education</t>
  </si>
  <si>
    <t>Prepared by:</t>
  </si>
  <si>
    <t>TOTAL</t>
  </si>
  <si>
    <t>Healdsburg Unified</t>
  </si>
  <si>
    <t>Windsor Unified</t>
  </si>
  <si>
    <t>Cotati-Rohnert Park Unified</t>
  </si>
  <si>
    <t>Wright Elementary</t>
  </si>
  <si>
    <t>Sonoma Valley Unified</t>
  </si>
  <si>
    <t>Sebastopol Union Elementary</t>
  </si>
  <si>
    <t>Santa Rosa High</t>
  </si>
  <si>
    <t>Santa Rosa Elementary</t>
  </si>
  <si>
    <t>Rincon Valley Union Elementary</t>
  </si>
  <si>
    <t>Piner-Olivet Union Elementary</t>
  </si>
  <si>
    <t>Petaluma Joint Union High</t>
  </si>
  <si>
    <t>Petaluma City Elementary</t>
  </si>
  <si>
    <t>Kenwood</t>
  </si>
  <si>
    <t>Harmony Union Elementary</t>
  </si>
  <si>
    <t>Guerneville Elementary</t>
  </si>
  <si>
    <t>Gravenstein Union Elementary</t>
  </si>
  <si>
    <t>Forestville Union Elementary</t>
  </si>
  <si>
    <t>Cloverdale Unified</t>
  </si>
  <si>
    <t>Bennett Valley Union Elementary</t>
  </si>
  <si>
    <t>West Sonoma County Union High</t>
  </si>
  <si>
    <t>Vallejo City Unified</t>
  </si>
  <si>
    <t>Fairfield-Suisun Unified</t>
  </si>
  <si>
    <t>Napa Valley Unified</t>
  </si>
  <si>
    <t>Ravenswood City Elementary</t>
  </si>
  <si>
    <t>Orcutt Union Elementary</t>
  </si>
  <si>
    <t>Lompoc Unified</t>
  </si>
  <si>
    <t>Goleta Union Elementary</t>
  </si>
  <si>
    <t>Palo Alto Unified</t>
  </si>
  <si>
    <t>San Francisco Unified</t>
  </si>
  <si>
    <t>Bonsall Unified</t>
  </si>
  <si>
    <t>San Marcos Unified</t>
  </si>
  <si>
    <t>Oceanside Unified</t>
  </si>
  <si>
    <t>Carlsbad Unified</t>
  </si>
  <si>
    <t>Vista Unified</t>
  </si>
  <si>
    <t>San Diego Unified</t>
  </si>
  <si>
    <t>Fallbrook Union High</t>
  </si>
  <si>
    <t>Escondido Union</t>
  </si>
  <si>
    <t>Encinitas Union Elementary</t>
  </si>
  <si>
    <t>Capistrano Unified</t>
  </si>
  <si>
    <t>Penn Valley Union Elementary</t>
  </si>
  <si>
    <t>Twin Ridges Elementary</t>
  </si>
  <si>
    <t>Union Hill Elementary</t>
  </si>
  <si>
    <t>Pleasant Ridge Union Elementary</t>
  </si>
  <si>
    <t>Nevada City Elementary</t>
  </si>
  <si>
    <t>Grass Valley Elementary</t>
  </si>
  <si>
    <t>Clear Creek Elementary</t>
  </si>
  <si>
    <t>Mendocino Unified</t>
  </si>
  <si>
    <t>Fort Bragg Unified</t>
  </si>
  <si>
    <t>Anderson Valley Unified</t>
  </si>
  <si>
    <t>Ross Valley Elementary</t>
  </si>
  <si>
    <t>Shoreline Unified</t>
  </si>
  <si>
    <t>Tamalpais Union High</t>
  </si>
  <si>
    <t>Sausalito Marin City</t>
  </si>
  <si>
    <t>San Rafael City Elementary</t>
  </si>
  <si>
    <t>Novato Unified</t>
  </si>
  <si>
    <t>Nicasio</t>
  </si>
  <si>
    <t>Middletown Unified</t>
  </si>
  <si>
    <t>Taft City</t>
  </si>
  <si>
    <t>Lakeside Union</t>
  </si>
  <si>
    <t>Bishop Unified</t>
  </si>
  <si>
    <t>Sierra Unified</t>
  </si>
  <si>
    <t>West Contra Costa Unified</t>
  </si>
  <si>
    <t>Hayward Unified</t>
  </si>
  <si>
    <t>District Code</t>
  </si>
  <si>
    <t>County Code</t>
  </si>
  <si>
    <t>Entity ID</t>
  </si>
  <si>
    <t>District</t>
  </si>
  <si>
    <t xml:space="preserve">District Type </t>
  </si>
  <si>
    <t>2021–22 ADA Loss Mitigation Factor
 A-1</t>
  </si>
  <si>
    <t>2021–22  P-2 Reported Regular ADA
Total
B-1</t>
  </si>
  <si>
    <t>2021–22 P-2 Reported ADA Extended Year Special Education
Total
B-2</t>
  </si>
  <si>
    <t>2021–22P-2 Reported ADA Special Education - NPS/LCI
Total
B-3</t>
  </si>
  <si>
    <t>2021–22 P-2 Reported ADA Extended Year Special Education - NPS/LCI
Total
B-4</t>
  </si>
  <si>
    <t>2021–22 P-2 Reported ADA Community Day School 
Total
B-5</t>
  </si>
  <si>
    <t>2021–22 P-2 Adjusted Regular ADA
Total
(B-1*A-1)
C-1</t>
  </si>
  <si>
    <t>2021–22 P-2 Adjusted ADA Extended Year Special Education
Total
(B-2*A-1)
C-2</t>
  </si>
  <si>
    <t>2021–22 P-2 Adjusted ADA Special Education NPS/LCI
Total
(B-3*A-1)
C-3</t>
  </si>
  <si>
    <t>2021–22 P-2 Adjusted ADA Extended Year Special Education NPS/LCI
Total
(B-4*A-1)
C-4</t>
  </si>
  <si>
    <t>2021–22 P-2 Adjusted ADA Community Day School
Total
(B-5*A-1)
C-5</t>
  </si>
  <si>
    <t>2021–22 P-2 Adjusted ADA Totals
(Sum of C-1 through C-5)
C-6</t>
  </si>
  <si>
    <t>2021–22 Annual Regular ADA
Total
D-1</t>
  </si>
  <si>
    <t>2021–22 Annual ADA Extended Year Special Education
Total
D-2</t>
  </si>
  <si>
    <t>2021–22 Annual ADA Extra Extended Year Special Education NPS/LCI
Total
D-4</t>
  </si>
  <si>
    <t>2021–22 Annual ADA Community Day School
Total
D-5</t>
  </si>
  <si>
    <t>2021–22 Annual ADA Total
(Sum of D-1 through D-5)
D-6</t>
  </si>
  <si>
    <t>2021–22 Annual Adjusted Reported ADA 
Total
(D-1*A-1)
E-1</t>
  </si>
  <si>
    <t>2021–22 Annual Adjusted Extended Year Special Education
Total
(D-2*A-1)
E-2</t>
  </si>
  <si>
    <t>2021–22 Annual Adjusted Special Education - NPS/LCI
Total
(D-3*A-1)
E-3</t>
  </si>
  <si>
    <t>2021–22 Annual Adjusted Extended Year Special Education NPS/LCI
Total
(D-4*A-1)
E-4</t>
  </si>
  <si>
    <t>2021–22 Annual Adjusted Community Day School
Total
(D-4*A-1)
E-5</t>
  </si>
  <si>
    <t>2021–22 Annual Adjusted ADA 
Total
(Sum of E-1 through E-5)
E-6</t>
  </si>
  <si>
    <t>10</t>
  </si>
  <si>
    <t>62026</t>
  </si>
  <si>
    <t>Big Creek Elementary</t>
  </si>
  <si>
    <t>ELEMENTARY</t>
  </si>
  <si>
    <t>Pine Ridge Elementary</t>
  </si>
  <si>
    <t>BACHOICE</t>
  </si>
  <si>
    <t>UNIFIED</t>
  </si>
  <si>
    <t>62372</t>
  </si>
  <si>
    <t>14</t>
  </si>
  <si>
    <t>63305</t>
  </si>
  <si>
    <t>Round Valley Joint Elementary</t>
  </si>
  <si>
    <t>15</t>
  </si>
  <si>
    <t>63651</t>
  </si>
  <si>
    <t>McKittrick Elementary</t>
  </si>
  <si>
    <t>Midway Elementary</t>
  </si>
  <si>
    <t>63669</t>
  </si>
  <si>
    <t>28</t>
  </si>
  <si>
    <t>66290</t>
  </si>
  <si>
    <t>Saint Helena Unified</t>
  </si>
  <si>
    <t>21</t>
  </si>
  <si>
    <t>65474</t>
  </si>
  <si>
    <t>73361</t>
  </si>
  <si>
    <t>Bolinas-Stinson Union</t>
  </si>
  <si>
    <t>Laguna Joint Elementary</t>
  </si>
  <si>
    <t>HIGH</t>
  </si>
  <si>
    <t>23</t>
  </si>
  <si>
    <t>65581</t>
  </si>
  <si>
    <t>49</t>
  </si>
  <si>
    <t>70706</t>
  </si>
  <si>
    <t>Geyserville Unified</t>
  </si>
  <si>
    <t>29</t>
  </si>
  <si>
    <t>66340</t>
  </si>
  <si>
    <t>30</t>
  </si>
  <si>
    <t>66464</t>
  </si>
  <si>
    <t>BASUPP</t>
  </si>
  <si>
    <t>37</t>
  </si>
  <si>
    <t>68080</t>
  </si>
  <si>
    <t>41</t>
  </si>
  <si>
    <t>68957</t>
  </si>
  <si>
    <t>Las Lomitas Elementary</t>
  </si>
  <si>
    <t>BACOVPT</t>
  </si>
  <si>
    <t>68965</t>
  </si>
  <si>
    <t>Menlo Park City Elementary</t>
  </si>
  <si>
    <t>68981</t>
  </si>
  <si>
    <t>Portola Valley Elementary</t>
  </si>
  <si>
    <t>69088</t>
  </si>
  <si>
    <t>Woodside Elementary</t>
  </si>
  <si>
    <t>43</t>
  </si>
  <si>
    <t>69641</t>
  </si>
  <si>
    <t>42</t>
  </si>
  <si>
    <t>69179</t>
  </si>
  <si>
    <t>College Elementary</t>
  </si>
  <si>
    <t>Buellton Union Elementary</t>
  </si>
  <si>
    <t>Solvang Elementary</t>
  </si>
  <si>
    <t>69344</t>
  </si>
  <si>
    <t>Vista del Mar Union</t>
  </si>
  <si>
    <t>Fort Ross Elementary</t>
  </si>
  <si>
    <t>Montgomery Elementary</t>
  </si>
  <si>
    <t>Old Adobe Union</t>
  </si>
  <si>
    <t>Twin Hills Union Elementary</t>
  </si>
  <si>
    <t>Two Rock Union</t>
  </si>
  <si>
    <t>70680</t>
  </si>
  <si>
    <t>West Side Union Elementary</t>
  </si>
  <si>
    <t>70789</t>
  </si>
  <si>
    <t>Camptonville Elementary</t>
  </si>
  <si>
    <t xml:space="preserve">District of Residence District Code </t>
  </si>
  <si>
    <t>District of Residence County Code</t>
  </si>
  <si>
    <t xml:space="preserve">District of Residence </t>
  </si>
  <si>
    <t>District of Residence Entity ID</t>
  </si>
  <si>
    <t xml:space="preserve">District of Residence Type </t>
  </si>
  <si>
    <t>Form Type</t>
  </si>
  <si>
    <t>2021–22 P-2 Adjusted ADA Totals
Grades TK/K-3
(Sum of C-1 through C-5)
C-6</t>
  </si>
  <si>
    <t>2021–22 Annual Regular ADA
Grades TK/K-3
D-1</t>
  </si>
  <si>
    <t>2021–22 Annual ADA Extended Year Special Education
Grades TK/K-3
D-2</t>
  </si>
  <si>
    <t>2021–22 Annual ADA Special Education NPS/LCI
Grades TK/K-3
D-3</t>
  </si>
  <si>
    <t>2021–22 Annual ADA Extra Extended Year Special Education NPS/LCI
Grades TK/K-3
D-4</t>
  </si>
  <si>
    <t>2021–22 Annual ADA Community Day School
Grades TK/K-3
D-5</t>
  </si>
  <si>
    <t>2021–22 Annual ADA Total
Grades TK/K-3
(Sum of D-1 through D-5)
D-6</t>
  </si>
  <si>
    <t>2021–22 Annual Adjusted Reported ADA 
Grades TK/K-3
(D-1*A-1)
E-1</t>
  </si>
  <si>
    <t>2021–22 Annual Adjusted Extended Year Special Education
Grades TK/K-3
(D-2*A-1)
E-2</t>
  </si>
  <si>
    <t>2021–22 Annual Adjusted Special Education - NPS/LCI
Grades TK/K-3
(D-3*A-1)
E-3</t>
  </si>
  <si>
    <t>2021–22 Annual Adjusted Extended Year Special Education NPS/LCI
Grades TK/K-3
(D-4*A-1)
E-4</t>
  </si>
  <si>
    <t>2021–22 Annual Adjusted Community Day School
Grades TK/K-3
(D-4*A-1)
E-5</t>
  </si>
  <si>
    <t>2021–22 Annual Adjusted ADA Total 
Grades TK/K-3
(Sum of E-1 through E-5)
E-6</t>
  </si>
  <si>
    <t>2021–22 P-2 Adjusted ADA Totals
Grades 4-6
(Sum of C-1 through C-5)
C-6</t>
  </si>
  <si>
    <t>2021–22 Annual Regular ADA
Grades 4-6
D-1</t>
  </si>
  <si>
    <t>2021–22 Annual ADA Extended Year Special Education
Grades 4-6
D-2</t>
  </si>
  <si>
    <t>2021–22 Annual ADA Special Education NPS/LCI
Grades 4-6
D-3</t>
  </si>
  <si>
    <t>2021–22 Annual ADA Extra Extended Year Special Education NPS/LCI
Grades 4-6
D-4</t>
  </si>
  <si>
    <t>2021–22 Annual ADA Community Day School
Grades 4-6
D-5</t>
  </si>
  <si>
    <t>2021–22 Annual ADA Total
Grades 4-6
(Sum of D-1 through D-5)
D-6</t>
  </si>
  <si>
    <t>2021–22 Annual Adjusted Reported ADA 
Grades 4-6
(D-1*A-1)
E-1</t>
  </si>
  <si>
    <t>2021–22 Annual Adjusted Extended Year Special Education
Grades 4-6
(D-2*A-1)
E-2</t>
  </si>
  <si>
    <t>2021–22 Annual Adjusted Special Education - NPS/LCI
Grades 4-6
(D-3*A-1)
E-3</t>
  </si>
  <si>
    <t>2021–22 Annual Adjusted Extended Year Special Education NPS/LCI
Grades 4-6
(D-4*A-1)
E-4</t>
  </si>
  <si>
    <t>2021–22 Annual Adjusted Community Day School
Grades 4-6
(D-4*A-1)
E-5</t>
  </si>
  <si>
    <t>2021–22 Annual Adjusted ADA Total 
Grades 4-6
(Sum of E-1 through E-5)
E-6</t>
  </si>
  <si>
    <t>2021–22 P-2 Adjusted ADA Community Day School
Grades 7-8
(B-5*A-1)
C-5</t>
  </si>
  <si>
    <t>2021–22 P-2 Adjusted ADA Totals
Grades 7-8
(Sum of C-1 through C-5)
C-6</t>
  </si>
  <si>
    <t>2021–22 Annual Regular ADA
Grades 7-8
D-1</t>
  </si>
  <si>
    <t>2021–22 Annual ADA Extended Year Special Education
Grades 7-8
D-2</t>
  </si>
  <si>
    <t>2021–22 Annual ADA Special Education NPS/LCI
Grades 7-8
D-3</t>
  </si>
  <si>
    <t>2021–22 Annual ADA Extra Extended Year Special Education NPS/LCI
Grades 7-8
D-4</t>
  </si>
  <si>
    <t>2021–22 Annual ADA Community Day School
Grades 7-8
D-5</t>
  </si>
  <si>
    <t>2021–22 Annual ADA Total
Grades 7-8
(Sum of D-1 through D-5)
D-6</t>
  </si>
  <si>
    <t>2021–22 Annual Adjusted Reported ADA 
Grades 7-8
(D-1*A-1)
E-1</t>
  </si>
  <si>
    <t>2021–22 Annual Adjusted Extended Year Special Education
Grades 7-8
(D-2*A-1)
E-2</t>
  </si>
  <si>
    <t>2021–22 Annual Adjusted Special Education - NPS/LCI
Grades 7-8
(D-3*A-1)
E-3</t>
  </si>
  <si>
    <t>2021–22 Annual Adjusted Extended Year Special Education NPS/LCI
Grades 7-8
(D-4*A-1)
E-4</t>
  </si>
  <si>
    <t>2021–22 Annual Adjusted Community Day School
Grades 7-8
(D-4*A-1)
E-5</t>
  </si>
  <si>
    <t>2021–22 Annual Adjusted ADA Total 
Grades 7-8
(Sum of E-1 through E-5)
E-6</t>
  </si>
  <si>
    <t>2021–22 P-2 Adjusted ADA Totals
Grades 9-12
(Sum of C-1 through C-5)
C-6</t>
  </si>
  <si>
    <t>2021–22 Annual Regular ADA
Grades 9-12
D-1</t>
  </si>
  <si>
    <t>2021–22 Annual ADA Extended Year Special Education
Grades 9-12
D-2</t>
  </si>
  <si>
    <t>2021–22 Annual ADA Special Education NPS/LCI
Grades 9-12
D-3</t>
  </si>
  <si>
    <t>2021–22 Annual ADA Extra Extended Year Special Education NPS/LCI
Grades 9-12
D-4</t>
  </si>
  <si>
    <t>2021–22 Annual ADA Community Day School
Grades 9-12
D-5</t>
  </si>
  <si>
    <t>2021–22 Annual ADA Total
Grades 9-12
(Sum of D-1 through D-5)
D-6</t>
  </si>
  <si>
    <t>2021–22 Annual Adjusted Reported ADA 
Grades 9-12
(D-1*A-1)
E-1</t>
  </si>
  <si>
    <t>2021–22 Annual Adjusted Extended Year Special Education
Grades 9-12
(D-2*A-1)
E-2</t>
  </si>
  <si>
    <t>2021–22 Annual Adjusted Special Education - NPS/LCI
Grades 9-12
(D-3*A-1)
E-3</t>
  </si>
  <si>
    <t>2021–22 Annual Adjusted Extended Year Special Education NPS/LCI
Grades 9-12
(D-4*A-1)
E-4</t>
  </si>
  <si>
    <t>2021–22 Annual Adjusted Community Day School
Grades 9-12
(D-4*A-1)
E-5</t>
  </si>
  <si>
    <t>2021–22 Annual Adjusted ADA Total 
Grades 9-12
(Sum of E-1 through E-5)
E-6</t>
  </si>
  <si>
    <t>2021–22 P-2 Reported Regular ADA
Grades TK/K-3
B-1</t>
  </si>
  <si>
    <t>2021–22 P-2 Reported ADA Extended Year Special Education
Grades TK/K-3
B-2</t>
  </si>
  <si>
    <t>2021–22  P-2 Reported ADA Special Education - NPS/LCI
Grades TK/K-3
B-3</t>
  </si>
  <si>
    <t>2021–22 P-2 Reported ADA Extended Year Special Education - NPS/LCI
Grades TK/K-3
B-4</t>
  </si>
  <si>
    <t>2021–22 P-2 Reported ADA Community Day School 
Grades TK/K-3
B-5</t>
  </si>
  <si>
    <t>2021–22 P-2 Reported ADA Total 
Grades TK/K-3
(Sum of B-1 through B-5)
B-6</t>
  </si>
  <si>
    <t>2021–22 P-2 Adjusted Regular ADA
Grades TK/K-3
(B-1*A-1)
C-1</t>
  </si>
  <si>
    <t>2021–22 P-2 Adjusted ADA Extended Year Special Education
Grades TK/K-3
(B-2*A-1)
C-2</t>
  </si>
  <si>
    <t>2021–22 P-2 Adjusted ADA Special Education NPS/LCI
Grades TK/K-3
(B-3*A-1)
C-3</t>
  </si>
  <si>
    <t>2021–22 P-2 Adjusted ADA Extended Year Special Education NPS/LCI
Grades TK/K-3
(B-4*A-1)
C-4</t>
  </si>
  <si>
    <t>2021–22 P-2 Adjusted ADA Community Day School
Grades TK/K-3
(B-5*A-1)
C-5</t>
  </si>
  <si>
    <t>2021–22 P-2 Reported Regular ADA
Grades 4-6
B-1</t>
  </si>
  <si>
    <t>2021–22 P-2 Reported ADA Extended Year Special Education
Grades 4-6
B-2</t>
  </si>
  <si>
    <t>2021–22 P-2 Reported ADA Special Education - NPS/LCI
Grades 4-6
B-3</t>
  </si>
  <si>
    <t>2021–22 P-2 Reported ADA Extended Year Special Education - NPS/LCI
Grades 4-6
B-4</t>
  </si>
  <si>
    <t>2021–22 P-2 Reported ADA Community Day School 
Grades 4-6
B-5</t>
  </si>
  <si>
    <t>2021–22 P-2 Reported ADA Total 
Grades 4-6
(Sum of B-1 through B-5)
B-6</t>
  </si>
  <si>
    <t>2021–22 P-2 Adjusted Regular ADA
Grades 4-6
(B-1*A-1)
C-1</t>
  </si>
  <si>
    <t>2021–22 P-2 Adjusted ADA Extended Year Special Education
Grades 4-6
(B-2*A-1)
C-2</t>
  </si>
  <si>
    <t>2021–22 P-2 Adjusted ADA Special Education NPS/LCI
Grades 4-6
(B-3*A-1)
C-3</t>
  </si>
  <si>
    <t>2021–22 P-2 Adjusted ADA Extended Year Special Education NPS/LCI
Grades 4-6
(B-4*A-1)
C-4</t>
  </si>
  <si>
    <t>2021–22 P-2 Adjusted ADA Community Day School
Grades 4-6
(B-5*A-1)
C-5</t>
  </si>
  <si>
    <t>2021–22 P-2 Reported Regular ADA
Grades 7-8
B-1</t>
  </si>
  <si>
    <t>2021–22 P-2 Reported ADA Extended Year Special Education
Grades 7-8
B-2</t>
  </si>
  <si>
    <t>2021–22 P-2 Reported ADA Special Education - NPS/LCI
Grades 7-8
B-3</t>
  </si>
  <si>
    <t>2021–22 P-2 Reported ADA Extended Year Special Education - NPS/LCI
Grades 7-8
B-4</t>
  </si>
  <si>
    <t>2021–22 P-2 Reported ADA Community Day School 
Grades 7-8
B-5</t>
  </si>
  <si>
    <t>2021–22 P-2 Reported ADA Total 
Grades 7-8
(Sum of B-1 through B-5)
B-6</t>
  </si>
  <si>
    <t>2021–22 P-2 Adjusted Regular ADA
Grades 7-8
(B-1*A-1)
C-1</t>
  </si>
  <si>
    <t>2021–22 P-2 Adjusted ADA Extended Year Special Education
Grades 7-8
(B-2*A-1)
C-2</t>
  </si>
  <si>
    <t>2021–22 P-2 Adjusted ADA Special Education NPS/LCI
Grades 7-8
(B-3*A-1)
C-3</t>
  </si>
  <si>
    <t>2021–22 P-2 Adjusted ADA Extended Year Special Education NPS/LCI
Grades 7-8
(B-4*A-1)
C-4</t>
  </si>
  <si>
    <t>2021–22 P-2 Reported  Regular ADA
Grades 9-12
B-1</t>
  </si>
  <si>
    <t>2021–22 P-2 Reported ADA Extended Year Special Education
Grades 9-12
B-2</t>
  </si>
  <si>
    <t>2021–22 P-2 Reported ADA Special Education - NPS/LCI
Grades 9-12
B-3</t>
  </si>
  <si>
    <t>2021–22 P-2 Reported ADA Extended Year Special Education - NPS/LCI
Grades 9-12
B-4</t>
  </si>
  <si>
    <t>2021–22 P-2 Reported ADA Community Day School 
Grades 9-12
B-5</t>
  </si>
  <si>
    <t>2021–22 P-2 Reported ADA Total 
Grades 9-12
(Sum of B-1 through B-5)
B-6</t>
  </si>
  <si>
    <t>2021–22 P-2 Adjusted Regular ADA
Grades 9-12
(B-1*A-1)
C-1</t>
  </si>
  <si>
    <t>2021–22 P-2 Adjusted ADA Extended Year Special Education
Grades 9-12
(B-2*A-1)
C-2</t>
  </si>
  <si>
    <t>2021–22 P-2 Adjusted ADA Special Education NPS/LCI
Grades 9-12
(B-3*A-1)
C-3</t>
  </si>
  <si>
    <t>2021–22 P-2 Adjusted ADA Extended Year Special Education NPS/LCI
Grades 9-12
(B-4*A-1)
C-4</t>
  </si>
  <si>
    <t>2021–22 P-2 Reported ADA Total 
(Sum of B-1 through B-5)
B-6</t>
  </si>
  <si>
    <t>2021–22 Annual ADA Special Education NPS/LCI
Total
D-3</t>
  </si>
  <si>
    <t>2021–22 P-2 Adjusted ADA Community Day School
Grades 9-12
(B-5*A-1)
C-5</t>
  </si>
  <si>
    <t>February 2024</t>
  </si>
  <si>
    <t>2021–22 Second Annual Recertification (AN R2)</t>
  </si>
  <si>
    <t>01</t>
  </si>
  <si>
    <t>07</t>
  </si>
  <si>
    <t xml:space="preserve">2021–22 ADA Loss Mitigation - Basic Aid Choice/COVPT/Supplement School District </t>
  </si>
  <si>
    <t>LEGEND: COVPT = Court Ordered Voluntary Pupil Transfer; G = Grade span; TK/K-3 = Transitional Kindergarten/Kindergarten; ADA = Average daily attendance; NPS/LCI = Nonpublic School/Licensed Children's Institutions; P-2 = Second Principal Apportionment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</si>
</sst>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"/>
    <numFmt numFmtId="165" formatCode="_(* #,##0.0000000000_);_(* \(#,##0.0000000000\);_(* &quot;-&quot;??????????_);_(@_)"/>
  </numFmts>
  <fonts count="7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7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2" borderId="1" applyNumberFormat="0" applyProtection="0">
      <alignment horizontal="center" wrapText="1"/>
    </xf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2" applyNumberFormat="1">
      <alignment horizontal="center" wrapText="1"/>
    </xf>
    <xf numFmtId="0" fontId="0" fillId="0" borderId="0" xfId="0" quotePrefix="1"/>
    <xf numFmtId="0" fontId="2" fillId="0" borderId="0" xfId="0" applyFont="1"/>
    <xf numFmtId="0" fontId="3" fillId="0" borderId="0" xfId="1" applyFont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quotePrefix="1" applyBorder="1" applyAlignment="1">
      <alignment horizontal="left" wrapText="1"/>
    </xf>
    <xf numFmtId="43" fontId="0" fillId="0" borderId="3" xfId="0" applyNumberFormat="1" applyBorder="1" applyAlignment="1">
      <alignment horizontal="right"/>
    </xf>
    <xf numFmtId="43" fontId="0" fillId="0" borderId="2" xfId="0" applyNumberFormat="1" applyBorder="1" applyAlignment="1">
      <alignment horizontal="right"/>
    </xf>
    <xf numFmtId="0" fontId="0" fillId="0" borderId="5" xfId="0" applyBorder="1" applyAlignment="1">
      <alignment horizontal="left" wrapText="1"/>
    </xf>
    <xf numFmtId="43" fontId="0" fillId="0" borderId="5" xfId="0" applyNumberFormat="1" applyBorder="1" applyAlignment="1">
      <alignment horizontal="right"/>
    </xf>
    <xf numFmtId="43" fontId="2" fillId="0" borderId="0" xfId="3" applyNumberFormat="1" applyBorder="1" applyAlignment="1">
      <alignment horizontal="left"/>
    </xf>
    <xf numFmtId="165" fontId="0" fillId="0" borderId="3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0" fontId="2" fillId="0" borderId="0" xfId="3" applyNumberFormat="1" applyBorder="1" applyAlignment="1">
      <alignment horizontal="left"/>
    </xf>
  </cellXfs>
  <cellStyles count="7">
    <cellStyle name="Heading 1" xfId="1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PAS Table Header" xfId="2" xr:uid="{CA23AA62-6590-473F-B223-68D7755B7782}"/>
    <cellStyle name="Total" xfId="3" builtinId="25" customBuiltin="1"/>
  </cellStyles>
  <dxfs count="266"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35" formatCode="_(* #,##0.00_);_(* \(#,##0.0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0" indent="0" justifyLastLine="0" shrinkToFit="0" readingOrder="0"/>
    </dxf>
    <dxf>
      <numFmt numFmtId="165" formatCode="_(* #,##0.0000000000_);_(* \(#,##0.0000000000\);_(* &quot;-&quot;??????????_);_(@_)"/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alignment horizontal="left" vertical="bottom" textRotation="0" wrapText="0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944553-71F3-41EB-87E1-5EEDB8AE7CBA}" name="Table14" displayName="Table14" ref="A4:EB89" totalsRowCount="1" headerRowDxfId="265" totalsRowDxfId="264" headerRowCellStyle="PAS Table Header" totalsRowCellStyle="Total">
  <autoFilter ref="A4:EB88" xr:uid="{DF944553-71F3-41EB-87E1-5EEDB8AE7CB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  <filterColumn colId="62" hiddenButton="1"/>
    <filterColumn colId="63" hiddenButton="1"/>
    <filterColumn colId="64" hiddenButton="1"/>
    <filterColumn colId="65" hiddenButton="1"/>
    <filterColumn colId="66" hiddenButton="1"/>
    <filterColumn colId="67" hiddenButton="1"/>
    <filterColumn colId="68" hiddenButton="1"/>
    <filterColumn colId="69" hiddenButton="1"/>
    <filterColumn colId="70" hiddenButton="1"/>
    <filterColumn colId="71" hiddenButton="1"/>
    <filterColumn colId="72" hiddenButton="1"/>
    <filterColumn colId="73" hiddenButton="1"/>
    <filterColumn colId="74" hiddenButton="1"/>
    <filterColumn colId="75" hiddenButton="1"/>
    <filterColumn colId="76" hiddenButton="1"/>
    <filterColumn colId="77" hiddenButton="1"/>
    <filterColumn colId="78" hiddenButton="1"/>
    <filterColumn colId="79" hiddenButton="1"/>
    <filterColumn colId="80" hiddenButton="1"/>
    <filterColumn colId="81" hiddenButton="1"/>
    <filterColumn colId="82" hiddenButton="1"/>
    <filterColumn colId="83" hiddenButton="1"/>
    <filterColumn colId="84" hiddenButton="1"/>
    <filterColumn colId="85" hiddenButton="1"/>
    <filterColumn colId="86" hiddenButton="1"/>
    <filterColumn colId="87" hiddenButton="1"/>
    <filterColumn colId="88" hiddenButton="1"/>
    <filterColumn colId="89" hiddenButton="1"/>
    <filterColumn colId="90" hiddenButton="1"/>
    <filterColumn colId="91" hiddenButton="1"/>
    <filterColumn colId="92" hiddenButton="1"/>
    <filterColumn colId="93" hiddenButton="1"/>
    <filterColumn colId="94" hiddenButton="1"/>
    <filterColumn colId="95" hiddenButton="1"/>
    <filterColumn colId="96" hiddenButton="1"/>
    <filterColumn colId="97" hiddenButton="1"/>
    <filterColumn colId="98" hiddenButton="1"/>
    <filterColumn colId="99" hiddenButton="1"/>
    <filterColumn colId="100" hiddenButton="1"/>
    <filterColumn colId="101" hiddenButton="1"/>
    <filterColumn colId="102" hiddenButton="1"/>
    <filterColumn colId="103" hiddenButton="1"/>
    <filterColumn colId="104" hiddenButton="1"/>
    <filterColumn colId="105" hiddenButton="1"/>
    <filterColumn colId="106" hiddenButton="1"/>
    <filterColumn colId="107" hiddenButton="1"/>
    <filterColumn colId="108" hiddenButton="1"/>
    <filterColumn colId="109" hiddenButton="1"/>
    <filterColumn colId="110" hiddenButton="1"/>
    <filterColumn colId="111" hiddenButton="1"/>
    <filterColumn colId="112" hiddenButton="1"/>
    <filterColumn colId="113" hiddenButton="1"/>
    <filterColumn colId="114" hiddenButton="1"/>
    <filterColumn colId="115" hiddenButton="1"/>
    <filterColumn colId="116" hiddenButton="1"/>
    <filterColumn colId="117" hiddenButton="1"/>
    <filterColumn colId="118" hiddenButton="1"/>
    <filterColumn colId="119" hiddenButton="1"/>
    <filterColumn colId="120" hiddenButton="1"/>
    <filterColumn colId="121" hiddenButton="1"/>
    <filterColumn colId="122" hiddenButton="1"/>
    <filterColumn colId="123" hiddenButton="1"/>
    <filterColumn colId="124" hiddenButton="1"/>
    <filterColumn colId="125" hiddenButton="1"/>
    <filterColumn colId="126" hiddenButton="1"/>
    <filterColumn colId="127" hiddenButton="1"/>
    <filterColumn colId="128" hiddenButton="1"/>
    <filterColumn colId="129" hiddenButton="1"/>
    <filterColumn colId="130" hiddenButton="1"/>
    <filterColumn colId="131" hiddenButton="1"/>
  </autoFilter>
  <tableColumns count="132">
    <tableColumn id="1" xr3:uid="{6D774DED-589E-442D-9899-4A35DD8D5D38}" name="Entity ID" totalsRowLabel="TOTAL" dataDxfId="263" totalsRowDxfId="262" totalsRowCellStyle="Total"/>
    <tableColumn id="2" xr3:uid="{1050A53A-8071-4603-A8B7-885242E728D9}" name="County Code" dataDxfId="261" totalsRowDxfId="260" totalsRowCellStyle="Total"/>
    <tableColumn id="3" xr3:uid="{D0E4F3BB-1A57-4632-97B3-0E111071755B}" name="District Code" dataDxfId="259" totalsRowDxfId="258" totalsRowCellStyle="Total"/>
    <tableColumn id="5" xr3:uid="{D86ABDC8-8401-45E5-9F22-D0C125C4D110}" name="District" dataDxfId="257" totalsRowDxfId="256" totalsRowCellStyle="Total"/>
    <tableColumn id="6" xr3:uid="{4B2D1847-BA54-4D68-9BA7-F496EDA919F9}" name="District Type " dataDxfId="255" totalsRowDxfId="254" totalsRowCellStyle="Total"/>
    <tableColumn id="7" xr3:uid="{01E345BA-3B68-4E1A-9894-77A09555B103}" name="District of Residence Entity ID" dataDxfId="253" totalsRowDxfId="252" totalsRowCellStyle="Total"/>
    <tableColumn id="8" xr3:uid="{EAA1C75E-692C-45AE-BB74-BC763B32D385}" name="District of Residence County Code" dataDxfId="251" totalsRowDxfId="250" totalsRowCellStyle="Total"/>
    <tableColumn id="9" xr3:uid="{EEB3F25D-9F99-4F8F-BF71-0E9287A9FCC7}" name="District of Residence District Code " dataDxfId="249" totalsRowDxfId="248" totalsRowCellStyle="Total"/>
    <tableColumn id="10" xr3:uid="{8343D0DE-FC94-4E51-A86F-8DF6B9F38CC3}" name="District of Residence " dataDxfId="247" totalsRowDxfId="246" totalsRowCellStyle="Total"/>
    <tableColumn id="11" xr3:uid="{F5374990-391D-4DB8-A60E-0B6E05731783}" name="District of Residence Type " dataDxfId="245" totalsRowDxfId="244" totalsRowCellStyle="Total"/>
    <tableColumn id="12" xr3:uid="{3DEE5AA5-7CE7-4266-86B3-CC8C9777E7E2}" name="Form Type" dataDxfId="243" totalsRowDxfId="242" totalsRowCellStyle="Total"/>
    <tableColumn id="13" xr3:uid="{188A5D12-2CDD-41BA-B790-2CAFE1D29A3F}" name="2021–22 ADA Loss Mitigation Factor_x000a_ A-1" dataDxfId="241" totalsRowDxfId="240" totalsRowCellStyle="Total"/>
    <tableColumn id="14" xr3:uid="{A2EC5572-C962-4A2E-87ED-D56201AB2FC9}" name="2021–22 P-2 Reported Regular ADA_x000a_Grades TK/K-3_x000a_B-1" totalsRowFunction="sum" dataDxfId="239" totalsRowDxfId="238" totalsRowCellStyle="Total"/>
    <tableColumn id="15" xr3:uid="{2B2E76D3-243B-4A94-B7E1-3A0ABB8626B5}" name="2021–22 P-2 Reported Regular ADA_x000a_Grades 4-6_x000a_B-1" totalsRowFunction="sum" dataDxfId="237" totalsRowDxfId="236" totalsRowCellStyle="Total"/>
    <tableColumn id="69" xr3:uid="{A65C7FE1-CDD2-422D-BEBD-9AAC574AEC80}" name="2021–22 P-2 Reported Regular ADA_x000a_Grades 7-8_x000a_B-1" totalsRowFunction="sum" dataDxfId="235" totalsRowDxfId="234" totalsRowCellStyle="Total"/>
    <tableColumn id="70" xr3:uid="{6ADA0A80-2879-4ECA-AE6E-D7F470C96ACF}" name="2021–22 P-2 Reported  Regular ADA_x000a_Grades 9-12_x000a_B-1" totalsRowFunction="sum" dataDxfId="233" totalsRowDxfId="232" totalsRowCellStyle="Total"/>
    <tableColumn id="71" xr3:uid="{5D45949B-3DC6-45A5-81FE-B8413B7409E9}" name="2021–22  P-2 Reported Regular ADA_x000a_Total_x000a_B-1" totalsRowFunction="sum" dataDxfId="231" totalsRowDxfId="230" totalsRowCellStyle="Total"/>
    <tableColumn id="72" xr3:uid="{59D258BB-64B1-4263-9B3F-15612FA2DE9F}" name="2021–22 P-2 Reported ADA Extended Year Special Education_x000a_Grades TK/K-3_x000a_B-2" totalsRowFunction="sum" dataDxfId="229" totalsRowDxfId="228" totalsRowCellStyle="Total"/>
    <tableColumn id="73" xr3:uid="{99DC74E2-41F0-4DBF-A583-419F7904BA92}" name="2021–22 P-2 Reported ADA Extended Year Special Education_x000a_Grades 4-6_x000a_B-2" totalsRowFunction="sum" dataDxfId="227" totalsRowDxfId="226" totalsRowCellStyle="Total"/>
    <tableColumn id="74" xr3:uid="{E872EE6F-8E79-4EB3-9DB1-C20112C159A0}" name="2021–22 P-2 Reported ADA Extended Year Special Education_x000a_Grades 7-8_x000a_B-2" totalsRowFunction="sum" dataDxfId="225" totalsRowDxfId="224" totalsRowCellStyle="Total"/>
    <tableColumn id="75" xr3:uid="{82990A40-64E0-40C8-A063-60D6705B9C5C}" name="2021–22 P-2 Reported ADA Extended Year Special Education_x000a_Grades 9-12_x000a_B-2" totalsRowFunction="sum" dataDxfId="223" totalsRowDxfId="222" totalsRowCellStyle="Total"/>
    <tableColumn id="76" xr3:uid="{2806E152-7AFE-4508-B64D-10D8878B7FFE}" name="2021–22 P-2 Reported ADA Extended Year Special Education_x000a_Total_x000a_B-2" totalsRowFunction="sum" dataDxfId="221" totalsRowDxfId="220" totalsRowCellStyle="Total"/>
    <tableColumn id="77" xr3:uid="{8D3D2901-66D4-4FCB-A16D-C62DA9B62557}" name="2021–22  P-2 Reported ADA Special Education - NPS/LCI_x000a_Grades TK/K-3_x000a_B-3" totalsRowFunction="sum" dataDxfId="219" totalsRowDxfId="218" totalsRowCellStyle="Total"/>
    <tableColumn id="78" xr3:uid="{75D8BA6C-8C12-4825-A6D2-77B95293751D}" name="2021–22 P-2 Reported ADA Special Education - NPS/LCI_x000a_Grades 4-6_x000a_B-3" totalsRowFunction="sum" dataDxfId="217" totalsRowDxfId="216" totalsRowCellStyle="Total"/>
    <tableColumn id="79" xr3:uid="{67EA174C-5618-4030-B972-36A6302BF6E4}" name="2021–22 P-2 Reported ADA Special Education - NPS/LCI_x000a_Grades 7-8_x000a_B-3" totalsRowFunction="sum" dataDxfId="215" totalsRowDxfId="214" totalsRowCellStyle="Total"/>
    <tableColumn id="80" xr3:uid="{8AAE70CF-F392-4F11-AC62-A09B6B3D59B4}" name="2021–22 P-2 Reported ADA Special Education - NPS/LCI_x000a_Grades 9-12_x000a_B-3" totalsRowFunction="sum" dataDxfId="213" totalsRowDxfId="212" totalsRowCellStyle="Total"/>
    <tableColumn id="81" xr3:uid="{D22462D4-26F6-40AC-9FDD-9376E1C51726}" name="2021–22P-2 Reported ADA Special Education - NPS/LCI_x000a_Total_x000a_B-3" totalsRowFunction="sum" dataDxfId="211" totalsRowDxfId="210" totalsRowCellStyle="Total"/>
    <tableColumn id="82" xr3:uid="{59F40DCA-9210-4D20-8D1E-19DF5F70497C}" name="2021–22 P-2 Reported ADA Extended Year Special Education - NPS/LCI_x000a_Grades TK/K-3_x000a_B-4" totalsRowFunction="sum" dataDxfId="209" totalsRowDxfId="208" totalsRowCellStyle="Total"/>
    <tableColumn id="83" xr3:uid="{9A75DB11-0336-4958-97D4-62DBC86AFDE0}" name="2021–22 P-2 Reported ADA Extended Year Special Education - NPS/LCI_x000a_Grades 4-6_x000a_B-4" totalsRowFunction="sum" dataDxfId="207" totalsRowDxfId="206" totalsRowCellStyle="Total"/>
    <tableColumn id="84" xr3:uid="{48AB2B6A-5800-48E8-89A9-03D07BC84555}" name="2021–22 P-2 Reported ADA Extended Year Special Education - NPS/LCI_x000a_Grades 7-8_x000a_B-4" totalsRowFunction="sum" dataDxfId="205" totalsRowDxfId="204" totalsRowCellStyle="Total"/>
    <tableColumn id="85" xr3:uid="{42BC8100-60D6-4300-B0B0-E6AA18B5FEF5}" name="2021–22 P-2 Reported ADA Extended Year Special Education - NPS/LCI_x000a_Grades 9-12_x000a_B-4" totalsRowFunction="sum" dataDxfId="203" totalsRowDxfId="202" totalsRowCellStyle="Total"/>
    <tableColumn id="86" xr3:uid="{8CC18DFE-47A8-42F8-865A-51B39749DA21}" name="2021–22 P-2 Reported ADA Extended Year Special Education - NPS/LCI_x000a_Total_x000a_B-4" totalsRowFunction="sum" dataDxfId="201" totalsRowDxfId="200" totalsRowCellStyle="Total"/>
    <tableColumn id="87" xr3:uid="{AC176B73-4657-43FB-9796-027F15439F7E}" name="2021–22 P-2 Reported ADA Community Day School _x000a_Grades TK/K-3_x000a_B-5" totalsRowFunction="sum" dataDxfId="199" totalsRowDxfId="198" totalsRowCellStyle="Total"/>
    <tableColumn id="88" xr3:uid="{AB8257A5-DC01-4E9B-9662-A3CA2C38DD38}" name="2021–22 P-2 Reported ADA Community Day School _x000a_Grades 4-6_x000a_B-5" totalsRowFunction="sum" dataDxfId="197" totalsRowDxfId="196" totalsRowCellStyle="Total"/>
    <tableColumn id="89" xr3:uid="{880C4F1E-A29C-4199-94E5-31CD23085911}" name="2021–22 P-2 Reported ADA Community Day School _x000a_Grades 7-8_x000a_B-5" totalsRowFunction="sum" dataDxfId="195" totalsRowDxfId="194" totalsRowCellStyle="Total"/>
    <tableColumn id="90" xr3:uid="{6F339B66-EFAC-42ED-A4FB-1FF1E969F21A}" name="2021–22 P-2 Reported ADA Community Day School _x000a_Grades 9-12_x000a_B-5" totalsRowFunction="sum" dataDxfId="193" totalsRowDxfId="192" totalsRowCellStyle="Total"/>
    <tableColumn id="91" xr3:uid="{273A8429-7879-4AAA-947B-3F4DBE94718C}" name="2021–22 P-2 Reported ADA Community Day School _x000a_Total_x000a_B-5" totalsRowFunction="sum" dataDxfId="191" totalsRowDxfId="190" totalsRowCellStyle="Total"/>
    <tableColumn id="92" xr3:uid="{282C7A04-4F7D-4657-8615-924789DE43AE}" name="2021–22 P-2 Reported ADA Total _x000a_Grades TK/K-3_x000a_(Sum of B-1 through B-5)_x000a_B-6" totalsRowFunction="sum" dataDxfId="189" totalsRowDxfId="188" totalsRowCellStyle="Total"/>
    <tableColumn id="93" xr3:uid="{E57BA822-24C0-46EF-A079-023CB6BC3031}" name="2021–22 P-2 Reported ADA Total _x000a_Grades 4-6_x000a_(Sum of B-1 through B-5)_x000a_B-6" totalsRowFunction="sum" dataDxfId="187" totalsRowDxfId="186" totalsRowCellStyle="Total"/>
    <tableColumn id="94" xr3:uid="{DD3200C6-6BD5-49D3-B4CA-5FE1520A06EE}" name="2021–22 P-2 Reported ADA Total _x000a_Grades 7-8_x000a_(Sum of B-1 through B-5)_x000a_B-6" totalsRowFunction="sum" dataDxfId="185" totalsRowDxfId="184" totalsRowCellStyle="Total"/>
    <tableColumn id="95" xr3:uid="{1CFBD822-AA71-4D68-8B1D-255EABBDD652}" name="2021–22 P-2 Reported ADA Total _x000a_Grades 9-12_x000a_(Sum of B-1 through B-5)_x000a_B-6" totalsRowFunction="sum" dataDxfId="183" totalsRowDxfId="182" totalsRowCellStyle="Total"/>
    <tableColumn id="96" xr3:uid="{64AC8328-1665-4D76-A716-2B8EC04EBB02}" name="2021–22 P-2 Reported ADA Total _x000a_(Sum of B-1 through B-5)_x000a_B-6" totalsRowFunction="sum" dataDxfId="181" totalsRowDxfId="180" totalsRowCellStyle="Total"/>
    <tableColumn id="97" xr3:uid="{2AEB0A34-3726-4879-BE7B-32DBBC9F881F}" name="2021–22 P-2 Adjusted Regular ADA_x000a_Grades TK/K-3_x000a_(B-1*A-1)_x000a_C-1" totalsRowFunction="sum" dataDxfId="179" totalsRowDxfId="178" totalsRowCellStyle="Total"/>
    <tableColumn id="98" xr3:uid="{C85249E0-CD06-40A1-B14F-EFE1BAAC32F8}" name="2021–22 P-2 Adjusted Regular ADA_x000a_Grades 4-6_x000a_(B-1*A-1)_x000a_C-1" totalsRowFunction="sum" dataDxfId="177" totalsRowDxfId="176" totalsRowCellStyle="Total"/>
    <tableColumn id="99" xr3:uid="{46F07AD1-CC30-4487-B22E-B5F1D8B8641D}" name="2021–22 P-2 Adjusted Regular ADA_x000a_Grades 7-8_x000a_(B-1*A-1)_x000a_C-1" totalsRowFunction="sum" dataDxfId="175" totalsRowDxfId="174" totalsRowCellStyle="Total"/>
    <tableColumn id="100" xr3:uid="{1E218D2D-23B0-4B1D-9572-518A581DE134}" name="2021–22 P-2 Adjusted Regular ADA_x000a_Grades 9-12_x000a_(B-1*A-1)_x000a_C-1" totalsRowFunction="sum" dataDxfId="173" totalsRowDxfId="172" totalsRowCellStyle="Total"/>
    <tableColumn id="101" xr3:uid="{645908A9-EBAF-45DE-B2D6-3E58D6D25F45}" name="2021–22 P-2 Adjusted Regular ADA_x000a_Total_x000a_(B-1*A-1)_x000a_C-1" totalsRowFunction="sum" dataDxfId="171" totalsRowDxfId="170" totalsRowCellStyle="Total"/>
    <tableColumn id="102" xr3:uid="{7D9DF56A-C057-445B-97F1-5642301ED301}" name="2021–22 P-2 Adjusted ADA Extended Year Special Education_x000a_Grades TK/K-3_x000a_(B-2*A-1)_x000a_C-2" totalsRowFunction="sum" dataDxfId="169" totalsRowDxfId="168" totalsRowCellStyle="Total"/>
    <tableColumn id="103" xr3:uid="{EC178E93-67D3-403F-AF9F-61AEC8B94C53}" name="2021–22 P-2 Adjusted ADA Extended Year Special Education_x000a_Grades 4-6_x000a_(B-2*A-1)_x000a_C-2" totalsRowFunction="sum" dataDxfId="167" totalsRowDxfId="166" totalsRowCellStyle="Total"/>
    <tableColumn id="104" xr3:uid="{BA2A6D17-B570-4A53-B72C-BFBA52E68826}" name="2021–22 P-2 Adjusted ADA Extended Year Special Education_x000a_Grades 7-8_x000a_(B-2*A-1)_x000a_C-2" totalsRowFunction="sum" dataDxfId="165" totalsRowDxfId="164" totalsRowCellStyle="Total"/>
    <tableColumn id="105" xr3:uid="{4C36944B-2C11-4BA7-8291-F3DDEF0DD044}" name="2021–22 P-2 Adjusted ADA Extended Year Special Education_x000a_Grades 9-12_x000a_(B-2*A-1)_x000a_C-2" totalsRowFunction="sum" dataDxfId="163" totalsRowDxfId="162" totalsRowCellStyle="Total"/>
    <tableColumn id="106" xr3:uid="{A547F237-B215-4B27-8020-FF60987B3457}" name="2021–22 P-2 Adjusted ADA Extended Year Special Education_x000a_Total_x000a_(B-2*A-1)_x000a_C-2" totalsRowFunction="sum" dataDxfId="161" totalsRowDxfId="160" totalsRowCellStyle="Total"/>
    <tableColumn id="107" xr3:uid="{8D0F9278-1102-4FC1-AFE1-9637FA102E03}" name="2021–22 P-2 Adjusted ADA Special Education NPS/LCI_x000a_Grades TK/K-3_x000a_(B-3*A-1)_x000a_C-3" totalsRowFunction="sum" dataDxfId="159" totalsRowDxfId="158" totalsRowCellStyle="Total"/>
    <tableColumn id="108" xr3:uid="{CF0D5DCD-F22F-4F1E-9372-24A24DB29503}" name="2021–22 P-2 Adjusted ADA Special Education NPS/LCI_x000a_Grades 4-6_x000a_(B-3*A-1)_x000a_C-3" totalsRowFunction="sum" dataDxfId="157" totalsRowDxfId="156" totalsRowCellStyle="Total"/>
    <tableColumn id="109" xr3:uid="{18114053-6029-4D80-B64A-490942A4B226}" name="2021–22 P-2 Adjusted ADA Special Education NPS/LCI_x000a_Grades 7-8_x000a_(B-3*A-1)_x000a_C-3" totalsRowFunction="sum" dataDxfId="155" totalsRowDxfId="154" totalsRowCellStyle="Total"/>
    <tableColumn id="110" xr3:uid="{1EA3C16D-48FE-4E55-B043-1CCF0EFCB21E}" name="2021–22 P-2 Adjusted ADA Special Education NPS/LCI_x000a_Grades 9-12_x000a_(B-3*A-1)_x000a_C-3" totalsRowFunction="sum" dataDxfId="153" totalsRowDxfId="152" totalsRowCellStyle="Total"/>
    <tableColumn id="111" xr3:uid="{D6512BD4-5EAC-4175-87F9-B847E0223F29}" name="2021–22 P-2 Adjusted ADA Special Education NPS/LCI_x000a_Total_x000a_(B-3*A-1)_x000a_C-3" totalsRowFunction="sum" dataDxfId="151" totalsRowDxfId="150" totalsRowCellStyle="Total"/>
    <tableColumn id="112" xr3:uid="{0598DAE7-0064-411B-BAB7-57F4254FD779}" name="2021–22 P-2 Adjusted ADA Extended Year Special Education NPS/LCI_x000a_Grades TK/K-3_x000a_(B-4*A-1)_x000a_C-4" totalsRowFunction="sum" dataDxfId="149" totalsRowDxfId="148" totalsRowCellStyle="Total"/>
    <tableColumn id="113" xr3:uid="{79A46A54-AC57-45CF-8A4D-E0CD8C763188}" name="2021–22 P-2 Adjusted ADA Extended Year Special Education NPS/LCI_x000a_Grades 4-6_x000a_(B-4*A-1)_x000a_C-4" totalsRowFunction="sum" dataDxfId="147" totalsRowDxfId="146" totalsRowCellStyle="Total"/>
    <tableColumn id="114" xr3:uid="{74F1CE72-0664-427F-A422-5D2C1D6FD751}" name="2021–22 P-2 Adjusted ADA Extended Year Special Education NPS/LCI_x000a_Grades 7-8_x000a_(B-4*A-1)_x000a_C-4" totalsRowFunction="sum" dataDxfId="145" totalsRowDxfId="144" totalsRowCellStyle="Total"/>
    <tableColumn id="115" xr3:uid="{62F51477-9383-4969-8462-B82ECE73842A}" name="2021–22 P-2 Adjusted ADA Extended Year Special Education NPS/LCI_x000a_Grades 9-12_x000a_(B-4*A-1)_x000a_C-4" totalsRowFunction="sum" dataDxfId="143" totalsRowDxfId="142" totalsRowCellStyle="Total"/>
    <tableColumn id="116" xr3:uid="{DE662E95-9079-458C-A578-69B27481716D}" name="2021–22 P-2 Adjusted ADA Extended Year Special Education NPS/LCI_x000a_Total_x000a_(B-4*A-1)_x000a_C-4" totalsRowFunction="sum" dataDxfId="141" totalsRowDxfId="140" totalsRowCellStyle="Total"/>
    <tableColumn id="117" xr3:uid="{88881011-A014-4850-91FB-A49EFE50A343}" name="2021–22 P-2 Adjusted ADA Community Day School_x000a_Grades TK/K-3_x000a_(B-5*A-1)_x000a_C-5" totalsRowFunction="sum" dataDxfId="139" totalsRowDxfId="138" totalsRowCellStyle="Total"/>
    <tableColumn id="118" xr3:uid="{442CCF64-9084-4B7F-8483-01AEF933DBFE}" name="2021–22 P-2 Adjusted ADA Community Day School_x000a_Grades 4-6_x000a_(B-5*A-1)_x000a_C-5" totalsRowFunction="sum" dataDxfId="137" totalsRowDxfId="136" totalsRowCellStyle="Total"/>
    <tableColumn id="119" xr3:uid="{D1454722-48D1-4703-B8D5-C18726A72B58}" name="2021–22 P-2 Adjusted ADA Community Day School_x000a_Grades 7-8_x000a_(B-5*A-1)_x000a_C-5" totalsRowFunction="sum" dataDxfId="135" totalsRowDxfId="134" totalsRowCellStyle="Total"/>
    <tableColumn id="120" xr3:uid="{E989FE81-73FD-4668-8C77-EBE4CA9CDE33}" name="2021–22 P-2 Adjusted ADA Community Day School_x000a_Grades 9-12_x000a_(B-5*A-1)_x000a_C-5" totalsRowFunction="sum" dataDxfId="133" totalsRowDxfId="132" totalsRowCellStyle="Total"/>
    <tableColumn id="25" xr3:uid="{428CD382-33B4-4D3A-98A5-CABC55D3E860}" name="2021–22 P-2 Adjusted ADA Community Day School_x000a_Total_x000a_(B-5*A-1)_x000a_C-5" totalsRowFunction="sum" dataDxfId="131" totalsRowDxfId="130" totalsRowCellStyle="Total"/>
    <tableColumn id="24" xr3:uid="{DB5BAEDD-0B84-40CC-864E-3FE50C00EB00}" name="2021–22 P-2 Adjusted ADA Totals_x000a_Grades TK/K-3_x000a_(Sum of C-1 through C-5)_x000a_C-6" totalsRowFunction="sum" dataDxfId="129" totalsRowDxfId="128" totalsRowCellStyle="Total"/>
    <tableColumn id="26" xr3:uid="{351124BE-CA10-480A-96F4-95C788F0EF2E}" name="2021–22 P-2 Adjusted ADA Totals_x000a_Grades 4-6_x000a_(Sum of C-1 through C-5)_x000a_C-6" totalsRowFunction="sum" dataDxfId="127" totalsRowDxfId="126" totalsRowCellStyle="Total"/>
    <tableColumn id="27" xr3:uid="{9DB59EB1-6147-4F02-B4CB-A10FF68DC03B}" name="2021–22 P-2 Adjusted ADA Totals_x000a_Grades 7-8_x000a_(Sum of C-1 through C-5)_x000a_C-6" totalsRowFunction="sum" dataDxfId="125" totalsRowDxfId="124" totalsRowCellStyle="Total"/>
    <tableColumn id="45" xr3:uid="{C1171B1B-5C2C-45BE-AA1C-D6B79284F4BF}" name="2021–22 P-2 Adjusted ADA Totals_x000a_Grades 9-12_x000a_(Sum of C-1 through C-5)_x000a_C-6" totalsRowFunction="sum" dataDxfId="123" totalsRowDxfId="122" totalsRowCellStyle="Total"/>
    <tableColumn id="46" xr3:uid="{F94EFBA2-9D71-49AF-9BB8-533CACA273D0}" name="2021–22 P-2 Adjusted ADA Totals_x000a_(Sum of C-1 through C-5)_x000a_C-6" totalsRowFunction="sum" dataDxfId="121" totalsRowDxfId="120" totalsRowCellStyle="Total"/>
    <tableColumn id="47" xr3:uid="{C0081C93-1702-4DD0-9B25-F8965FBBE75A}" name="2021–22 Annual Regular ADA_x000a_Grades TK/K-3_x000a_D-1" totalsRowFunction="sum" dataDxfId="119" totalsRowDxfId="118" totalsRowCellStyle="Total"/>
    <tableColumn id="48" xr3:uid="{F237725A-80BF-4ABD-B999-08FCB71A6E91}" name="2021–22 Annual Regular ADA_x000a_Grades 4-6_x000a_D-1" totalsRowFunction="sum" dataDxfId="117" totalsRowDxfId="116" totalsRowCellStyle="Total"/>
    <tableColumn id="49" xr3:uid="{A43913FB-C5F5-45B8-8689-23D1276A9FD7}" name="2021–22 Annual Regular ADA_x000a_Grades 7-8_x000a_D-1" totalsRowFunction="sum" dataDxfId="115" totalsRowDxfId="114" totalsRowCellStyle="Total"/>
    <tableColumn id="50" xr3:uid="{FAB075C5-D417-4189-83FC-17F35E99D3E9}" name="2021–22 Annual Regular ADA_x000a_Grades 9-12_x000a_D-1" totalsRowFunction="sum" dataDxfId="113" totalsRowDxfId="112" totalsRowCellStyle="Total"/>
    <tableColumn id="51" xr3:uid="{A21C42DD-4A57-4FA8-8701-DA6976232D32}" name="2021–22 Annual Regular ADA_x000a_Total_x000a_D-1" totalsRowFunction="sum" dataDxfId="111" totalsRowDxfId="110" totalsRowCellStyle="Total"/>
    <tableColumn id="52" xr3:uid="{D51FFFDD-1D7C-453B-A95F-44E5FB9522D1}" name="2021–22 Annual ADA Extended Year Special Education_x000a_Grades TK/K-3_x000a_D-2" totalsRowFunction="sum" dataDxfId="109" totalsRowDxfId="108" totalsRowCellStyle="Total"/>
    <tableColumn id="53" xr3:uid="{EB9621FA-241A-49D1-B5FE-BD648BEE8896}" name="2021–22 Annual ADA Extended Year Special Education_x000a_Grades 4-6_x000a_D-2" totalsRowFunction="sum" dataDxfId="107" totalsRowDxfId="106" totalsRowCellStyle="Total"/>
    <tableColumn id="54" xr3:uid="{62DB1841-0498-4485-BED3-F8F3597983D6}" name="2021–22 Annual ADA Extended Year Special Education_x000a_Grades 7-8_x000a_D-2" totalsRowFunction="sum" dataDxfId="105" totalsRowDxfId="104" totalsRowCellStyle="Total"/>
    <tableColumn id="55" xr3:uid="{9D025F9F-06E3-4CE4-ABBD-DDD55ADD7789}" name="2021–22 Annual ADA Extended Year Special Education_x000a_Grades 9-12_x000a_D-2" totalsRowFunction="sum" dataDxfId="103" totalsRowDxfId="102" totalsRowCellStyle="Total"/>
    <tableColumn id="56" xr3:uid="{66310EF0-7005-4F01-93F2-DFE8E8EBC49B}" name="2021–22 Annual ADA Extended Year Special Education_x000a_Total_x000a_D-2" totalsRowFunction="sum" dataDxfId="101" totalsRowDxfId="100" totalsRowCellStyle="Total"/>
    <tableColumn id="57" xr3:uid="{E8068FEC-AFA3-4AAE-8DC6-49528EA51FF7}" name="2021–22 Annual ADA Special Education NPS/LCI_x000a_Grades TK/K-3_x000a_D-3" totalsRowFunction="sum" dataDxfId="99" totalsRowDxfId="98" totalsRowCellStyle="Total"/>
    <tableColumn id="58" xr3:uid="{39F5751F-81ED-4253-8924-9D3CB07A01C3}" name="2021–22 Annual ADA Special Education NPS/LCI_x000a_Grades 4-6_x000a_D-3" totalsRowFunction="sum" dataDxfId="97" totalsRowDxfId="96" totalsRowCellStyle="Total"/>
    <tableColumn id="59" xr3:uid="{8590C8FF-0B1E-478E-BA5E-D523B3F7CDA1}" name="2021–22 Annual ADA Special Education NPS/LCI_x000a_Grades 7-8_x000a_D-3" totalsRowFunction="sum" dataDxfId="95" totalsRowDxfId="94" totalsRowCellStyle="Total"/>
    <tableColumn id="60" xr3:uid="{3A13916C-D95D-472A-91BE-9BCFE9D66950}" name="2021–22 Annual ADA Special Education NPS/LCI_x000a_Grades 9-12_x000a_D-3" totalsRowFunction="sum" dataDxfId="93" totalsRowDxfId="92" totalsRowCellStyle="Total"/>
    <tableColumn id="61" xr3:uid="{8E19BC92-1800-4C52-814A-DFD014D0A2CE}" name="2021–22 Annual ADA Special Education NPS/LCI_x000a_Total_x000a_D-3" totalsRowFunction="sum" dataDxfId="91" totalsRowDxfId="90" totalsRowCellStyle="Total"/>
    <tableColumn id="62" xr3:uid="{D503EC00-BF0D-4992-9D20-46AB3BE8845E}" name="2021–22 Annual ADA Extra Extended Year Special Education NPS/LCI_x000a_Grades TK/K-3_x000a_D-4" totalsRowFunction="sum" dataDxfId="89" totalsRowDxfId="88" totalsRowCellStyle="Total"/>
    <tableColumn id="63" xr3:uid="{BC35BC68-A42B-4E96-8828-0B635E5AF4DC}" name="2021–22 Annual ADA Extra Extended Year Special Education NPS/LCI_x000a_Grades 4-6_x000a_D-4" totalsRowFunction="sum" dataDxfId="87" totalsRowDxfId="86" totalsRowCellStyle="Total"/>
    <tableColumn id="64" xr3:uid="{D4072971-9B48-470B-B298-03BCCD989F3C}" name="2021–22 Annual ADA Extra Extended Year Special Education NPS/LCI_x000a_Grades 7-8_x000a_D-4" totalsRowFunction="sum" dataDxfId="85" totalsRowDxfId="84" totalsRowCellStyle="Total"/>
    <tableColumn id="65" xr3:uid="{78C43CB5-F3BA-4247-AC7E-9AEFEA523880}" name="2021–22 Annual ADA Extra Extended Year Special Education NPS/LCI_x000a_Grades 9-12_x000a_D-4" totalsRowFunction="sum" dataDxfId="83" totalsRowDxfId="82" totalsRowCellStyle="Total"/>
    <tableColumn id="66" xr3:uid="{10A4EBE2-20B9-49CC-BD9D-8B5E28C8F5FD}" name="2021–22 Annual ADA Extra Extended Year Special Education NPS/LCI_x000a_Total_x000a_D-4" totalsRowFunction="sum" dataDxfId="81" totalsRowDxfId="80" totalsRowCellStyle="Total"/>
    <tableColumn id="67" xr3:uid="{1D9EEFB7-57A4-4462-BDAE-ADC8B20F2C8A}" name="2021–22 Annual ADA Community Day School_x000a_Grades TK/K-3_x000a_D-5" totalsRowFunction="sum" dataDxfId="79" totalsRowDxfId="78" totalsRowCellStyle="Total"/>
    <tableColumn id="68" xr3:uid="{EC3836D3-213D-464D-A8CD-641248C190F1}" name="2021–22 Annual ADA Community Day School_x000a_Grades 4-6_x000a_D-5" totalsRowFunction="sum" dataDxfId="77" totalsRowDxfId="76" totalsRowCellStyle="Total"/>
    <tableColumn id="33" xr3:uid="{F3BBF5FB-C6D0-4775-83C4-4BB7BFE94E71}" name="2021–22 Annual ADA Community Day School_x000a_Grades 7-8_x000a_D-5" totalsRowFunction="sum" dataDxfId="75" totalsRowDxfId="74" totalsRowCellStyle="Total"/>
    <tableColumn id="34" xr3:uid="{F762C349-2C21-4F08-B6CB-969326537892}" name="2021–22 Annual ADA Community Day School_x000a_Grades 9-12_x000a_D-5" totalsRowFunction="sum" dataDxfId="73" totalsRowDxfId="72" totalsRowCellStyle="Total"/>
    <tableColumn id="35" xr3:uid="{920555D5-9FCE-4B7B-B582-72D2CF69CDFA}" name="2021–22 Annual ADA Community Day School_x000a_Total_x000a_D-5" totalsRowFunction="sum" dataDxfId="71" totalsRowDxfId="70" totalsRowCellStyle="Total"/>
    <tableColumn id="36" xr3:uid="{19F159EC-2C25-4D01-80AF-8F6E7FD83803}" name="2021–22 Annual ADA Total_x000a_Grades TK/K-3_x000a_(Sum of D-1 through D-5)_x000a_D-6" totalsRowFunction="sum" dataDxfId="69" totalsRowDxfId="68" totalsRowCellStyle="Total"/>
    <tableColumn id="37" xr3:uid="{F01169F6-1775-4A29-8A91-BE2B68C9703C}" name="2021–22 Annual ADA Total_x000a_Grades 4-6_x000a_(Sum of D-1 through D-5)_x000a_D-6" totalsRowFunction="sum" dataDxfId="67" totalsRowDxfId="66" totalsRowCellStyle="Total"/>
    <tableColumn id="38" xr3:uid="{0FD12EF9-D87F-4589-860A-14A8C39190FD}" name="2021–22 Annual ADA Total_x000a_Grades 7-8_x000a_(Sum of D-1 through D-5)_x000a_D-6" totalsRowFunction="sum" dataDxfId="65" totalsRowDxfId="64" totalsRowCellStyle="Total"/>
    <tableColumn id="39" xr3:uid="{3768DA56-FF7B-4275-8539-A3B5700BB661}" name="2021–22 Annual ADA Total_x000a_Grades 9-12_x000a_(Sum of D-1 through D-5)_x000a_D-6" totalsRowFunction="sum" dataDxfId="63" totalsRowDxfId="62" totalsRowCellStyle="Total"/>
    <tableColumn id="40" xr3:uid="{0C4DA7F5-4651-4FEE-A145-A4C103BEE3BE}" name="2021–22 Annual ADA Total_x000a_(Sum of D-1 through D-5)_x000a_D-6" totalsRowFunction="sum" dataDxfId="61" totalsRowDxfId="60" totalsRowCellStyle="Total"/>
    <tableColumn id="41" xr3:uid="{8D8D1FB8-6B73-4D6A-B976-0C044761D2BB}" name="2021–22 Annual Adjusted Reported ADA _x000a_Grades TK/K-3_x000a_(D-1*A-1)_x000a_E-1" totalsRowFunction="sum" dataDxfId="59" totalsRowDxfId="58" totalsRowCellStyle="Total"/>
    <tableColumn id="42" xr3:uid="{316EF839-1BD2-4EC1-B57F-68AB1A2A051D}" name="2021–22 Annual Adjusted Reported ADA _x000a_Grades 4-6_x000a_(D-1*A-1)_x000a_E-1" totalsRowFunction="sum" dataDxfId="57" totalsRowDxfId="56" totalsRowCellStyle="Total"/>
    <tableColumn id="43" xr3:uid="{FE09F210-3656-4B0C-9773-6081ECD2C678}" name="2021–22 Annual Adjusted Reported ADA _x000a_Grades 7-8_x000a_(D-1*A-1)_x000a_E-1" totalsRowFunction="sum" dataDxfId="55" totalsRowDxfId="54" totalsRowCellStyle="Total"/>
    <tableColumn id="44" xr3:uid="{8E85378D-6F0F-4D86-B9A0-06E43B815D47}" name="2021–22 Annual Adjusted Reported ADA _x000a_Grades 9-12_x000a_(D-1*A-1)_x000a_E-1" totalsRowFunction="sum" dataDxfId="53" totalsRowDxfId="52" totalsRowCellStyle="Total"/>
    <tableColumn id="28" xr3:uid="{E1EB883A-EEE0-42A1-B379-81ED1EA21F3C}" name="2021–22 Annual Adjusted Reported ADA _x000a_Total_x000a_(D-1*A-1)_x000a_E-1" totalsRowFunction="sum" dataDxfId="51" totalsRowDxfId="50" totalsRowCellStyle="Total"/>
    <tableColumn id="29" xr3:uid="{242AB010-7056-4DFC-BEF0-1A808FB14E25}" name="2021–22 Annual Adjusted Extended Year Special Education_x000a_Grades TK/K-3_x000a_(D-2*A-1)_x000a_E-2" totalsRowFunction="sum" dataDxfId="49" totalsRowDxfId="48" totalsRowCellStyle="Total"/>
    <tableColumn id="30" xr3:uid="{21B72E2B-13CD-4B75-9997-08900778492E}" name="2021–22 Annual Adjusted Extended Year Special Education_x000a_Grades 4-6_x000a_(D-2*A-1)_x000a_E-2" totalsRowFunction="sum" dataDxfId="47" totalsRowDxfId="46" totalsRowCellStyle="Total"/>
    <tableColumn id="121" xr3:uid="{AEC80AE8-1498-46A7-BA95-6320B484895A}" name="2021–22 Annual Adjusted Extended Year Special Education_x000a_Grades 7-8_x000a_(D-2*A-1)_x000a_E-2" totalsRowFunction="sum" dataDxfId="45" totalsRowDxfId="44" totalsRowCellStyle="Total"/>
    <tableColumn id="122" xr3:uid="{8456EF57-C05D-41BE-810B-DF9CAB6A9A75}" name="2021–22 Annual Adjusted Extended Year Special Education_x000a_Grades 9-12_x000a_(D-2*A-1)_x000a_E-2" totalsRowFunction="sum" dataDxfId="43" totalsRowDxfId="42" totalsRowCellStyle="Total"/>
    <tableColumn id="123" xr3:uid="{3D157023-5839-48B7-B8C0-3C120503B81A}" name="2021–22 Annual Adjusted Extended Year Special Education_x000a_Total_x000a_(D-2*A-1)_x000a_E-2" totalsRowFunction="sum" dataDxfId="41" totalsRowDxfId="40" totalsRowCellStyle="Total"/>
    <tableColumn id="124" xr3:uid="{CCA53F1E-31B1-4D63-BCB8-FF2D90A1BD31}" name="2021–22 Annual Adjusted Special Education - NPS/LCI_x000a_Grades TK/K-3_x000a_(D-3*A-1)_x000a_E-3" totalsRowFunction="sum" dataDxfId="39" totalsRowDxfId="38" totalsRowCellStyle="Total"/>
    <tableColumn id="125" xr3:uid="{2147F057-66DD-4F59-967F-DAF305B4ADF4}" name="2021–22 Annual Adjusted Special Education - NPS/LCI_x000a_Grades 4-6_x000a_(D-3*A-1)_x000a_E-3" totalsRowFunction="sum" dataDxfId="37" totalsRowDxfId="36" totalsRowCellStyle="Total"/>
    <tableColumn id="126" xr3:uid="{A05279F6-BD50-46F0-B540-BEBE9EE106A3}" name="2021–22 Annual Adjusted Special Education - NPS/LCI_x000a_Grades 7-8_x000a_(D-3*A-1)_x000a_E-3" totalsRowFunction="sum" dataDxfId="35" totalsRowDxfId="34" totalsRowCellStyle="Total"/>
    <tableColumn id="127" xr3:uid="{D7F32B4B-AE5A-46A0-83A0-6E3907BB16EF}" name="2021–22 Annual Adjusted Special Education - NPS/LCI_x000a_Grades 9-12_x000a_(D-3*A-1)_x000a_E-3" totalsRowFunction="sum" dataDxfId="33" totalsRowDxfId="32" totalsRowCellStyle="Total"/>
    <tableColumn id="128" xr3:uid="{09CAC7D3-1935-4131-8810-F057EEA66468}" name="2021–22 Annual Adjusted Special Education - NPS/LCI_x000a_Total_x000a_(D-3*A-1)_x000a_E-3" totalsRowFunction="sum" dataDxfId="31" totalsRowDxfId="30" totalsRowCellStyle="Total"/>
    <tableColumn id="129" xr3:uid="{12417486-5F35-4433-A36B-3CC3E59E6E76}" name="2021–22 Annual Adjusted Extended Year Special Education NPS/LCI_x000a_Grades TK/K-3_x000a_(D-4*A-1)_x000a_E-4" totalsRowFunction="sum" dataDxfId="29" totalsRowDxfId="28" totalsRowCellStyle="Total"/>
    <tableColumn id="31" xr3:uid="{35248EBF-D392-48B4-8432-28C13652C708}" name="2021–22 Annual Adjusted Extended Year Special Education NPS/LCI_x000a_Grades 4-6_x000a_(D-4*A-1)_x000a_E-4" totalsRowFunction="sum" dataDxfId="27" totalsRowDxfId="26" totalsRowCellStyle="Total"/>
    <tableColumn id="32" xr3:uid="{F516654B-354B-4FC5-8D07-BC81763103BE}" name="2021–22 Annual Adjusted Extended Year Special Education NPS/LCI_x000a_Grades 7-8_x000a_(D-4*A-1)_x000a_E-4" totalsRowFunction="sum" dataDxfId="25" totalsRowDxfId="24" totalsRowCellStyle="Total"/>
    <tableColumn id="23" xr3:uid="{2CA7AD42-55A7-4147-B28D-BDA4584F99C3}" name="2021–22 Annual Adjusted Extended Year Special Education NPS/LCI_x000a_Grades 9-12_x000a_(D-4*A-1)_x000a_E-4" totalsRowFunction="sum" dataDxfId="23" totalsRowDxfId="22" totalsRowCellStyle="Total"/>
    <tableColumn id="22" xr3:uid="{E8A0D6D2-C5BE-46E0-BD4D-1F0CA9C71396}" name="2021–22 Annual Adjusted Extended Year Special Education NPS/LCI_x000a_Total_x000a_(D-4*A-1)_x000a_E-4" totalsRowFunction="sum" dataDxfId="21" totalsRowDxfId="20" totalsRowCellStyle="Total"/>
    <tableColumn id="21" xr3:uid="{99F05BD3-556E-40A3-BCAF-CCBD85F3EB97}" name="2021–22 Annual Adjusted Community Day School_x000a_Grades TK/K-3_x000a_(D-4*A-1)_x000a_E-5" totalsRowFunction="sum" dataDxfId="19" totalsRowDxfId="18" totalsRowCellStyle="Total"/>
    <tableColumn id="20" xr3:uid="{CF52D25C-968F-45EB-8751-E203B40DB282}" name="2021–22 Annual Adjusted Community Day School_x000a_Grades 4-6_x000a_(D-4*A-1)_x000a_E-5" totalsRowFunction="sum" dataDxfId="17" totalsRowDxfId="16" totalsRowCellStyle="Total"/>
    <tableColumn id="19" xr3:uid="{D315549A-5C89-4F3F-8203-B6FDDDDF9894}" name="2021–22 Annual Adjusted Community Day School_x000a_Grades 7-8_x000a_(D-4*A-1)_x000a_E-5" totalsRowFunction="sum" dataDxfId="15" totalsRowDxfId="14" totalsRowCellStyle="Total"/>
    <tableColumn id="18" xr3:uid="{996AAEF4-278C-42FA-AE1F-FB8445AB508A}" name="2021–22 Annual Adjusted Community Day School_x000a_Grades 9-12_x000a_(D-4*A-1)_x000a_E-5" totalsRowFunction="sum" dataDxfId="13" totalsRowDxfId="12" totalsRowCellStyle="Total"/>
    <tableColumn id="4" xr3:uid="{9D3615E3-CF0F-4A69-BEC6-9B9535627B72}" name="2021–22 Annual Adjusted Community Day School_x000a_Total_x000a_(D-4*A-1)_x000a_E-5" totalsRowFunction="sum" dataDxfId="11" totalsRowDxfId="10" totalsRowCellStyle="Total"/>
    <tableColumn id="16" xr3:uid="{9D8CD86A-EF95-47D6-954D-B95B5CD546DA}" name="2021–22 Annual Adjusted ADA Total _x000a_Grades TK/K-3_x000a_(Sum of E-1 through E-5)_x000a_E-6" totalsRowFunction="sum" dataDxfId="9" totalsRowDxfId="8" totalsRowCellStyle="Total"/>
    <tableColumn id="17" xr3:uid="{8B491053-CB23-4092-8739-3BEA3F8E9954}" name="2021–22 Annual Adjusted ADA Total _x000a_Grades 4-6_x000a_(Sum of E-1 through E-5)_x000a_E-6" totalsRowFunction="sum" dataDxfId="7" totalsRowDxfId="6" totalsRowCellStyle="Total"/>
    <tableColumn id="130" xr3:uid="{57C289F5-6E0D-4388-8AA3-28552BC28AF6}" name="2021–22 Annual Adjusted ADA Total _x000a_Grades 7-8_x000a_(Sum of E-1 through E-5)_x000a_E-6" totalsRowFunction="sum" dataDxfId="5" totalsRowDxfId="4" totalsRowCellStyle="Total"/>
    <tableColumn id="131" xr3:uid="{6BFE9FBA-F744-489E-907C-E0F3225B010F}" name="2021–22 Annual Adjusted ADA Total _x000a_Grades 9-12_x000a_(Sum of E-1 through E-5)_x000a_E-6" totalsRowFunction="sum" dataDxfId="3" totalsRowDxfId="2" totalsRowCellStyle="Total"/>
    <tableColumn id="132" xr3:uid="{910002ED-3419-4FCF-BCFE-6F45647A95A9}" name="2021–22 Annual Adjusted ADA _x000a_Total_x000a_(Sum of E-1 through E-5)_x000a_E-6" totalsRowFunction="sum" dataDxfId="1" totalsRowDxfId="0" totalsRowCellStyle="Total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2021–22 Annual R2 Loss Mitigation for School District - Basic Aid Choice, COVPT, and Supplement School District Data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FC271-3EC0-482F-B93B-D3AB4CCAD2DA}">
  <dimension ref="A1:EB93"/>
  <sheetViews>
    <sheetView tabSelected="1" zoomScaleNormal="100" workbookViewId="0">
      <pane ySplit="4" topLeftCell="A5" activePane="bottomLeft" state="frozen"/>
      <selection pane="bottomLeft"/>
    </sheetView>
  </sheetViews>
  <sheetFormatPr defaultRowHeight="15.5" x14ac:dyDescent="0.35"/>
  <cols>
    <col min="1" max="1" width="10.69140625" customWidth="1"/>
    <col min="2" max="2" width="9.84375" customWidth="1"/>
    <col min="3" max="3" width="10.69140625" customWidth="1"/>
    <col min="4" max="4" width="26.69140625" customWidth="1"/>
    <col min="5" max="5" width="15.23046875" customWidth="1"/>
    <col min="6" max="6" width="11.765625" customWidth="1"/>
    <col min="7" max="7" width="11.53515625" customWidth="1"/>
    <col min="8" max="8" width="13.4609375" customWidth="1"/>
    <col min="9" max="9" width="28.23046875" bestFit="1" customWidth="1"/>
    <col min="10" max="14" width="14.765625" customWidth="1"/>
    <col min="15" max="19" width="15" customWidth="1"/>
    <col min="20" max="39" width="14.765625" customWidth="1"/>
    <col min="40" max="69" width="25.23046875" customWidth="1"/>
    <col min="70" max="99" width="14.765625" customWidth="1"/>
    <col min="100" max="132" width="25.23046875" customWidth="1"/>
  </cols>
  <sheetData>
    <row r="1" spans="1:132" ht="18" x14ac:dyDescent="0.4">
      <c r="A1" s="4" t="s">
        <v>268</v>
      </c>
    </row>
    <row r="2" spans="1:132" x14ac:dyDescent="0.35">
      <c r="A2" t="s">
        <v>265</v>
      </c>
    </row>
    <row r="3" spans="1:132" x14ac:dyDescent="0.35">
      <c r="A3" t="s">
        <v>269</v>
      </c>
    </row>
    <row r="4" spans="1:132" ht="124" x14ac:dyDescent="0.35">
      <c r="A4" s="1" t="s">
        <v>69</v>
      </c>
      <c r="B4" s="1" t="s">
        <v>68</v>
      </c>
      <c r="C4" s="1" t="s">
        <v>67</v>
      </c>
      <c r="D4" s="1" t="s">
        <v>70</v>
      </c>
      <c r="E4" s="1" t="s">
        <v>71</v>
      </c>
      <c r="F4" s="1" t="s">
        <v>163</v>
      </c>
      <c r="G4" s="1" t="s">
        <v>161</v>
      </c>
      <c r="H4" s="1" t="s">
        <v>160</v>
      </c>
      <c r="I4" s="1" t="s">
        <v>162</v>
      </c>
      <c r="J4" s="1" t="s">
        <v>164</v>
      </c>
      <c r="K4" s="1" t="s">
        <v>165</v>
      </c>
      <c r="L4" s="1" t="s">
        <v>72</v>
      </c>
      <c r="M4" s="1" t="s">
        <v>219</v>
      </c>
      <c r="N4" s="1" t="s">
        <v>230</v>
      </c>
      <c r="O4" s="1" t="s">
        <v>241</v>
      </c>
      <c r="P4" s="1" t="s">
        <v>251</v>
      </c>
      <c r="Q4" s="1" t="s">
        <v>73</v>
      </c>
      <c r="R4" s="1" t="s">
        <v>220</v>
      </c>
      <c r="S4" s="1" t="s">
        <v>231</v>
      </c>
      <c r="T4" s="1" t="s">
        <v>242</v>
      </c>
      <c r="U4" s="1" t="s">
        <v>252</v>
      </c>
      <c r="V4" s="1" t="s">
        <v>74</v>
      </c>
      <c r="W4" s="1" t="s">
        <v>221</v>
      </c>
      <c r="X4" s="1" t="s">
        <v>232</v>
      </c>
      <c r="Y4" s="1" t="s">
        <v>243</v>
      </c>
      <c r="Z4" s="1" t="s">
        <v>253</v>
      </c>
      <c r="AA4" s="1" t="s">
        <v>75</v>
      </c>
      <c r="AB4" s="1" t="s">
        <v>222</v>
      </c>
      <c r="AC4" s="1" t="s">
        <v>233</v>
      </c>
      <c r="AD4" s="1" t="s">
        <v>244</v>
      </c>
      <c r="AE4" s="1" t="s">
        <v>254</v>
      </c>
      <c r="AF4" s="1" t="s">
        <v>76</v>
      </c>
      <c r="AG4" s="1" t="s">
        <v>223</v>
      </c>
      <c r="AH4" s="1" t="s">
        <v>234</v>
      </c>
      <c r="AI4" s="1" t="s">
        <v>245</v>
      </c>
      <c r="AJ4" s="1" t="s">
        <v>255</v>
      </c>
      <c r="AK4" s="1" t="s">
        <v>77</v>
      </c>
      <c r="AL4" s="1" t="s">
        <v>224</v>
      </c>
      <c r="AM4" s="1" t="s">
        <v>235</v>
      </c>
      <c r="AN4" s="1" t="s">
        <v>246</v>
      </c>
      <c r="AO4" s="1" t="s">
        <v>256</v>
      </c>
      <c r="AP4" s="1" t="s">
        <v>261</v>
      </c>
      <c r="AQ4" s="1" t="s">
        <v>225</v>
      </c>
      <c r="AR4" s="1" t="s">
        <v>236</v>
      </c>
      <c r="AS4" s="1" t="s">
        <v>247</v>
      </c>
      <c r="AT4" s="1" t="s">
        <v>257</v>
      </c>
      <c r="AU4" s="1" t="s">
        <v>78</v>
      </c>
      <c r="AV4" s="1" t="s">
        <v>226</v>
      </c>
      <c r="AW4" s="1" t="s">
        <v>237</v>
      </c>
      <c r="AX4" s="1" t="s">
        <v>248</v>
      </c>
      <c r="AY4" s="1" t="s">
        <v>258</v>
      </c>
      <c r="AZ4" s="1" t="s">
        <v>79</v>
      </c>
      <c r="BA4" s="1" t="s">
        <v>227</v>
      </c>
      <c r="BB4" s="1" t="s">
        <v>238</v>
      </c>
      <c r="BC4" s="1" t="s">
        <v>249</v>
      </c>
      <c r="BD4" s="1" t="s">
        <v>259</v>
      </c>
      <c r="BE4" s="1" t="s">
        <v>80</v>
      </c>
      <c r="BF4" s="1" t="s">
        <v>228</v>
      </c>
      <c r="BG4" s="1" t="s">
        <v>239</v>
      </c>
      <c r="BH4" s="1" t="s">
        <v>250</v>
      </c>
      <c r="BI4" s="1" t="s">
        <v>260</v>
      </c>
      <c r="BJ4" s="1" t="s">
        <v>81</v>
      </c>
      <c r="BK4" s="1" t="s">
        <v>229</v>
      </c>
      <c r="BL4" s="1" t="s">
        <v>240</v>
      </c>
      <c r="BM4" s="1" t="s">
        <v>192</v>
      </c>
      <c r="BN4" s="1" t="s">
        <v>263</v>
      </c>
      <c r="BO4" s="1" t="s">
        <v>82</v>
      </c>
      <c r="BP4" s="1" t="s">
        <v>166</v>
      </c>
      <c r="BQ4" s="1" t="s">
        <v>179</v>
      </c>
      <c r="BR4" s="1" t="s">
        <v>193</v>
      </c>
      <c r="BS4" s="1" t="s">
        <v>206</v>
      </c>
      <c r="BT4" s="1" t="s">
        <v>83</v>
      </c>
      <c r="BU4" s="1" t="s">
        <v>167</v>
      </c>
      <c r="BV4" s="1" t="s">
        <v>180</v>
      </c>
      <c r="BW4" s="1" t="s">
        <v>194</v>
      </c>
      <c r="BX4" s="1" t="s">
        <v>207</v>
      </c>
      <c r="BY4" s="1" t="s">
        <v>84</v>
      </c>
      <c r="BZ4" s="1" t="s">
        <v>168</v>
      </c>
      <c r="CA4" s="1" t="s">
        <v>181</v>
      </c>
      <c r="CB4" s="1" t="s">
        <v>195</v>
      </c>
      <c r="CC4" s="1" t="s">
        <v>208</v>
      </c>
      <c r="CD4" s="1" t="s">
        <v>85</v>
      </c>
      <c r="CE4" s="1" t="s">
        <v>169</v>
      </c>
      <c r="CF4" s="1" t="s">
        <v>182</v>
      </c>
      <c r="CG4" s="1" t="s">
        <v>196</v>
      </c>
      <c r="CH4" s="1" t="s">
        <v>209</v>
      </c>
      <c r="CI4" s="1" t="s">
        <v>262</v>
      </c>
      <c r="CJ4" s="1" t="s">
        <v>170</v>
      </c>
      <c r="CK4" s="1" t="s">
        <v>183</v>
      </c>
      <c r="CL4" s="1" t="s">
        <v>197</v>
      </c>
      <c r="CM4" s="1" t="s">
        <v>210</v>
      </c>
      <c r="CN4" s="1" t="s">
        <v>86</v>
      </c>
      <c r="CO4" s="1" t="s">
        <v>171</v>
      </c>
      <c r="CP4" s="1" t="s">
        <v>184</v>
      </c>
      <c r="CQ4" s="1" t="s">
        <v>198</v>
      </c>
      <c r="CR4" s="1" t="s">
        <v>211</v>
      </c>
      <c r="CS4" s="1" t="s">
        <v>87</v>
      </c>
      <c r="CT4" s="1" t="s">
        <v>172</v>
      </c>
      <c r="CU4" s="1" t="s">
        <v>185</v>
      </c>
      <c r="CV4" s="1" t="s">
        <v>199</v>
      </c>
      <c r="CW4" s="1" t="s">
        <v>212</v>
      </c>
      <c r="CX4" s="1" t="s">
        <v>88</v>
      </c>
      <c r="CY4" s="1" t="s">
        <v>173</v>
      </c>
      <c r="CZ4" s="1" t="s">
        <v>186</v>
      </c>
      <c r="DA4" s="1" t="s">
        <v>200</v>
      </c>
      <c r="DB4" s="1" t="s">
        <v>213</v>
      </c>
      <c r="DC4" s="1" t="s">
        <v>89</v>
      </c>
      <c r="DD4" s="1" t="s">
        <v>174</v>
      </c>
      <c r="DE4" s="1" t="s">
        <v>187</v>
      </c>
      <c r="DF4" s="1" t="s">
        <v>201</v>
      </c>
      <c r="DG4" s="1" t="s">
        <v>214</v>
      </c>
      <c r="DH4" s="1" t="s">
        <v>90</v>
      </c>
      <c r="DI4" s="1" t="s">
        <v>175</v>
      </c>
      <c r="DJ4" s="1" t="s">
        <v>188</v>
      </c>
      <c r="DK4" s="1" t="s">
        <v>202</v>
      </c>
      <c r="DL4" s="1" t="s">
        <v>215</v>
      </c>
      <c r="DM4" s="1" t="s">
        <v>91</v>
      </c>
      <c r="DN4" s="1" t="s">
        <v>176</v>
      </c>
      <c r="DO4" s="1" t="s">
        <v>189</v>
      </c>
      <c r="DP4" s="1" t="s">
        <v>203</v>
      </c>
      <c r="DQ4" s="1" t="s">
        <v>216</v>
      </c>
      <c r="DR4" s="1" t="s">
        <v>92</v>
      </c>
      <c r="DS4" s="1" t="s">
        <v>177</v>
      </c>
      <c r="DT4" s="1" t="s">
        <v>190</v>
      </c>
      <c r="DU4" s="1" t="s">
        <v>204</v>
      </c>
      <c r="DV4" s="1" t="s">
        <v>217</v>
      </c>
      <c r="DW4" s="1" t="s">
        <v>93</v>
      </c>
      <c r="DX4" s="1" t="s">
        <v>178</v>
      </c>
      <c r="DY4" s="1" t="s">
        <v>191</v>
      </c>
      <c r="DZ4" s="1" t="s">
        <v>205</v>
      </c>
      <c r="EA4" s="1" t="s">
        <v>218</v>
      </c>
      <c r="EB4" s="1" t="s">
        <v>94</v>
      </c>
    </row>
    <row r="5" spans="1:132" x14ac:dyDescent="0.35">
      <c r="A5" s="6">
        <v>138</v>
      </c>
      <c r="B5" s="6" t="s">
        <v>95</v>
      </c>
      <c r="C5" s="6" t="s">
        <v>96</v>
      </c>
      <c r="D5" s="6" t="s">
        <v>97</v>
      </c>
      <c r="E5" s="6" t="s">
        <v>98</v>
      </c>
      <c r="F5" s="6">
        <v>154</v>
      </c>
      <c r="G5" s="6">
        <v>10</v>
      </c>
      <c r="H5" s="6">
        <v>62372</v>
      </c>
      <c r="I5" s="6" t="s">
        <v>99</v>
      </c>
      <c r="J5" s="6" t="s">
        <v>98</v>
      </c>
      <c r="K5" s="6" t="s">
        <v>100</v>
      </c>
      <c r="L5" s="13">
        <v>1</v>
      </c>
      <c r="M5" s="8">
        <v>0.91</v>
      </c>
      <c r="N5" s="8">
        <v>0.98</v>
      </c>
      <c r="O5" s="8">
        <v>0</v>
      </c>
      <c r="P5" s="8">
        <v>0</v>
      </c>
      <c r="Q5" s="8">
        <v>1.89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0.91</v>
      </c>
      <c r="AM5" s="8">
        <v>0.98</v>
      </c>
      <c r="AN5" s="8">
        <v>0</v>
      </c>
      <c r="AO5" s="8">
        <v>0</v>
      </c>
      <c r="AP5" s="8">
        <v>1.89</v>
      </c>
      <c r="AQ5" s="8">
        <v>0.91</v>
      </c>
      <c r="AR5" s="8">
        <v>0.98</v>
      </c>
      <c r="AS5" s="8">
        <v>0</v>
      </c>
      <c r="AT5" s="8">
        <v>0</v>
      </c>
      <c r="AU5" s="8">
        <v>1.89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0</v>
      </c>
      <c r="BE5" s="8">
        <v>0</v>
      </c>
      <c r="BF5" s="8">
        <v>0</v>
      </c>
      <c r="BG5" s="8">
        <v>0</v>
      </c>
      <c r="BH5" s="8">
        <v>0</v>
      </c>
      <c r="BI5" s="8">
        <v>0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8">
        <v>0</v>
      </c>
      <c r="BP5" s="8">
        <v>0.91</v>
      </c>
      <c r="BQ5" s="8">
        <v>0.98</v>
      </c>
      <c r="BR5" s="8">
        <v>0</v>
      </c>
      <c r="BS5" s="8">
        <v>0</v>
      </c>
      <c r="BT5" s="8">
        <v>1.89</v>
      </c>
      <c r="BU5" s="8">
        <v>0.92</v>
      </c>
      <c r="BV5" s="8">
        <v>0.96</v>
      </c>
      <c r="BW5" s="8">
        <v>0</v>
      </c>
      <c r="BX5" s="8">
        <v>0</v>
      </c>
      <c r="BY5" s="8">
        <v>1.88</v>
      </c>
      <c r="BZ5" s="8">
        <v>0</v>
      </c>
      <c r="CA5" s="8">
        <v>0</v>
      </c>
      <c r="CB5" s="8">
        <v>0</v>
      </c>
      <c r="CC5" s="8">
        <v>0</v>
      </c>
      <c r="CD5" s="8">
        <v>0</v>
      </c>
      <c r="CE5" s="8">
        <v>0</v>
      </c>
      <c r="CF5" s="8">
        <v>0</v>
      </c>
      <c r="CG5" s="8">
        <v>0</v>
      </c>
      <c r="CH5" s="8">
        <v>0</v>
      </c>
      <c r="CI5" s="8">
        <v>0</v>
      </c>
      <c r="CJ5" s="8">
        <v>0</v>
      </c>
      <c r="CK5" s="8">
        <v>0</v>
      </c>
      <c r="CL5" s="8">
        <v>0</v>
      </c>
      <c r="CM5" s="8">
        <v>0</v>
      </c>
      <c r="CN5" s="8">
        <v>0</v>
      </c>
      <c r="CO5" s="8">
        <v>0</v>
      </c>
      <c r="CP5" s="8">
        <v>0</v>
      </c>
      <c r="CQ5" s="8">
        <v>0</v>
      </c>
      <c r="CR5" s="8">
        <v>0</v>
      </c>
      <c r="CS5" s="8">
        <v>0</v>
      </c>
      <c r="CT5" s="8">
        <v>0.92</v>
      </c>
      <c r="CU5" s="8">
        <v>0.96</v>
      </c>
      <c r="CV5" s="8">
        <v>0</v>
      </c>
      <c r="CW5" s="8">
        <v>0</v>
      </c>
      <c r="CX5" s="8">
        <v>1.88</v>
      </c>
      <c r="CY5" s="8">
        <v>0.92</v>
      </c>
      <c r="CZ5" s="8">
        <v>0.96</v>
      </c>
      <c r="DA5" s="8">
        <v>0</v>
      </c>
      <c r="DB5" s="8">
        <v>0</v>
      </c>
      <c r="DC5" s="8">
        <v>1.88</v>
      </c>
      <c r="DD5" s="8">
        <v>0</v>
      </c>
      <c r="DE5" s="8">
        <v>0</v>
      </c>
      <c r="DF5" s="8">
        <v>0</v>
      </c>
      <c r="DG5" s="8">
        <v>0</v>
      </c>
      <c r="DH5" s="8">
        <v>0</v>
      </c>
      <c r="DI5" s="8">
        <v>0</v>
      </c>
      <c r="DJ5" s="8">
        <v>0</v>
      </c>
      <c r="DK5" s="8">
        <v>0</v>
      </c>
      <c r="DL5" s="8">
        <v>0</v>
      </c>
      <c r="DM5" s="8">
        <v>0</v>
      </c>
      <c r="DN5" s="8">
        <v>0</v>
      </c>
      <c r="DO5" s="8">
        <v>0</v>
      </c>
      <c r="DP5" s="8">
        <v>0</v>
      </c>
      <c r="DQ5" s="8">
        <v>0</v>
      </c>
      <c r="DR5" s="8">
        <v>0</v>
      </c>
      <c r="DS5" s="8">
        <v>0</v>
      </c>
      <c r="DT5" s="8">
        <v>0</v>
      </c>
      <c r="DU5" s="8">
        <v>0</v>
      </c>
      <c r="DV5" s="8">
        <v>0</v>
      </c>
      <c r="DW5" s="8">
        <v>0</v>
      </c>
      <c r="DX5" s="8">
        <v>0.92</v>
      </c>
      <c r="DY5" s="8">
        <v>0.96</v>
      </c>
      <c r="DZ5" s="8">
        <v>0</v>
      </c>
      <c r="EA5" s="8">
        <v>0</v>
      </c>
      <c r="EB5" s="8">
        <v>1.88</v>
      </c>
    </row>
    <row r="6" spans="1:132" x14ac:dyDescent="0.35">
      <c r="A6" s="5">
        <v>138</v>
      </c>
      <c r="B6" s="5" t="s">
        <v>95</v>
      </c>
      <c r="C6" s="5" t="s">
        <v>96</v>
      </c>
      <c r="D6" s="5" t="s">
        <v>97</v>
      </c>
      <c r="E6" s="5" t="s">
        <v>98</v>
      </c>
      <c r="F6" s="5">
        <v>167</v>
      </c>
      <c r="G6" s="5">
        <v>10</v>
      </c>
      <c r="H6" s="5">
        <v>75275</v>
      </c>
      <c r="I6" s="5" t="s">
        <v>64</v>
      </c>
      <c r="J6" s="5" t="s">
        <v>101</v>
      </c>
      <c r="K6" s="5" t="s">
        <v>100</v>
      </c>
      <c r="L6" s="14">
        <v>1</v>
      </c>
      <c r="M6" s="9">
        <v>0.69</v>
      </c>
      <c r="N6" s="9">
        <v>0.69</v>
      </c>
      <c r="O6" s="9">
        <v>0.4</v>
      </c>
      <c r="P6" s="9">
        <v>0</v>
      </c>
      <c r="Q6" s="9">
        <v>1.78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L6" s="9">
        <v>0.69</v>
      </c>
      <c r="AM6" s="9">
        <v>0.69</v>
      </c>
      <c r="AN6" s="9">
        <v>0.4</v>
      </c>
      <c r="AO6" s="9">
        <v>0</v>
      </c>
      <c r="AP6" s="9">
        <v>1.78</v>
      </c>
      <c r="AQ6" s="9">
        <v>0.69</v>
      </c>
      <c r="AR6" s="9">
        <v>0.69</v>
      </c>
      <c r="AS6" s="9">
        <v>0.4</v>
      </c>
      <c r="AT6" s="9">
        <v>0</v>
      </c>
      <c r="AU6" s="9">
        <v>1.78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</v>
      </c>
      <c r="BL6" s="9">
        <v>0</v>
      </c>
      <c r="BM6" s="9">
        <v>0</v>
      </c>
      <c r="BN6" s="9">
        <v>0</v>
      </c>
      <c r="BO6" s="9">
        <v>0</v>
      </c>
      <c r="BP6" s="9">
        <v>0.69</v>
      </c>
      <c r="BQ6" s="9">
        <v>0.69</v>
      </c>
      <c r="BR6" s="9">
        <v>0.4</v>
      </c>
      <c r="BS6" s="9">
        <v>0</v>
      </c>
      <c r="BT6" s="9">
        <v>1.78</v>
      </c>
      <c r="BU6" s="9">
        <v>0.52</v>
      </c>
      <c r="BV6" s="9">
        <v>0.51</v>
      </c>
      <c r="BW6" s="9">
        <v>0.52</v>
      </c>
      <c r="BX6" s="9">
        <v>0</v>
      </c>
      <c r="BY6" s="9">
        <v>1.55</v>
      </c>
      <c r="BZ6" s="9">
        <v>0</v>
      </c>
      <c r="CA6" s="9">
        <v>0</v>
      </c>
      <c r="CB6" s="9">
        <v>0</v>
      </c>
      <c r="CC6" s="9">
        <v>0</v>
      </c>
      <c r="CD6" s="9">
        <v>0</v>
      </c>
      <c r="CE6" s="9">
        <v>0</v>
      </c>
      <c r="CF6" s="9">
        <v>0</v>
      </c>
      <c r="CG6" s="9">
        <v>0</v>
      </c>
      <c r="CH6" s="9">
        <v>0</v>
      </c>
      <c r="CI6" s="9">
        <v>0</v>
      </c>
      <c r="CJ6" s="9">
        <v>0</v>
      </c>
      <c r="CK6" s="9">
        <v>0</v>
      </c>
      <c r="CL6" s="9">
        <v>0</v>
      </c>
      <c r="CM6" s="9">
        <v>0</v>
      </c>
      <c r="CN6" s="9">
        <v>0</v>
      </c>
      <c r="CO6" s="9">
        <v>0</v>
      </c>
      <c r="CP6" s="9">
        <v>0</v>
      </c>
      <c r="CQ6" s="9">
        <v>0</v>
      </c>
      <c r="CR6" s="9">
        <v>0</v>
      </c>
      <c r="CS6" s="9">
        <v>0</v>
      </c>
      <c r="CT6" s="9">
        <v>0.52</v>
      </c>
      <c r="CU6" s="9">
        <v>0.51</v>
      </c>
      <c r="CV6" s="9">
        <v>0.52</v>
      </c>
      <c r="CW6" s="9">
        <v>0</v>
      </c>
      <c r="CX6" s="9">
        <v>1.55</v>
      </c>
      <c r="CY6" s="9">
        <v>0.52</v>
      </c>
      <c r="CZ6" s="9">
        <v>0.51</v>
      </c>
      <c r="DA6" s="9">
        <v>0.52</v>
      </c>
      <c r="DB6" s="9">
        <v>0</v>
      </c>
      <c r="DC6" s="9">
        <v>1.55</v>
      </c>
      <c r="DD6" s="9">
        <v>0</v>
      </c>
      <c r="DE6" s="9">
        <v>0</v>
      </c>
      <c r="DF6" s="9">
        <v>0</v>
      </c>
      <c r="DG6" s="9">
        <v>0</v>
      </c>
      <c r="DH6" s="9">
        <v>0</v>
      </c>
      <c r="DI6" s="9">
        <v>0</v>
      </c>
      <c r="DJ6" s="9">
        <v>0</v>
      </c>
      <c r="DK6" s="9">
        <v>0</v>
      </c>
      <c r="DL6" s="9">
        <v>0</v>
      </c>
      <c r="DM6" s="9">
        <v>0</v>
      </c>
      <c r="DN6" s="9">
        <v>0</v>
      </c>
      <c r="DO6" s="9">
        <v>0</v>
      </c>
      <c r="DP6" s="9">
        <v>0</v>
      </c>
      <c r="DQ6" s="9">
        <v>0</v>
      </c>
      <c r="DR6" s="9">
        <v>0</v>
      </c>
      <c r="DS6" s="9">
        <v>0</v>
      </c>
      <c r="DT6" s="9">
        <v>0</v>
      </c>
      <c r="DU6" s="9">
        <v>0</v>
      </c>
      <c r="DV6" s="9">
        <v>0</v>
      </c>
      <c r="DW6" s="9">
        <v>0</v>
      </c>
      <c r="DX6" s="9">
        <v>0.52</v>
      </c>
      <c r="DY6" s="9">
        <v>0.51</v>
      </c>
      <c r="DZ6" s="9">
        <v>0.52</v>
      </c>
      <c r="EA6" s="9">
        <v>0</v>
      </c>
      <c r="EB6" s="9">
        <v>1.55</v>
      </c>
    </row>
    <row r="7" spans="1:132" x14ac:dyDescent="0.35">
      <c r="A7" s="5">
        <v>154</v>
      </c>
      <c r="B7" s="5" t="s">
        <v>95</v>
      </c>
      <c r="C7" s="5" t="s">
        <v>102</v>
      </c>
      <c r="D7" s="5" t="s">
        <v>99</v>
      </c>
      <c r="E7" s="5" t="s">
        <v>98</v>
      </c>
      <c r="F7" s="5">
        <v>138</v>
      </c>
      <c r="G7" s="5">
        <v>10</v>
      </c>
      <c r="H7" s="5">
        <v>62026</v>
      </c>
      <c r="I7" s="5" t="s">
        <v>97</v>
      </c>
      <c r="J7" s="5" t="s">
        <v>98</v>
      </c>
      <c r="K7" s="5" t="s">
        <v>100</v>
      </c>
      <c r="L7" s="14">
        <v>1.0687414245</v>
      </c>
      <c r="M7" s="9">
        <v>0</v>
      </c>
      <c r="N7" s="9">
        <v>0.36</v>
      </c>
      <c r="O7" s="9">
        <v>0</v>
      </c>
      <c r="P7" s="9">
        <v>0</v>
      </c>
      <c r="Q7" s="9">
        <v>0.36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0.36</v>
      </c>
      <c r="AN7" s="9">
        <v>0</v>
      </c>
      <c r="AO7" s="9">
        <v>0</v>
      </c>
      <c r="AP7" s="9">
        <v>0.36</v>
      </c>
      <c r="AQ7" s="9">
        <v>0</v>
      </c>
      <c r="AR7" s="9">
        <v>0.38</v>
      </c>
      <c r="AS7" s="9">
        <v>0</v>
      </c>
      <c r="AT7" s="9">
        <v>0</v>
      </c>
      <c r="AU7" s="9">
        <v>0.38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0</v>
      </c>
      <c r="BP7" s="9">
        <v>0</v>
      </c>
      <c r="BQ7" s="9">
        <v>0.38</v>
      </c>
      <c r="BR7" s="9">
        <v>0</v>
      </c>
      <c r="BS7" s="9">
        <v>0</v>
      </c>
      <c r="BT7" s="9">
        <v>0.38</v>
      </c>
      <c r="BU7" s="9">
        <v>0</v>
      </c>
      <c r="BV7" s="9">
        <v>0.27</v>
      </c>
      <c r="BW7" s="9">
        <v>0</v>
      </c>
      <c r="BX7" s="9">
        <v>0</v>
      </c>
      <c r="BY7" s="9">
        <v>0.27</v>
      </c>
      <c r="BZ7" s="9">
        <v>0</v>
      </c>
      <c r="CA7" s="9">
        <v>0</v>
      </c>
      <c r="CB7" s="9">
        <v>0</v>
      </c>
      <c r="CC7" s="9">
        <v>0</v>
      </c>
      <c r="CD7" s="9">
        <v>0</v>
      </c>
      <c r="CE7" s="9">
        <v>0</v>
      </c>
      <c r="CF7" s="9">
        <v>0</v>
      </c>
      <c r="CG7" s="9">
        <v>0</v>
      </c>
      <c r="CH7" s="9">
        <v>0</v>
      </c>
      <c r="CI7" s="9">
        <v>0</v>
      </c>
      <c r="CJ7" s="9">
        <v>0</v>
      </c>
      <c r="CK7" s="9">
        <v>0</v>
      </c>
      <c r="CL7" s="9">
        <v>0</v>
      </c>
      <c r="CM7" s="9">
        <v>0</v>
      </c>
      <c r="CN7" s="9">
        <v>0</v>
      </c>
      <c r="CO7" s="9">
        <v>0</v>
      </c>
      <c r="CP7" s="9">
        <v>0</v>
      </c>
      <c r="CQ7" s="9">
        <v>0</v>
      </c>
      <c r="CR7" s="9">
        <v>0</v>
      </c>
      <c r="CS7" s="9">
        <v>0</v>
      </c>
      <c r="CT7" s="9">
        <v>0</v>
      </c>
      <c r="CU7" s="9">
        <v>0.27</v>
      </c>
      <c r="CV7" s="9">
        <v>0</v>
      </c>
      <c r="CW7" s="9">
        <v>0</v>
      </c>
      <c r="CX7" s="9">
        <v>0.27</v>
      </c>
      <c r="CY7" s="9">
        <v>0</v>
      </c>
      <c r="CZ7" s="9">
        <v>0.28999999999999998</v>
      </c>
      <c r="DA7" s="9">
        <v>0</v>
      </c>
      <c r="DB7" s="9">
        <v>0</v>
      </c>
      <c r="DC7" s="9">
        <v>0.28999999999999998</v>
      </c>
      <c r="DD7" s="9">
        <v>0</v>
      </c>
      <c r="DE7" s="9">
        <v>0</v>
      </c>
      <c r="DF7" s="9">
        <v>0</v>
      </c>
      <c r="DG7" s="9">
        <v>0</v>
      </c>
      <c r="DH7" s="9">
        <v>0</v>
      </c>
      <c r="DI7" s="9">
        <v>0</v>
      </c>
      <c r="DJ7" s="9">
        <v>0</v>
      </c>
      <c r="DK7" s="9">
        <v>0</v>
      </c>
      <c r="DL7" s="9">
        <v>0</v>
      </c>
      <c r="DM7" s="9">
        <v>0</v>
      </c>
      <c r="DN7" s="9">
        <v>0</v>
      </c>
      <c r="DO7" s="9">
        <v>0</v>
      </c>
      <c r="DP7" s="9">
        <v>0</v>
      </c>
      <c r="DQ7" s="9">
        <v>0</v>
      </c>
      <c r="DR7" s="9">
        <v>0</v>
      </c>
      <c r="DS7" s="9">
        <v>0</v>
      </c>
      <c r="DT7" s="9">
        <v>0</v>
      </c>
      <c r="DU7" s="9">
        <v>0</v>
      </c>
      <c r="DV7" s="9">
        <v>0</v>
      </c>
      <c r="DW7" s="9">
        <v>0</v>
      </c>
      <c r="DX7" s="9">
        <v>0</v>
      </c>
      <c r="DY7" s="9">
        <v>0.28999999999999998</v>
      </c>
      <c r="DZ7" s="9">
        <v>0</v>
      </c>
      <c r="EA7" s="9">
        <v>0</v>
      </c>
      <c r="EB7" s="9">
        <v>0.28999999999999998</v>
      </c>
    </row>
    <row r="8" spans="1:132" x14ac:dyDescent="0.35">
      <c r="A8" s="5">
        <v>154</v>
      </c>
      <c r="B8" s="5" t="s">
        <v>95</v>
      </c>
      <c r="C8" s="5" t="s">
        <v>102</v>
      </c>
      <c r="D8" s="5" t="s">
        <v>99</v>
      </c>
      <c r="E8" s="5" t="s">
        <v>98</v>
      </c>
      <c r="F8" s="5">
        <v>167</v>
      </c>
      <c r="G8" s="5">
        <v>10</v>
      </c>
      <c r="H8" s="5">
        <v>75275</v>
      </c>
      <c r="I8" s="5" t="s">
        <v>64</v>
      </c>
      <c r="J8" s="5" t="s">
        <v>101</v>
      </c>
      <c r="K8" s="5" t="s">
        <v>100</v>
      </c>
      <c r="L8" s="14">
        <v>1.0687414245</v>
      </c>
      <c r="M8" s="9">
        <v>13.49</v>
      </c>
      <c r="N8" s="9">
        <v>11.68</v>
      </c>
      <c r="O8" s="9">
        <v>1.58</v>
      </c>
      <c r="P8" s="9">
        <v>0</v>
      </c>
      <c r="Q8" s="9">
        <v>26.75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13.49</v>
      </c>
      <c r="AM8" s="9">
        <v>11.68</v>
      </c>
      <c r="AN8" s="9">
        <v>1.58</v>
      </c>
      <c r="AO8" s="9">
        <v>0</v>
      </c>
      <c r="AP8" s="9">
        <v>26.75</v>
      </c>
      <c r="AQ8" s="9">
        <v>14.42</v>
      </c>
      <c r="AR8" s="9">
        <v>12.48</v>
      </c>
      <c r="AS8" s="9">
        <v>1.69</v>
      </c>
      <c r="AT8" s="9">
        <v>0</v>
      </c>
      <c r="AU8" s="9">
        <v>28.59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9">
        <v>0</v>
      </c>
      <c r="BB8" s="9">
        <v>0</v>
      </c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9">
        <v>0</v>
      </c>
      <c r="BI8" s="9">
        <v>0</v>
      </c>
      <c r="BJ8" s="9">
        <v>0</v>
      </c>
      <c r="BK8" s="9">
        <v>0</v>
      </c>
      <c r="BL8" s="9">
        <v>0</v>
      </c>
      <c r="BM8" s="9">
        <v>0</v>
      </c>
      <c r="BN8" s="9">
        <v>0</v>
      </c>
      <c r="BO8" s="9">
        <v>0</v>
      </c>
      <c r="BP8" s="9">
        <v>14.42</v>
      </c>
      <c r="BQ8" s="9">
        <v>12.48</v>
      </c>
      <c r="BR8" s="9">
        <v>1.69</v>
      </c>
      <c r="BS8" s="9">
        <v>0</v>
      </c>
      <c r="BT8" s="9">
        <v>28.59</v>
      </c>
      <c r="BU8" s="9">
        <v>13.48</v>
      </c>
      <c r="BV8" s="9">
        <v>11.61</v>
      </c>
      <c r="BW8" s="9">
        <v>1.37</v>
      </c>
      <c r="BX8" s="9">
        <v>0</v>
      </c>
      <c r="BY8" s="9">
        <v>26.46</v>
      </c>
      <c r="BZ8" s="9">
        <v>0</v>
      </c>
      <c r="CA8" s="9">
        <v>0</v>
      </c>
      <c r="CB8" s="9">
        <v>0</v>
      </c>
      <c r="CC8" s="9">
        <v>0</v>
      </c>
      <c r="CD8" s="9">
        <v>0</v>
      </c>
      <c r="CE8" s="9">
        <v>0</v>
      </c>
      <c r="CF8" s="9">
        <v>0</v>
      </c>
      <c r="CG8" s="9">
        <v>0</v>
      </c>
      <c r="CH8" s="9">
        <v>0</v>
      </c>
      <c r="CI8" s="9">
        <v>0</v>
      </c>
      <c r="CJ8" s="9">
        <v>0</v>
      </c>
      <c r="CK8" s="9">
        <v>0</v>
      </c>
      <c r="CL8" s="9">
        <v>0</v>
      </c>
      <c r="CM8" s="9">
        <v>0</v>
      </c>
      <c r="CN8" s="9">
        <v>0</v>
      </c>
      <c r="CO8" s="9">
        <v>0</v>
      </c>
      <c r="CP8" s="9">
        <v>0</v>
      </c>
      <c r="CQ8" s="9">
        <v>0</v>
      </c>
      <c r="CR8" s="9">
        <v>0</v>
      </c>
      <c r="CS8" s="9">
        <v>0</v>
      </c>
      <c r="CT8" s="9">
        <v>13.48</v>
      </c>
      <c r="CU8" s="9">
        <v>11.61</v>
      </c>
      <c r="CV8" s="9">
        <v>1.37</v>
      </c>
      <c r="CW8" s="9">
        <v>0</v>
      </c>
      <c r="CX8" s="9">
        <v>26.46</v>
      </c>
      <c r="CY8" s="9">
        <v>14.41</v>
      </c>
      <c r="CZ8" s="9">
        <v>12.41</v>
      </c>
      <c r="DA8" s="9">
        <v>1.46</v>
      </c>
      <c r="DB8" s="9">
        <v>0</v>
      </c>
      <c r="DC8" s="9">
        <v>28.28</v>
      </c>
      <c r="DD8" s="9">
        <v>0</v>
      </c>
      <c r="DE8" s="9">
        <v>0</v>
      </c>
      <c r="DF8" s="9">
        <v>0</v>
      </c>
      <c r="DG8" s="9">
        <v>0</v>
      </c>
      <c r="DH8" s="9">
        <v>0</v>
      </c>
      <c r="DI8" s="9">
        <v>0</v>
      </c>
      <c r="DJ8" s="9">
        <v>0</v>
      </c>
      <c r="DK8" s="9">
        <v>0</v>
      </c>
      <c r="DL8" s="9">
        <v>0</v>
      </c>
      <c r="DM8" s="9">
        <v>0</v>
      </c>
      <c r="DN8" s="9">
        <v>0</v>
      </c>
      <c r="DO8" s="9">
        <v>0</v>
      </c>
      <c r="DP8" s="9">
        <v>0</v>
      </c>
      <c r="DQ8" s="9">
        <v>0</v>
      </c>
      <c r="DR8" s="9">
        <v>0</v>
      </c>
      <c r="DS8" s="9">
        <v>0</v>
      </c>
      <c r="DT8" s="9">
        <v>0</v>
      </c>
      <c r="DU8" s="9">
        <v>0</v>
      </c>
      <c r="DV8" s="9">
        <v>0</v>
      </c>
      <c r="DW8" s="9">
        <v>0</v>
      </c>
      <c r="DX8" s="9">
        <v>14.41</v>
      </c>
      <c r="DY8" s="9">
        <v>12.41</v>
      </c>
      <c r="DZ8" s="9">
        <v>1.46</v>
      </c>
      <c r="EA8" s="9">
        <v>0</v>
      </c>
      <c r="EB8" s="9">
        <v>28.28</v>
      </c>
    </row>
    <row r="9" spans="1:132" x14ac:dyDescent="0.35">
      <c r="A9" s="5">
        <v>233</v>
      </c>
      <c r="B9" s="5" t="s">
        <v>103</v>
      </c>
      <c r="C9" s="5" t="s">
        <v>104</v>
      </c>
      <c r="D9" s="5" t="s">
        <v>105</v>
      </c>
      <c r="E9" s="5" t="s">
        <v>98</v>
      </c>
      <c r="F9" s="5">
        <v>12317</v>
      </c>
      <c r="G9" s="5">
        <v>14</v>
      </c>
      <c r="H9" s="5">
        <v>76687</v>
      </c>
      <c r="I9" s="5" t="s">
        <v>63</v>
      </c>
      <c r="J9" s="5" t="s">
        <v>101</v>
      </c>
      <c r="K9" s="5" t="s">
        <v>100</v>
      </c>
      <c r="L9" s="14">
        <v>1.009634997</v>
      </c>
      <c r="M9" s="9">
        <v>9.01</v>
      </c>
      <c r="N9" s="9">
        <v>6.68</v>
      </c>
      <c r="O9" s="9">
        <v>0</v>
      </c>
      <c r="P9" s="9">
        <v>0</v>
      </c>
      <c r="Q9" s="9">
        <v>15.69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9.01</v>
      </c>
      <c r="AM9" s="9">
        <v>6.68</v>
      </c>
      <c r="AN9" s="9">
        <v>0</v>
      </c>
      <c r="AO9" s="9">
        <v>0</v>
      </c>
      <c r="AP9" s="9">
        <v>15.69</v>
      </c>
      <c r="AQ9" s="9">
        <v>9.1</v>
      </c>
      <c r="AR9" s="9">
        <v>6.74</v>
      </c>
      <c r="AS9" s="9">
        <v>0</v>
      </c>
      <c r="AT9" s="9">
        <v>0</v>
      </c>
      <c r="AU9" s="9">
        <v>15.84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9">
        <v>9.1</v>
      </c>
      <c r="BQ9" s="9">
        <v>6.74</v>
      </c>
      <c r="BR9" s="9">
        <v>0</v>
      </c>
      <c r="BS9" s="9">
        <v>0</v>
      </c>
      <c r="BT9" s="9">
        <v>15.84</v>
      </c>
      <c r="BU9" s="9">
        <v>8.9</v>
      </c>
      <c r="BV9" s="9">
        <v>6.69</v>
      </c>
      <c r="BW9" s="9">
        <v>0</v>
      </c>
      <c r="BX9" s="9">
        <v>0</v>
      </c>
      <c r="BY9" s="9">
        <v>15.59</v>
      </c>
      <c r="BZ9" s="9">
        <v>0</v>
      </c>
      <c r="CA9" s="9">
        <v>0</v>
      </c>
      <c r="CB9" s="9">
        <v>0</v>
      </c>
      <c r="CC9" s="9">
        <v>0</v>
      </c>
      <c r="CD9" s="9">
        <v>0</v>
      </c>
      <c r="CE9" s="9">
        <v>0</v>
      </c>
      <c r="CF9" s="9">
        <v>0</v>
      </c>
      <c r="CG9" s="9">
        <v>0</v>
      </c>
      <c r="CH9" s="9">
        <v>0</v>
      </c>
      <c r="CI9" s="9">
        <v>0</v>
      </c>
      <c r="CJ9" s="9">
        <v>0</v>
      </c>
      <c r="CK9" s="9">
        <v>0</v>
      </c>
      <c r="CL9" s="9">
        <v>0</v>
      </c>
      <c r="CM9" s="9">
        <v>0</v>
      </c>
      <c r="CN9" s="9">
        <v>0</v>
      </c>
      <c r="CO9" s="9">
        <v>0</v>
      </c>
      <c r="CP9" s="9">
        <v>0</v>
      </c>
      <c r="CQ9" s="9">
        <v>0</v>
      </c>
      <c r="CR9" s="9">
        <v>0</v>
      </c>
      <c r="CS9" s="9">
        <v>0</v>
      </c>
      <c r="CT9" s="9">
        <v>8.9</v>
      </c>
      <c r="CU9" s="9">
        <v>6.69</v>
      </c>
      <c r="CV9" s="9">
        <v>0</v>
      </c>
      <c r="CW9" s="9">
        <v>0</v>
      </c>
      <c r="CX9" s="9">
        <v>15.59</v>
      </c>
      <c r="CY9" s="9">
        <v>8.99</v>
      </c>
      <c r="CZ9" s="9">
        <v>6.75</v>
      </c>
      <c r="DA9" s="9">
        <v>0</v>
      </c>
      <c r="DB9" s="9">
        <v>0</v>
      </c>
      <c r="DC9" s="9">
        <v>15.74</v>
      </c>
      <c r="DD9" s="9">
        <v>0</v>
      </c>
      <c r="DE9" s="9">
        <v>0</v>
      </c>
      <c r="DF9" s="9">
        <v>0</v>
      </c>
      <c r="DG9" s="9">
        <v>0</v>
      </c>
      <c r="DH9" s="9">
        <v>0</v>
      </c>
      <c r="DI9" s="9">
        <v>0</v>
      </c>
      <c r="DJ9" s="9">
        <v>0</v>
      </c>
      <c r="DK9" s="9">
        <v>0</v>
      </c>
      <c r="DL9" s="9">
        <v>0</v>
      </c>
      <c r="DM9" s="9">
        <v>0</v>
      </c>
      <c r="DN9" s="9">
        <v>0</v>
      </c>
      <c r="DO9" s="9">
        <v>0</v>
      </c>
      <c r="DP9" s="9">
        <v>0</v>
      </c>
      <c r="DQ9" s="9">
        <v>0</v>
      </c>
      <c r="DR9" s="9">
        <v>0</v>
      </c>
      <c r="DS9" s="9">
        <v>0</v>
      </c>
      <c r="DT9" s="9">
        <v>0</v>
      </c>
      <c r="DU9" s="9">
        <v>0</v>
      </c>
      <c r="DV9" s="9">
        <v>0</v>
      </c>
      <c r="DW9" s="9">
        <v>0</v>
      </c>
      <c r="DX9" s="9">
        <v>8.99</v>
      </c>
      <c r="DY9" s="9">
        <v>6.75</v>
      </c>
      <c r="DZ9" s="9">
        <v>0</v>
      </c>
      <c r="EA9" s="9">
        <v>0</v>
      </c>
      <c r="EB9" s="9">
        <v>15.74</v>
      </c>
    </row>
    <row r="10" spans="1:132" x14ac:dyDescent="0.35">
      <c r="A10" s="5">
        <v>260</v>
      </c>
      <c r="B10" s="5" t="s">
        <v>106</v>
      </c>
      <c r="C10" s="5" t="s">
        <v>107</v>
      </c>
      <c r="D10" s="5" t="s">
        <v>108</v>
      </c>
      <c r="E10" s="5" t="s">
        <v>98</v>
      </c>
      <c r="F10" s="5">
        <v>253</v>
      </c>
      <c r="G10" s="5">
        <v>15</v>
      </c>
      <c r="H10" s="5">
        <v>63552</v>
      </c>
      <c r="I10" s="5" t="s">
        <v>62</v>
      </c>
      <c r="J10" s="5" t="s">
        <v>98</v>
      </c>
      <c r="K10" s="5" t="s">
        <v>100</v>
      </c>
      <c r="L10" s="14">
        <v>1</v>
      </c>
      <c r="M10" s="9">
        <v>0</v>
      </c>
      <c r="N10" s="9">
        <v>1.82</v>
      </c>
      <c r="O10" s="9">
        <v>0</v>
      </c>
      <c r="P10" s="9">
        <v>0</v>
      </c>
      <c r="Q10" s="9">
        <v>1.82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1.82</v>
      </c>
      <c r="AN10" s="9">
        <v>0</v>
      </c>
      <c r="AO10" s="9">
        <v>0</v>
      </c>
      <c r="AP10" s="9">
        <v>1.82</v>
      </c>
      <c r="AQ10" s="9">
        <v>0</v>
      </c>
      <c r="AR10" s="9">
        <v>1.82</v>
      </c>
      <c r="AS10" s="9">
        <v>0</v>
      </c>
      <c r="AT10" s="9">
        <v>0</v>
      </c>
      <c r="AU10" s="9">
        <v>1.82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1.82</v>
      </c>
      <c r="BR10" s="9">
        <v>0</v>
      </c>
      <c r="BS10" s="9">
        <v>0</v>
      </c>
      <c r="BT10" s="9">
        <v>1.82</v>
      </c>
      <c r="BU10" s="9">
        <v>0</v>
      </c>
      <c r="BV10" s="9">
        <v>1.84</v>
      </c>
      <c r="BW10" s="9">
        <v>0</v>
      </c>
      <c r="BX10" s="9">
        <v>0</v>
      </c>
      <c r="BY10" s="9">
        <v>1.84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1.84</v>
      </c>
      <c r="CV10" s="9">
        <v>0</v>
      </c>
      <c r="CW10" s="9">
        <v>0</v>
      </c>
      <c r="CX10" s="9">
        <v>1.84</v>
      </c>
      <c r="CY10" s="9">
        <v>0</v>
      </c>
      <c r="CZ10" s="9">
        <v>1.84</v>
      </c>
      <c r="DA10" s="9">
        <v>0</v>
      </c>
      <c r="DB10" s="9">
        <v>0</v>
      </c>
      <c r="DC10" s="9">
        <v>1.84</v>
      </c>
      <c r="DD10" s="9">
        <v>0</v>
      </c>
      <c r="DE10" s="9">
        <v>0</v>
      </c>
      <c r="DF10" s="9">
        <v>0</v>
      </c>
      <c r="DG10" s="9">
        <v>0</v>
      </c>
      <c r="DH10" s="9">
        <v>0</v>
      </c>
      <c r="DI10" s="9">
        <v>0</v>
      </c>
      <c r="DJ10" s="9">
        <v>0</v>
      </c>
      <c r="DK10" s="9">
        <v>0</v>
      </c>
      <c r="DL10" s="9">
        <v>0</v>
      </c>
      <c r="DM10" s="9">
        <v>0</v>
      </c>
      <c r="DN10" s="9">
        <v>0</v>
      </c>
      <c r="DO10" s="9">
        <v>0</v>
      </c>
      <c r="DP10" s="9">
        <v>0</v>
      </c>
      <c r="DQ10" s="9">
        <v>0</v>
      </c>
      <c r="DR10" s="9">
        <v>0</v>
      </c>
      <c r="DS10" s="9">
        <v>0</v>
      </c>
      <c r="DT10" s="9">
        <v>0</v>
      </c>
      <c r="DU10" s="9">
        <v>0</v>
      </c>
      <c r="DV10" s="9">
        <v>0</v>
      </c>
      <c r="DW10" s="9">
        <v>0</v>
      </c>
      <c r="DX10" s="9">
        <v>0</v>
      </c>
      <c r="DY10" s="9">
        <v>1.84</v>
      </c>
      <c r="DZ10" s="9">
        <v>0</v>
      </c>
      <c r="EA10" s="9">
        <v>0</v>
      </c>
      <c r="EB10" s="9">
        <v>1.84</v>
      </c>
    </row>
    <row r="11" spans="1:132" x14ac:dyDescent="0.35">
      <c r="A11" s="5">
        <v>260</v>
      </c>
      <c r="B11" s="5" t="s">
        <v>106</v>
      </c>
      <c r="C11" s="5" t="s">
        <v>107</v>
      </c>
      <c r="D11" s="5" t="s">
        <v>108</v>
      </c>
      <c r="E11" s="5" t="s">
        <v>98</v>
      </c>
      <c r="F11" s="5">
        <v>261</v>
      </c>
      <c r="G11" s="5">
        <v>15</v>
      </c>
      <c r="H11" s="5">
        <v>63669</v>
      </c>
      <c r="I11" s="5" t="s">
        <v>109</v>
      </c>
      <c r="J11" s="5" t="s">
        <v>98</v>
      </c>
      <c r="K11" s="5" t="s">
        <v>100</v>
      </c>
      <c r="L11" s="14">
        <v>1</v>
      </c>
      <c r="M11" s="9">
        <v>0</v>
      </c>
      <c r="N11" s="9">
        <v>0.93</v>
      </c>
      <c r="O11" s="9">
        <v>0</v>
      </c>
      <c r="P11" s="9">
        <v>0</v>
      </c>
      <c r="Q11" s="9">
        <v>0.93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0.93</v>
      </c>
      <c r="AN11" s="9">
        <v>0</v>
      </c>
      <c r="AO11" s="9">
        <v>0</v>
      </c>
      <c r="AP11" s="9">
        <v>0.93</v>
      </c>
      <c r="AQ11" s="9">
        <v>0</v>
      </c>
      <c r="AR11" s="9">
        <v>0.93</v>
      </c>
      <c r="AS11" s="9">
        <v>0</v>
      </c>
      <c r="AT11" s="9">
        <v>0</v>
      </c>
      <c r="AU11" s="9">
        <v>0.93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0.93</v>
      </c>
      <c r="BR11" s="9">
        <v>0</v>
      </c>
      <c r="BS11" s="9">
        <v>0</v>
      </c>
      <c r="BT11" s="9">
        <v>0.93</v>
      </c>
      <c r="BU11" s="9">
        <v>0</v>
      </c>
      <c r="BV11" s="9">
        <v>0.93</v>
      </c>
      <c r="BW11" s="9">
        <v>0</v>
      </c>
      <c r="BX11" s="9">
        <v>0</v>
      </c>
      <c r="BY11" s="9">
        <v>0.93</v>
      </c>
      <c r="BZ11" s="9">
        <v>0</v>
      </c>
      <c r="CA11" s="9">
        <v>0</v>
      </c>
      <c r="CB11" s="9">
        <v>0</v>
      </c>
      <c r="CC11" s="9">
        <v>0</v>
      </c>
      <c r="CD11" s="9">
        <v>0</v>
      </c>
      <c r="CE11" s="9">
        <v>0</v>
      </c>
      <c r="CF11" s="9">
        <v>0</v>
      </c>
      <c r="CG11" s="9">
        <v>0</v>
      </c>
      <c r="CH11" s="9">
        <v>0</v>
      </c>
      <c r="CI11" s="9">
        <v>0</v>
      </c>
      <c r="CJ11" s="9">
        <v>0</v>
      </c>
      <c r="CK11" s="9">
        <v>0</v>
      </c>
      <c r="CL11" s="9">
        <v>0</v>
      </c>
      <c r="CM11" s="9">
        <v>0</v>
      </c>
      <c r="CN11" s="9">
        <v>0</v>
      </c>
      <c r="CO11" s="9">
        <v>0</v>
      </c>
      <c r="CP11" s="9">
        <v>0</v>
      </c>
      <c r="CQ11" s="9">
        <v>0</v>
      </c>
      <c r="CR11" s="9">
        <v>0</v>
      </c>
      <c r="CS11" s="9">
        <v>0</v>
      </c>
      <c r="CT11" s="9">
        <v>0</v>
      </c>
      <c r="CU11" s="9">
        <v>0.93</v>
      </c>
      <c r="CV11" s="9">
        <v>0</v>
      </c>
      <c r="CW11" s="9">
        <v>0</v>
      </c>
      <c r="CX11" s="9">
        <v>0.93</v>
      </c>
      <c r="CY11" s="9">
        <v>0</v>
      </c>
      <c r="CZ11" s="9">
        <v>0.93</v>
      </c>
      <c r="DA11" s="9">
        <v>0</v>
      </c>
      <c r="DB11" s="9">
        <v>0</v>
      </c>
      <c r="DC11" s="9">
        <v>0.93</v>
      </c>
      <c r="DD11" s="9">
        <v>0</v>
      </c>
      <c r="DE11" s="9">
        <v>0</v>
      </c>
      <c r="DF11" s="9">
        <v>0</v>
      </c>
      <c r="DG11" s="9">
        <v>0</v>
      </c>
      <c r="DH11" s="9">
        <v>0</v>
      </c>
      <c r="DI11" s="9">
        <v>0</v>
      </c>
      <c r="DJ11" s="9">
        <v>0</v>
      </c>
      <c r="DK11" s="9">
        <v>0</v>
      </c>
      <c r="DL11" s="9">
        <v>0</v>
      </c>
      <c r="DM11" s="9">
        <v>0</v>
      </c>
      <c r="DN11" s="9">
        <v>0</v>
      </c>
      <c r="DO11" s="9">
        <v>0</v>
      </c>
      <c r="DP11" s="9">
        <v>0</v>
      </c>
      <c r="DQ11" s="9">
        <v>0</v>
      </c>
      <c r="DR11" s="9">
        <v>0</v>
      </c>
      <c r="DS11" s="9">
        <v>0</v>
      </c>
      <c r="DT11" s="9">
        <v>0</v>
      </c>
      <c r="DU11" s="9">
        <v>0</v>
      </c>
      <c r="DV11" s="9">
        <v>0</v>
      </c>
      <c r="DW11" s="9">
        <v>0</v>
      </c>
      <c r="DX11" s="9">
        <v>0</v>
      </c>
      <c r="DY11" s="9">
        <v>0.93</v>
      </c>
      <c r="DZ11" s="9">
        <v>0</v>
      </c>
      <c r="EA11" s="9">
        <v>0</v>
      </c>
      <c r="EB11" s="9">
        <v>0.93</v>
      </c>
    </row>
    <row r="12" spans="1:132" x14ac:dyDescent="0.35">
      <c r="A12" s="5">
        <v>260</v>
      </c>
      <c r="B12" s="5" t="s">
        <v>106</v>
      </c>
      <c r="C12" s="5" t="s">
        <v>107</v>
      </c>
      <c r="D12" s="5" t="s">
        <v>108</v>
      </c>
      <c r="E12" s="5" t="s">
        <v>98</v>
      </c>
      <c r="F12" s="5">
        <v>271</v>
      </c>
      <c r="G12" s="5">
        <v>15</v>
      </c>
      <c r="H12" s="5">
        <v>63800</v>
      </c>
      <c r="I12" s="5" t="s">
        <v>61</v>
      </c>
      <c r="J12" s="5" t="s">
        <v>98</v>
      </c>
      <c r="K12" s="5" t="s">
        <v>100</v>
      </c>
      <c r="L12" s="14">
        <v>1</v>
      </c>
      <c r="M12" s="9">
        <v>13.03</v>
      </c>
      <c r="N12" s="9">
        <v>12.76</v>
      </c>
      <c r="O12" s="9">
        <v>11.92</v>
      </c>
      <c r="P12" s="9">
        <v>0</v>
      </c>
      <c r="Q12" s="9">
        <v>37.71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13.03</v>
      </c>
      <c r="AM12" s="9">
        <v>12.76</v>
      </c>
      <c r="AN12" s="9">
        <v>11.92</v>
      </c>
      <c r="AO12" s="9">
        <v>0</v>
      </c>
      <c r="AP12" s="9">
        <v>37.71</v>
      </c>
      <c r="AQ12" s="9">
        <v>13.03</v>
      </c>
      <c r="AR12" s="9">
        <v>12.76</v>
      </c>
      <c r="AS12" s="9">
        <v>11.92</v>
      </c>
      <c r="AT12" s="9">
        <v>0</v>
      </c>
      <c r="AU12" s="9">
        <v>37.71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0</v>
      </c>
      <c r="BK12" s="9">
        <v>0</v>
      </c>
      <c r="BL12" s="9">
        <v>0</v>
      </c>
      <c r="BM12" s="9">
        <v>0</v>
      </c>
      <c r="BN12" s="9">
        <v>0</v>
      </c>
      <c r="BO12" s="9">
        <v>0</v>
      </c>
      <c r="BP12" s="9">
        <v>13.03</v>
      </c>
      <c r="BQ12" s="9">
        <v>12.76</v>
      </c>
      <c r="BR12" s="9">
        <v>11.92</v>
      </c>
      <c r="BS12" s="9">
        <v>0</v>
      </c>
      <c r="BT12" s="9">
        <v>37.71</v>
      </c>
      <c r="BU12" s="9">
        <v>13.01</v>
      </c>
      <c r="BV12" s="9">
        <v>12.84</v>
      </c>
      <c r="BW12" s="9">
        <v>11.91</v>
      </c>
      <c r="BX12" s="9">
        <v>0</v>
      </c>
      <c r="BY12" s="9">
        <v>37.76</v>
      </c>
      <c r="BZ12" s="9">
        <v>0</v>
      </c>
      <c r="CA12" s="9">
        <v>0</v>
      </c>
      <c r="CB12" s="9">
        <v>0</v>
      </c>
      <c r="CC12" s="9">
        <v>0</v>
      </c>
      <c r="CD12" s="9">
        <v>0</v>
      </c>
      <c r="CE12" s="9">
        <v>0</v>
      </c>
      <c r="CF12" s="9">
        <v>0</v>
      </c>
      <c r="CG12" s="9">
        <v>0</v>
      </c>
      <c r="CH12" s="9">
        <v>0</v>
      </c>
      <c r="CI12" s="9">
        <v>0</v>
      </c>
      <c r="CJ12" s="9">
        <v>0</v>
      </c>
      <c r="CK12" s="9">
        <v>0</v>
      </c>
      <c r="CL12" s="9">
        <v>0</v>
      </c>
      <c r="CM12" s="9">
        <v>0</v>
      </c>
      <c r="CN12" s="9">
        <v>0</v>
      </c>
      <c r="CO12" s="9">
        <v>0</v>
      </c>
      <c r="CP12" s="9">
        <v>0</v>
      </c>
      <c r="CQ12" s="9">
        <v>0</v>
      </c>
      <c r="CR12" s="9">
        <v>0</v>
      </c>
      <c r="CS12" s="9">
        <v>0</v>
      </c>
      <c r="CT12" s="9">
        <v>13.01</v>
      </c>
      <c r="CU12" s="9">
        <v>12.84</v>
      </c>
      <c r="CV12" s="9">
        <v>11.91</v>
      </c>
      <c r="CW12" s="9">
        <v>0</v>
      </c>
      <c r="CX12" s="9">
        <v>37.76</v>
      </c>
      <c r="CY12" s="9">
        <v>13.01</v>
      </c>
      <c r="CZ12" s="9">
        <v>12.84</v>
      </c>
      <c r="DA12" s="9">
        <v>11.91</v>
      </c>
      <c r="DB12" s="9">
        <v>0</v>
      </c>
      <c r="DC12" s="9">
        <v>37.76</v>
      </c>
      <c r="DD12" s="9">
        <v>0</v>
      </c>
      <c r="DE12" s="9">
        <v>0</v>
      </c>
      <c r="DF12" s="9">
        <v>0</v>
      </c>
      <c r="DG12" s="9">
        <v>0</v>
      </c>
      <c r="DH12" s="9">
        <v>0</v>
      </c>
      <c r="DI12" s="9">
        <v>0</v>
      </c>
      <c r="DJ12" s="9">
        <v>0</v>
      </c>
      <c r="DK12" s="9">
        <v>0</v>
      </c>
      <c r="DL12" s="9">
        <v>0</v>
      </c>
      <c r="DM12" s="9">
        <v>0</v>
      </c>
      <c r="DN12" s="9">
        <v>0</v>
      </c>
      <c r="DO12" s="9">
        <v>0</v>
      </c>
      <c r="DP12" s="9">
        <v>0</v>
      </c>
      <c r="DQ12" s="9">
        <v>0</v>
      </c>
      <c r="DR12" s="9">
        <v>0</v>
      </c>
      <c r="DS12" s="9">
        <v>0</v>
      </c>
      <c r="DT12" s="9">
        <v>0</v>
      </c>
      <c r="DU12" s="9">
        <v>0</v>
      </c>
      <c r="DV12" s="9">
        <v>0</v>
      </c>
      <c r="DW12" s="9">
        <v>0</v>
      </c>
      <c r="DX12" s="9">
        <v>13.01</v>
      </c>
      <c r="DY12" s="9">
        <v>12.84</v>
      </c>
      <c r="DZ12" s="9">
        <v>11.91</v>
      </c>
      <c r="EA12" s="9">
        <v>0</v>
      </c>
      <c r="EB12" s="9">
        <v>37.76</v>
      </c>
    </row>
    <row r="13" spans="1:132" x14ac:dyDescent="0.35">
      <c r="A13" s="5">
        <v>261</v>
      </c>
      <c r="B13" s="5" t="s">
        <v>106</v>
      </c>
      <c r="C13" s="5" t="s">
        <v>110</v>
      </c>
      <c r="D13" s="5" t="s">
        <v>109</v>
      </c>
      <c r="E13" s="5" t="s">
        <v>98</v>
      </c>
      <c r="F13" s="5">
        <v>271</v>
      </c>
      <c r="G13" s="5">
        <v>15</v>
      </c>
      <c r="H13" s="5">
        <v>63800</v>
      </c>
      <c r="I13" s="5" t="s">
        <v>61</v>
      </c>
      <c r="J13" s="5" t="s">
        <v>98</v>
      </c>
      <c r="K13" s="5" t="s">
        <v>100</v>
      </c>
      <c r="L13" s="14">
        <v>1</v>
      </c>
      <c r="M13" s="9">
        <v>6.08</v>
      </c>
      <c r="N13" s="9">
        <v>7.57</v>
      </c>
      <c r="O13" s="9">
        <v>9.2799999999999994</v>
      </c>
      <c r="P13" s="9">
        <v>0</v>
      </c>
      <c r="Q13" s="9">
        <v>22.93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6.08</v>
      </c>
      <c r="AM13" s="9">
        <v>7.57</v>
      </c>
      <c r="AN13" s="9">
        <v>9.2799999999999994</v>
      </c>
      <c r="AO13" s="9">
        <v>0</v>
      </c>
      <c r="AP13" s="9">
        <v>22.93</v>
      </c>
      <c r="AQ13" s="9">
        <v>6.08</v>
      </c>
      <c r="AR13" s="9">
        <v>7.57</v>
      </c>
      <c r="AS13" s="9">
        <v>9.2799999999999994</v>
      </c>
      <c r="AT13" s="9">
        <v>0</v>
      </c>
      <c r="AU13" s="9">
        <v>22.93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6.08</v>
      </c>
      <c r="BQ13" s="9">
        <v>7.57</v>
      </c>
      <c r="BR13" s="9">
        <v>9.2799999999999994</v>
      </c>
      <c r="BS13" s="9">
        <v>0</v>
      </c>
      <c r="BT13" s="9">
        <v>22.93</v>
      </c>
      <c r="BU13" s="9">
        <v>5.81</v>
      </c>
      <c r="BV13" s="9">
        <v>7.54</v>
      </c>
      <c r="BW13" s="9">
        <v>9.31</v>
      </c>
      <c r="BX13" s="9">
        <v>0</v>
      </c>
      <c r="BY13" s="9">
        <v>22.66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5.81</v>
      </c>
      <c r="CU13" s="9">
        <v>7.54</v>
      </c>
      <c r="CV13" s="9">
        <v>9.31</v>
      </c>
      <c r="CW13" s="9">
        <v>0</v>
      </c>
      <c r="CX13" s="9">
        <v>22.66</v>
      </c>
      <c r="CY13" s="9">
        <v>5.81</v>
      </c>
      <c r="CZ13" s="9">
        <v>7.54</v>
      </c>
      <c r="DA13" s="9">
        <v>9.31</v>
      </c>
      <c r="DB13" s="9">
        <v>0</v>
      </c>
      <c r="DC13" s="9">
        <v>22.66</v>
      </c>
      <c r="DD13" s="9">
        <v>0</v>
      </c>
      <c r="DE13" s="9">
        <v>0</v>
      </c>
      <c r="DF13" s="9">
        <v>0</v>
      </c>
      <c r="DG13" s="9">
        <v>0</v>
      </c>
      <c r="DH13" s="9">
        <v>0</v>
      </c>
      <c r="DI13" s="9">
        <v>0</v>
      </c>
      <c r="DJ13" s="9">
        <v>0</v>
      </c>
      <c r="DK13" s="9">
        <v>0</v>
      </c>
      <c r="DL13" s="9">
        <v>0</v>
      </c>
      <c r="DM13" s="9">
        <v>0</v>
      </c>
      <c r="DN13" s="9">
        <v>0</v>
      </c>
      <c r="DO13" s="9">
        <v>0</v>
      </c>
      <c r="DP13" s="9">
        <v>0</v>
      </c>
      <c r="DQ13" s="9">
        <v>0</v>
      </c>
      <c r="DR13" s="9">
        <v>0</v>
      </c>
      <c r="DS13" s="9">
        <v>0</v>
      </c>
      <c r="DT13" s="9">
        <v>0</v>
      </c>
      <c r="DU13" s="9">
        <v>0</v>
      </c>
      <c r="DV13" s="9">
        <v>0</v>
      </c>
      <c r="DW13" s="9">
        <v>0</v>
      </c>
      <c r="DX13" s="9">
        <v>5.81</v>
      </c>
      <c r="DY13" s="9">
        <v>7.54</v>
      </c>
      <c r="DZ13" s="9">
        <v>9.31</v>
      </c>
      <c r="EA13" s="9">
        <v>0</v>
      </c>
      <c r="EB13" s="9">
        <v>22.66</v>
      </c>
    </row>
    <row r="14" spans="1:132" x14ac:dyDescent="0.35">
      <c r="A14" s="5">
        <v>417</v>
      </c>
      <c r="B14" s="5" t="s">
        <v>114</v>
      </c>
      <c r="C14" s="5" t="s">
        <v>115</v>
      </c>
      <c r="D14" s="5" t="s">
        <v>56</v>
      </c>
      <c r="E14" s="5" t="s">
        <v>98</v>
      </c>
      <c r="F14" s="5">
        <v>66</v>
      </c>
      <c r="G14" s="7" t="s">
        <v>266</v>
      </c>
      <c r="H14" s="5">
        <v>61192</v>
      </c>
      <c r="I14" s="5" t="s">
        <v>66</v>
      </c>
      <c r="J14" s="5" t="s">
        <v>101</v>
      </c>
      <c r="K14" s="5" t="s">
        <v>100</v>
      </c>
      <c r="L14" s="14">
        <v>1</v>
      </c>
      <c r="M14" s="9">
        <v>0.73</v>
      </c>
      <c r="N14" s="9">
        <v>0</v>
      </c>
      <c r="O14" s="9">
        <v>0</v>
      </c>
      <c r="P14" s="9">
        <v>0</v>
      </c>
      <c r="Q14" s="9">
        <v>0.73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0.73</v>
      </c>
      <c r="AM14" s="9">
        <v>0</v>
      </c>
      <c r="AN14" s="9">
        <v>0</v>
      </c>
      <c r="AO14" s="9">
        <v>0</v>
      </c>
      <c r="AP14" s="9">
        <v>0.73</v>
      </c>
      <c r="AQ14" s="9">
        <v>0.73</v>
      </c>
      <c r="AR14" s="9">
        <v>0</v>
      </c>
      <c r="AS14" s="9">
        <v>0</v>
      </c>
      <c r="AT14" s="9">
        <v>0</v>
      </c>
      <c r="AU14" s="9">
        <v>0.73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9">
        <v>0.73</v>
      </c>
      <c r="BQ14" s="9">
        <v>0</v>
      </c>
      <c r="BR14" s="9">
        <v>0</v>
      </c>
      <c r="BS14" s="9">
        <v>0</v>
      </c>
      <c r="BT14" s="9">
        <v>0.73</v>
      </c>
      <c r="BU14" s="9">
        <v>0.73</v>
      </c>
      <c r="BV14" s="9">
        <v>0</v>
      </c>
      <c r="BW14" s="9">
        <v>0</v>
      </c>
      <c r="BX14" s="9">
        <v>0</v>
      </c>
      <c r="BY14" s="9">
        <v>0.73</v>
      </c>
      <c r="BZ14" s="9">
        <v>0</v>
      </c>
      <c r="CA14" s="9">
        <v>0</v>
      </c>
      <c r="CB14" s="9">
        <v>0</v>
      </c>
      <c r="CC14" s="9">
        <v>0</v>
      </c>
      <c r="CD14" s="9">
        <v>0</v>
      </c>
      <c r="CE14" s="9">
        <v>0</v>
      </c>
      <c r="CF14" s="9">
        <v>0</v>
      </c>
      <c r="CG14" s="9">
        <v>0</v>
      </c>
      <c r="CH14" s="9">
        <v>0</v>
      </c>
      <c r="CI14" s="9">
        <v>0</v>
      </c>
      <c r="CJ14" s="9">
        <v>0</v>
      </c>
      <c r="CK14" s="9">
        <v>0</v>
      </c>
      <c r="CL14" s="9">
        <v>0</v>
      </c>
      <c r="CM14" s="9">
        <v>0</v>
      </c>
      <c r="CN14" s="9">
        <v>0</v>
      </c>
      <c r="CO14" s="9">
        <v>0</v>
      </c>
      <c r="CP14" s="9">
        <v>0</v>
      </c>
      <c r="CQ14" s="9">
        <v>0</v>
      </c>
      <c r="CR14" s="9">
        <v>0</v>
      </c>
      <c r="CS14" s="9">
        <v>0</v>
      </c>
      <c r="CT14" s="9">
        <v>0.73</v>
      </c>
      <c r="CU14" s="9">
        <v>0</v>
      </c>
      <c r="CV14" s="9">
        <v>0</v>
      </c>
      <c r="CW14" s="9">
        <v>0</v>
      </c>
      <c r="CX14" s="9">
        <v>0.73</v>
      </c>
      <c r="CY14" s="9">
        <v>0.73</v>
      </c>
      <c r="CZ14" s="9">
        <v>0</v>
      </c>
      <c r="DA14" s="9">
        <v>0</v>
      </c>
      <c r="DB14" s="9">
        <v>0</v>
      </c>
      <c r="DC14" s="9">
        <v>0.73</v>
      </c>
      <c r="DD14" s="9">
        <v>0</v>
      </c>
      <c r="DE14" s="9">
        <v>0</v>
      </c>
      <c r="DF14" s="9">
        <v>0</v>
      </c>
      <c r="DG14" s="9">
        <v>0</v>
      </c>
      <c r="DH14" s="9">
        <v>0</v>
      </c>
      <c r="DI14" s="9">
        <v>0</v>
      </c>
      <c r="DJ14" s="9">
        <v>0</v>
      </c>
      <c r="DK14" s="9">
        <v>0</v>
      </c>
      <c r="DL14" s="9">
        <v>0</v>
      </c>
      <c r="DM14" s="9">
        <v>0</v>
      </c>
      <c r="DN14" s="9">
        <v>0</v>
      </c>
      <c r="DO14" s="9">
        <v>0</v>
      </c>
      <c r="DP14" s="9">
        <v>0</v>
      </c>
      <c r="DQ14" s="9">
        <v>0</v>
      </c>
      <c r="DR14" s="9">
        <v>0</v>
      </c>
      <c r="DS14" s="9">
        <v>0</v>
      </c>
      <c r="DT14" s="9">
        <v>0</v>
      </c>
      <c r="DU14" s="9">
        <v>0</v>
      </c>
      <c r="DV14" s="9">
        <v>0</v>
      </c>
      <c r="DW14" s="9">
        <v>0</v>
      </c>
      <c r="DX14" s="9">
        <v>0.73</v>
      </c>
      <c r="DY14" s="9">
        <v>0</v>
      </c>
      <c r="DZ14" s="9">
        <v>0</v>
      </c>
      <c r="EA14" s="9">
        <v>0</v>
      </c>
      <c r="EB14" s="9">
        <v>0.73</v>
      </c>
    </row>
    <row r="15" spans="1:132" x14ac:dyDescent="0.35">
      <c r="A15" s="5">
        <v>417</v>
      </c>
      <c r="B15" s="5" t="s">
        <v>114</v>
      </c>
      <c r="C15" s="5" t="s">
        <v>115</v>
      </c>
      <c r="D15" s="5" t="s">
        <v>56</v>
      </c>
      <c r="E15" s="5" t="s">
        <v>98</v>
      </c>
      <c r="F15" s="5">
        <v>117</v>
      </c>
      <c r="G15" s="7" t="s">
        <v>267</v>
      </c>
      <c r="H15" s="5">
        <v>61796</v>
      </c>
      <c r="I15" s="5" t="s">
        <v>65</v>
      </c>
      <c r="J15" s="5" t="s">
        <v>101</v>
      </c>
      <c r="K15" s="5" t="s">
        <v>100</v>
      </c>
      <c r="L15" s="14">
        <v>1</v>
      </c>
      <c r="M15" s="9">
        <v>0</v>
      </c>
      <c r="N15" s="9">
        <v>0.92</v>
      </c>
      <c r="O15" s="9">
        <v>1.98</v>
      </c>
      <c r="P15" s="9">
        <v>0</v>
      </c>
      <c r="Q15" s="9">
        <v>2.9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0.92</v>
      </c>
      <c r="AN15" s="9">
        <v>1.98</v>
      </c>
      <c r="AO15" s="9">
        <v>0</v>
      </c>
      <c r="AP15" s="9">
        <v>2.9</v>
      </c>
      <c r="AQ15" s="9">
        <v>0</v>
      </c>
      <c r="AR15" s="9">
        <v>0.92</v>
      </c>
      <c r="AS15" s="9">
        <v>1.98</v>
      </c>
      <c r="AT15" s="9">
        <v>0</v>
      </c>
      <c r="AU15" s="9">
        <v>2.9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v>0</v>
      </c>
      <c r="BQ15" s="9">
        <v>0.92</v>
      </c>
      <c r="BR15" s="9">
        <v>1.98</v>
      </c>
      <c r="BS15" s="9">
        <v>0</v>
      </c>
      <c r="BT15" s="9">
        <v>2.9</v>
      </c>
      <c r="BU15" s="9">
        <v>0</v>
      </c>
      <c r="BV15" s="9">
        <v>0.94</v>
      </c>
      <c r="BW15" s="9">
        <v>1.97</v>
      </c>
      <c r="BX15" s="9">
        <v>0</v>
      </c>
      <c r="BY15" s="9">
        <v>2.91</v>
      </c>
      <c r="BZ15" s="9">
        <v>0</v>
      </c>
      <c r="CA15" s="9">
        <v>0</v>
      </c>
      <c r="CB15" s="9">
        <v>0</v>
      </c>
      <c r="CC15" s="9">
        <v>0</v>
      </c>
      <c r="CD15" s="9">
        <v>0</v>
      </c>
      <c r="CE15" s="9">
        <v>0</v>
      </c>
      <c r="CF15" s="9">
        <v>0</v>
      </c>
      <c r="CG15" s="9">
        <v>0</v>
      </c>
      <c r="CH15" s="9">
        <v>0</v>
      </c>
      <c r="CI15" s="9">
        <v>0</v>
      </c>
      <c r="CJ15" s="9">
        <v>0</v>
      </c>
      <c r="CK15" s="9">
        <v>0</v>
      </c>
      <c r="CL15" s="9">
        <v>0</v>
      </c>
      <c r="CM15" s="9">
        <v>0</v>
      </c>
      <c r="CN15" s="9">
        <v>0</v>
      </c>
      <c r="CO15" s="9">
        <v>0</v>
      </c>
      <c r="CP15" s="9">
        <v>0</v>
      </c>
      <c r="CQ15" s="9">
        <v>0</v>
      </c>
      <c r="CR15" s="9">
        <v>0</v>
      </c>
      <c r="CS15" s="9">
        <v>0</v>
      </c>
      <c r="CT15" s="9">
        <v>0</v>
      </c>
      <c r="CU15" s="9">
        <v>0.94</v>
      </c>
      <c r="CV15" s="9">
        <v>1.97</v>
      </c>
      <c r="CW15" s="9">
        <v>0</v>
      </c>
      <c r="CX15" s="9">
        <v>2.91</v>
      </c>
      <c r="CY15" s="9">
        <v>0</v>
      </c>
      <c r="CZ15" s="9">
        <v>0.94</v>
      </c>
      <c r="DA15" s="9">
        <v>1.97</v>
      </c>
      <c r="DB15" s="9">
        <v>0</v>
      </c>
      <c r="DC15" s="9">
        <v>2.91</v>
      </c>
      <c r="DD15" s="9">
        <v>0</v>
      </c>
      <c r="DE15" s="9">
        <v>0</v>
      </c>
      <c r="DF15" s="9">
        <v>0</v>
      </c>
      <c r="DG15" s="9">
        <v>0</v>
      </c>
      <c r="DH15" s="9">
        <v>0</v>
      </c>
      <c r="DI15" s="9">
        <v>0</v>
      </c>
      <c r="DJ15" s="9">
        <v>0</v>
      </c>
      <c r="DK15" s="9">
        <v>0</v>
      </c>
      <c r="DL15" s="9">
        <v>0</v>
      </c>
      <c r="DM15" s="9">
        <v>0</v>
      </c>
      <c r="DN15" s="9">
        <v>0</v>
      </c>
      <c r="DO15" s="9">
        <v>0</v>
      </c>
      <c r="DP15" s="9">
        <v>0</v>
      </c>
      <c r="DQ15" s="9">
        <v>0</v>
      </c>
      <c r="DR15" s="9">
        <v>0</v>
      </c>
      <c r="DS15" s="9">
        <v>0</v>
      </c>
      <c r="DT15" s="9">
        <v>0</v>
      </c>
      <c r="DU15" s="9">
        <v>0</v>
      </c>
      <c r="DV15" s="9">
        <v>0</v>
      </c>
      <c r="DW15" s="9">
        <v>0</v>
      </c>
      <c r="DX15" s="9">
        <v>0</v>
      </c>
      <c r="DY15" s="9">
        <v>0.94</v>
      </c>
      <c r="DZ15" s="9">
        <v>1.97</v>
      </c>
      <c r="EA15" s="9">
        <v>0</v>
      </c>
      <c r="EB15" s="9">
        <v>2.91</v>
      </c>
    </row>
    <row r="16" spans="1:132" x14ac:dyDescent="0.35">
      <c r="A16" s="5">
        <v>417</v>
      </c>
      <c r="B16" s="5" t="s">
        <v>114</v>
      </c>
      <c r="C16" s="5" t="s">
        <v>115</v>
      </c>
      <c r="D16" s="5" t="s">
        <v>56</v>
      </c>
      <c r="E16" s="5" t="s">
        <v>98</v>
      </c>
      <c r="F16" s="5">
        <v>412</v>
      </c>
      <c r="G16" s="5">
        <v>21</v>
      </c>
      <c r="H16" s="5">
        <v>65417</v>
      </c>
      <c r="I16" s="5" t="s">
        <v>58</v>
      </c>
      <c r="J16" s="5" t="s">
        <v>101</v>
      </c>
      <c r="K16" s="5" t="s">
        <v>100</v>
      </c>
      <c r="L16" s="14">
        <v>1</v>
      </c>
      <c r="M16" s="9">
        <v>1.89</v>
      </c>
      <c r="N16" s="9">
        <v>1.85</v>
      </c>
      <c r="O16" s="9">
        <v>0</v>
      </c>
      <c r="P16" s="9">
        <v>0</v>
      </c>
      <c r="Q16" s="9">
        <v>3.74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1.89</v>
      </c>
      <c r="AM16" s="9">
        <v>1.85</v>
      </c>
      <c r="AN16" s="9">
        <v>0</v>
      </c>
      <c r="AO16" s="9">
        <v>0</v>
      </c>
      <c r="AP16" s="9">
        <v>3.74</v>
      </c>
      <c r="AQ16" s="9">
        <v>1.89</v>
      </c>
      <c r="AR16" s="9">
        <v>1.85</v>
      </c>
      <c r="AS16" s="9">
        <v>0</v>
      </c>
      <c r="AT16" s="9">
        <v>0</v>
      </c>
      <c r="AU16" s="9">
        <v>3.74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1.89</v>
      </c>
      <c r="BQ16" s="9">
        <v>1.85</v>
      </c>
      <c r="BR16" s="9">
        <v>0</v>
      </c>
      <c r="BS16" s="9">
        <v>0</v>
      </c>
      <c r="BT16" s="9">
        <v>3.74</v>
      </c>
      <c r="BU16" s="9">
        <v>1.87</v>
      </c>
      <c r="BV16" s="9">
        <v>1.87</v>
      </c>
      <c r="BW16" s="9">
        <v>0</v>
      </c>
      <c r="BX16" s="9">
        <v>0</v>
      </c>
      <c r="BY16" s="9">
        <v>3.74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9">
        <v>0</v>
      </c>
      <c r="CF16" s="9">
        <v>0</v>
      </c>
      <c r="CG16" s="9">
        <v>0</v>
      </c>
      <c r="CH16" s="9">
        <v>0</v>
      </c>
      <c r="CI16" s="9">
        <v>0</v>
      </c>
      <c r="CJ16" s="9">
        <v>0</v>
      </c>
      <c r="CK16" s="9">
        <v>0</v>
      </c>
      <c r="CL16" s="9">
        <v>0</v>
      </c>
      <c r="CM16" s="9">
        <v>0</v>
      </c>
      <c r="CN16" s="9">
        <v>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1.87</v>
      </c>
      <c r="CU16" s="9">
        <v>1.87</v>
      </c>
      <c r="CV16" s="9">
        <v>0</v>
      </c>
      <c r="CW16" s="9">
        <v>0</v>
      </c>
      <c r="CX16" s="9">
        <v>3.74</v>
      </c>
      <c r="CY16" s="9">
        <v>1.87</v>
      </c>
      <c r="CZ16" s="9">
        <v>1.87</v>
      </c>
      <c r="DA16" s="9">
        <v>0</v>
      </c>
      <c r="DB16" s="9">
        <v>0</v>
      </c>
      <c r="DC16" s="9">
        <v>3.74</v>
      </c>
      <c r="DD16" s="9">
        <v>0</v>
      </c>
      <c r="DE16" s="9">
        <v>0</v>
      </c>
      <c r="DF16" s="9">
        <v>0</v>
      </c>
      <c r="DG16" s="9">
        <v>0</v>
      </c>
      <c r="DH16" s="9">
        <v>0</v>
      </c>
      <c r="DI16" s="9">
        <v>0</v>
      </c>
      <c r="DJ16" s="9">
        <v>0</v>
      </c>
      <c r="DK16" s="9">
        <v>0</v>
      </c>
      <c r="DL16" s="9">
        <v>0</v>
      </c>
      <c r="DM16" s="9">
        <v>0</v>
      </c>
      <c r="DN16" s="9">
        <v>0</v>
      </c>
      <c r="DO16" s="9">
        <v>0</v>
      </c>
      <c r="DP16" s="9">
        <v>0</v>
      </c>
      <c r="DQ16" s="9">
        <v>0</v>
      </c>
      <c r="DR16" s="9">
        <v>0</v>
      </c>
      <c r="DS16" s="9">
        <v>0</v>
      </c>
      <c r="DT16" s="9">
        <v>0</v>
      </c>
      <c r="DU16" s="9">
        <v>0</v>
      </c>
      <c r="DV16" s="9">
        <v>0</v>
      </c>
      <c r="DW16" s="9">
        <v>0</v>
      </c>
      <c r="DX16" s="9">
        <v>1.87</v>
      </c>
      <c r="DY16" s="9">
        <v>1.87</v>
      </c>
      <c r="DZ16" s="9">
        <v>0</v>
      </c>
      <c r="EA16" s="9">
        <v>0</v>
      </c>
      <c r="EB16" s="9">
        <v>3.74</v>
      </c>
    </row>
    <row r="17" spans="1:132" x14ac:dyDescent="0.35">
      <c r="A17" s="5">
        <v>417</v>
      </c>
      <c r="B17" s="5" t="s">
        <v>114</v>
      </c>
      <c r="C17" s="5" t="s">
        <v>115</v>
      </c>
      <c r="D17" s="5" t="s">
        <v>56</v>
      </c>
      <c r="E17" s="5" t="s">
        <v>98</v>
      </c>
      <c r="F17" s="5">
        <v>415</v>
      </c>
      <c r="G17" s="5">
        <v>21</v>
      </c>
      <c r="H17" s="5">
        <v>65458</v>
      </c>
      <c r="I17" s="5" t="s">
        <v>57</v>
      </c>
      <c r="J17" s="5" t="s">
        <v>98</v>
      </c>
      <c r="K17" s="5" t="s">
        <v>100</v>
      </c>
      <c r="L17" s="14">
        <v>1</v>
      </c>
      <c r="M17" s="9">
        <v>13.81</v>
      </c>
      <c r="N17" s="9">
        <v>6.11</v>
      </c>
      <c r="O17" s="9">
        <v>6.87</v>
      </c>
      <c r="P17" s="9">
        <v>0</v>
      </c>
      <c r="Q17" s="9">
        <v>26.79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13.81</v>
      </c>
      <c r="AM17" s="9">
        <v>6.11</v>
      </c>
      <c r="AN17" s="9">
        <v>6.87</v>
      </c>
      <c r="AO17" s="9">
        <v>0</v>
      </c>
      <c r="AP17" s="9">
        <v>26.79</v>
      </c>
      <c r="AQ17" s="9">
        <v>13.81</v>
      </c>
      <c r="AR17" s="9">
        <v>6.11</v>
      </c>
      <c r="AS17" s="9">
        <v>6.87</v>
      </c>
      <c r="AT17" s="9">
        <v>0</v>
      </c>
      <c r="AU17" s="9">
        <v>26.79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v>13.81</v>
      </c>
      <c r="BQ17" s="9">
        <v>6.11</v>
      </c>
      <c r="BR17" s="9">
        <v>6.87</v>
      </c>
      <c r="BS17" s="9">
        <v>0</v>
      </c>
      <c r="BT17" s="9">
        <v>26.79</v>
      </c>
      <c r="BU17" s="9">
        <v>13.89</v>
      </c>
      <c r="BV17" s="9">
        <v>9.0399999999999991</v>
      </c>
      <c r="BW17" s="9">
        <v>8.82</v>
      </c>
      <c r="BX17" s="9">
        <v>0</v>
      </c>
      <c r="BY17" s="9">
        <v>31.75</v>
      </c>
      <c r="BZ17" s="9">
        <v>0</v>
      </c>
      <c r="CA17" s="9">
        <v>0</v>
      </c>
      <c r="CB17" s="9">
        <v>0</v>
      </c>
      <c r="CC17" s="9">
        <v>0</v>
      </c>
      <c r="CD17" s="9">
        <v>0</v>
      </c>
      <c r="CE17" s="9">
        <v>0</v>
      </c>
      <c r="CF17" s="9">
        <v>0</v>
      </c>
      <c r="CG17" s="9">
        <v>0</v>
      </c>
      <c r="CH17" s="9">
        <v>0</v>
      </c>
      <c r="CI17" s="9">
        <v>0</v>
      </c>
      <c r="CJ17" s="9">
        <v>0</v>
      </c>
      <c r="CK17" s="9">
        <v>0</v>
      </c>
      <c r="CL17" s="9">
        <v>0</v>
      </c>
      <c r="CM17" s="9">
        <v>0</v>
      </c>
      <c r="CN17" s="9">
        <v>0</v>
      </c>
      <c r="CO17" s="9">
        <v>0</v>
      </c>
      <c r="CP17" s="9">
        <v>0</v>
      </c>
      <c r="CQ17" s="9">
        <v>0</v>
      </c>
      <c r="CR17" s="9">
        <v>0</v>
      </c>
      <c r="CS17" s="9">
        <v>0</v>
      </c>
      <c r="CT17" s="9">
        <v>13.89</v>
      </c>
      <c r="CU17" s="9">
        <v>9.0399999999999991</v>
      </c>
      <c r="CV17" s="9">
        <v>8.82</v>
      </c>
      <c r="CW17" s="9">
        <v>0</v>
      </c>
      <c r="CX17" s="9">
        <v>31.75</v>
      </c>
      <c r="CY17" s="9">
        <v>13.89</v>
      </c>
      <c r="CZ17" s="9">
        <v>9.0399999999999991</v>
      </c>
      <c r="DA17" s="9">
        <v>8.82</v>
      </c>
      <c r="DB17" s="9">
        <v>0</v>
      </c>
      <c r="DC17" s="9">
        <v>31.75</v>
      </c>
      <c r="DD17" s="9">
        <v>0</v>
      </c>
      <c r="DE17" s="9">
        <v>0</v>
      </c>
      <c r="DF17" s="9">
        <v>0</v>
      </c>
      <c r="DG17" s="9">
        <v>0</v>
      </c>
      <c r="DH17" s="9">
        <v>0</v>
      </c>
      <c r="DI17" s="9">
        <v>0</v>
      </c>
      <c r="DJ17" s="9">
        <v>0</v>
      </c>
      <c r="DK17" s="9">
        <v>0</v>
      </c>
      <c r="DL17" s="9">
        <v>0</v>
      </c>
      <c r="DM17" s="9">
        <v>0</v>
      </c>
      <c r="DN17" s="9">
        <v>0</v>
      </c>
      <c r="DO17" s="9">
        <v>0</v>
      </c>
      <c r="DP17" s="9">
        <v>0</v>
      </c>
      <c r="DQ17" s="9">
        <v>0</v>
      </c>
      <c r="DR17" s="9">
        <v>0</v>
      </c>
      <c r="DS17" s="9">
        <v>0</v>
      </c>
      <c r="DT17" s="9">
        <v>0</v>
      </c>
      <c r="DU17" s="9">
        <v>0</v>
      </c>
      <c r="DV17" s="9">
        <v>0</v>
      </c>
      <c r="DW17" s="9">
        <v>0</v>
      </c>
      <c r="DX17" s="9">
        <v>13.89</v>
      </c>
      <c r="DY17" s="9">
        <v>9.0399999999999991</v>
      </c>
      <c r="DZ17" s="9">
        <v>8.82</v>
      </c>
      <c r="EA17" s="9">
        <v>0</v>
      </c>
      <c r="EB17" s="9">
        <v>31.75</v>
      </c>
    </row>
    <row r="18" spans="1:132" x14ac:dyDescent="0.35">
      <c r="A18" s="5">
        <v>417</v>
      </c>
      <c r="B18" s="5" t="s">
        <v>114</v>
      </c>
      <c r="C18" s="5" t="s">
        <v>115</v>
      </c>
      <c r="D18" s="5" t="s">
        <v>56</v>
      </c>
      <c r="E18" s="5" t="s">
        <v>98</v>
      </c>
      <c r="F18" s="5">
        <v>421</v>
      </c>
      <c r="G18" s="5">
        <v>21</v>
      </c>
      <c r="H18" s="5">
        <v>75002</v>
      </c>
      <c r="I18" s="5" t="s">
        <v>53</v>
      </c>
      <c r="J18" s="5" t="s">
        <v>98</v>
      </c>
      <c r="K18" s="5" t="s">
        <v>100</v>
      </c>
      <c r="L18" s="14">
        <v>1</v>
      </c>
      <c r="M18" s="9">
        <v>0.88</v>
      </c>
      <c r="N18" s="9">
        <v>0</v>
      </c>
      <c r="O18" s="9">
        <v>0.94</v>
      </c>
      <c r="P18" s="9">
        <v>0</v>
      </c>
      <c r="Q18" s="9">
        <v>1.82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0.88</v>
      </c>
      <c r="AM18" s="9">
        <v>0</v>
      </c>
      <c r="AN18" s="9">
        <v>0.94</v>
      </c>
      <c r="AO18" s="9">
        <v>0</v>
      </c>
      <c r="AP18" s="9">
        <v>1.82</v>
      </c>
      <c r="AQ18" s="9">
        <v>0.88</v>
      </c>
      <c r="AR18" s="9">
        <v>0</v>
      </c>
      <c r="AS18" s="9">
        <v>0.94</v>
      </c>
      <c r="AT18" s="9">
        <v>0</v>
      </c>
      <c r="AU18" s="9">
        <v>1.82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0.88</v>
      </c>
      <c r="BQ18" s="9">
        <v>0</v>
      </c>
      <c r="BR18" s="9">
        <v>0.94</v>
      </c>
      <c r="BS18" s="9">
        <v>0</v>
      </c>
      <c r="BT18" s="9">
        <v>1.82</v>
      </c>
      <c r="BU18" s="9">
        <v>0.89</v>
      </c>
      <c r="BV18" s="9">
        <v>0</v>
      </c>
      <c r="BW18" s="9">
        <v>0.96</v>
      </c>
      <c r="BX18" s="9">
        <v>0</v>
      </c>
      <c r="BY18" s="9">
        <v>1.85</v>
      </c>
      <c r="BZ18" s="9">
        <v>0</v>
      </c>
      <c r="CA18" s="9">
        <v>0</v>
      </c>
      <c r="CB18" s="9">
        <v>0</v>
      </c>
      <c r="CC18" s="9">
        <v>0</v>
      </c>
      <c r="CD18" s="9">
        <v>0</v>
      </c>
      <c r="CE18" s="9">
        <v>0</v>
      </c>
      <c r="CF18" s="9">
        <v>0</v>
      </c>
      <c r="CG18" s="9">
        <v>0</v>
      </c>
      <c r="CH18" s="9">
        <v>0</v>
      </c>
      <c r="CI18" s="9">
        <v>0</v>
      </c>
      <c r="CJ18" s="9">
        <v>0</v>
      </c>
      <c r="CK18" s="9">
        <v>0</v>
      </c>
      <c r="CL18" s="9">
        <v>0</v>
      </c>
      <c r="CM18" s="9">
        <v>0</v>
      </c>
      <c r="CN18" s="9">
        <v>0</v>
      </c>
      <c r="CO18" s="9">
        <v>0</v>
      </c>
      <c r="CP18" s="9">
        <v>0</v>
      </c>
      <c r="CQ18" s="9">
        <v>0</v>
      </c>
      <c r="CR18" s="9">
        <v>0</v>
      </c>
      <c r="CS18" s="9">
        <v>0</v>
      </c>
      <c r="CT18" s="9">
        <v>0.89</v>
      </c>
      <c r="CU18" s="9">
        <v>0</v>
      </c>
      <c r="CV18" s="9">
        <v>0.96</v>
      </c>
      <c r="CW18" s="9">
        <v>0</v>
      </c>
      <c r="CX18" s="9">
        <v>1.85</v>
      </c>
      <c r="CY18" s="9">
        <v>0.89</v>
      </c>
      <c r="CZ18" s="9">
        <v>0</v>
      </c>
      <c r="DA18" s="9">
        <v>0.96</v>
      </c>
      <c r="DB18" s="9">
        <v>0</v>
      </c>
      <c r="DC18" s="9">
        <v>1.85</v>
      </c>
      <c r="DD18" s="9">
        <v>0</v>
      </c>
      <c r="DE18" s="9">
        <v>0</v>
      </c>
      <c r="DF18" s="9">
        <v>0</v>
      </c>
      <c r="DG18" s="9">
        <v>0</v>
      </c>
      <c r="DH18" s="9">
        <v>0</v>
      </c>
      <c r="DI18" s="9">
        <v>0</v>
      </c>
      <c r="DJ18" s="9">
        <v>0</v>
      </c>
      <c r="DK18" s="9">
        <v>0</v>
      </c>
      <c r="DL18" s="9">
        <v>0</v>
      </c>
      <c r="DM18" s="9">
        <v>0</v>
      </c>
      <c r="DN18" s="9">
        <v>0</v>
      </c>
      <c r="DO18" s="9">
        <v>0</v>
      </c>
      <c r="DP18" s="9">
        <v>0</v>
      </c>
      <c r="DQ18" s="9">
        <v>0</v>
      </c>
      <c r="DR18" s="9">
        <v>0</v>
      </c>
      <c r="DS18" s="9">
        <v>0</v>
      </c>
      <c r="DT18" s="9">
        <v>0</v>
      </c>
      <c r="DU18" s="9">
        <v>0</v>
      </c>
      <c r="DV18" s="9">
        <v>0</v>
      </c>
      <c r="DW18" s="9">
        <v>0</v>
      </c>
      <c r="DX18" s="9">
        <v>0.89</v>
      </c>
      <c r="DY18" s="9">
        <v>0</v>
      </c>
      <c r="DZ18" s="9">
        <v>0.96</v>
      </c>
      <c r="EA18" s="9">
        <v>0</v>
      </c>
      <c r="EB18" s="9">
        <v>1.85</v>
      </c>
    </row>
    <row r="19" spans="1:132" x14ac:dyDescent="0.35">
      <c r="A19" s="5">
        <v>417</v>
      </c>
      <c r="B19" s="5" t="s">
        <v>114</v>
      </c>
      <c r="C19" s="5" t="s">
        <v>115</v>
      </c>
      <c r="D19" s="5" t="s">
        <v>56</v>
      </c>
      <c r="E19" s="5" t="s">
        <v>98</v>
      </c>
      <c r="F19" s="5">
        <v>670</v>
      </c>
      <c r="G19" s="5">
        <v>38</v>
      </c>
      <c r="H19" s="5">
        <v>68478</v>
      </c>
      <c r="I19" s="5" t="s">
        <v>32</v>
      </c>
      <c r="J19" s="5" t="s">
        <v>101</v>
      </c>
      <c r="K19" s="5" t="s">
        <v>100</v>
      </c>
      <c r="L19" s="14">
        <v>1</v>
      </c>
      <c r="M19" s="9">
        <v>2.82</v>
      </c>
      <c r="N19" s="9">
        <v>0.98</v>
      </c>
      <c r="O19" s="9">
        <v>0</v>
      </c>
      <c r="P19" s="9">
        <v>0</v>
      </c>
      <c r="Q19" s="9">
        <v>3.8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2.82</v>
      </c>
      <c r="AM19" s="9">
        <v>0.98</v>
      </c>
      <c r="AN19" s="9">
        <v>0</v>
      </c>
      <c r="AO19" s="9">
        <v>0</v>
      </c>
      <c r="AP19" s="9">
        <v>3.8</v>
      </c>
      <c r="AQ19" s="9">
        <v>2.82</v>
      </c>
      <c r="AR19" s="9">
        <v>0.98</v>
      </c>
      <c r="AS19" s="9">
        <v>0</v>
      </c>
      <c r="AT19" s="9">
        <v>0</v>
      </c>
      <c r="AU19" s="9">
        <v>3.8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2.82</v>
      </c>
      <c r="BQ19" s="9">
        <v>0.98</v>
      </c>
      <c r="BR19" s="9">
        <v>0</v>
      </c>
      <c r="BS19" s="9">
        <v>0</v>
      </c>
      <c r="BT19" s="9">
        <v>3.8</v>
      </c>
      <c r="BU19" s="9">
        <v>2.83</v>
      </c>
      <c r="BV19" s="9">
        <v>0.98</v>
      </c>
      <c r="BW19" s="9">
        <v>0</v>
      </c>
      <c r="BX19" s="9">
        <v>0</v>
      </c>
      <c r="BY19" s="9">
        <v>3.81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2.83</v>
      </c>
      <c r="CU19" s="9">
        <v>0.98</v>
      </c>
      <c r="CV19" s="9">
        <v>0</v>
      </c>
      <c r="CW19" s="9">
        <v>0</v>
      </c>
      <c r="CX19" s="9">
        <v>3.81</v>
      </c>
      <c r="CY19" s="9">
        <v>2.83</v>
      </c>
      <c r="CZ19" s="9">
        <v>0.98</v>
      </c>
      <c r="DA19" s="9">
        <v>0</v>
      </c>
      <c r="DB19" s="9">
        <v>0</v>
      </c>
      <c r="DC19" s="9">
        <v>3.81</v>
      </c>
      <c r="DD19" s="9">
        <v>0</v>
      </c>
      <c r="DE19" s="9">
        <v>0</v>
      </c>
      <c r="DF19" s="9">
        <v>0</v>
      </c>
      <c r="DG19" s="9">
        <v>0</v>
      </c>
      <c r="DH19" s="9">
        <v>0</v>
      </c>
      <c r="DI19" s="9">
        <v>0</v>
      </c>
      <c r="DJ19" s="9">
        <v>0</v>
      </c>
      <c r="DK19" s="9">
        <v>0</v>
      </c>
      <c r="DL19" s="9">
        <v>0</v>
      </c>
      <c r="DM19" s="9">
        <v>0</v>
      </c>
      <c r="DN19" s="9">
        <v>0</v>
      </c>
      <c r="DO19" s="9">
        <v>0</v>
      </c>
      <c r="DP19" s="9">
        <v>0</v>
      </c>
      <c r="DQ19" s="9">
        <v>0</v>
      </c>
      <c r="DR19" s="9">
        <v>0</v>
      </c>
      <c r="DS19" s="9">
        <v>0</v>
      </c>
      <c r="DT19" s="9">
        <v>0</v>
      </c>
      <c r="DU19" s="9">
        <v>0</v>
      </c>
      <c r="DV19" s="9">
        <v>0</v>
      </c>
      <c r="DW19" s="9">
        <v>0</v>
      </c>
      <c r="DX19" s="9">
        <v>2.83</v>
      </c>
      <c r="DY19" s="9">
        <v>0.98</v>
      </c>
      <c r="DZ19" s="9">
        <v>0</v>
      </c>
      <c r="EA19" s="9">
        <v>0</v>
      </c>
      <c r="EB19" s="9">
        <v>3.81</v>
      </c>
    </row>
    <row r="20" spans="1:132" x14ac:dyDescent="0.35">
      <c r="A20" s="5">
        <v>417</v>
      </c>
      <c r="B20" s="5" t="s">
        <v>114</v>
      </c>
      <c r="C20" s="5" t="s">
        <v>115</v>
      </c>
      <c r="D20" s="5" t="s">
        <v>56</v>
      </c>
      <c r="E20" s="5" t="s">
        <v>98</v>
      </c>
      <c r="F20" s="5">
        <v>841</v>
      </c>
      <c r="G20" s="5">
        <v>48</v>
      </c>
      <c r="H20" s="5">
        <v>70540</v>
      </c>
      <c r="I20" s="5" t="s">
        <v>25</v>
      </c>
      <c r="J20" s="5" t="s">
        <v>101</v>
      </c>
      <c r="K20" s="5" t="s">
        <v>100</v>
      </c>
      <c r="L20" s="14">
        <v>1</v>
      </c>
      <c r="M20" s="9">
        <v>0</v>
      </c>
      <c r="N20" s="9">
        <v>0.99</v>
      </c>
      <c r="O20" s="9">
        <v>0</v>
      </c>
      <c r="P20" s="9">
        <v>0</v>
      </c>
      <c r="Q20" s="9">
        <v>0.99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0.99</v>
      </c>
      <c r="AN20" s="9">
        <v>0</v>
      </c>
      <c r="AO20" s="9">
        <v>0</v>
      </c>
      <c r="AP20" s="9">
        <v>0.99</v>
      </c>
      <c r="AQ20" s="9">
        <v>0</v>
      </c>
      <c r="AR20" s="9">
        <v>0.99</v>
      </c>
      <c r="AS20" s="9">
        <v>0</v>
      </c>
      <c r="AT20" s="9">
        <v>0</v>
      </c>
      <c r="AU20" s="9">
        <v>0.99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0.99</v>
      </c>
      <c r="BR20" s="9">
        <v>0</v>
      </c>
      <c r="BS20" s="9">
        <v>0</v>
      </c>
      <c r="BT20" s="9">
        <v>0.99</v>
      </c>
      <c r="BU20" s="9">
        <v>0</v>
      </c>
      <c r="BV20" s="9">
        <v>0.97</v>
      </c>
      <c r="BW20" s="9">
        <v>0</v>
      </c>
      <c r="BX20" s="9">
        <v>0</v>
      </c>
      <c r="BY20" s="9">
        <v>0.97</v>
      </c>
      <c r="BZ20" s="9">
        <v>0</v>
      </c>
      <c r="CA20" s="9">
        <v>0</v>
      </c>
      <c r="CB20" s="9">
        <v>0</v>
      </c>
      <c r="CC20" s="9">
        <v>0</v>
      </c>
      <c r="CD20" s="9">
        <v>0</v>
      </c>
      <c r="CE20" s="9">
        <v>0</v>
      </c>
      <c r="CF20" s="9">
        <v>0</v>
      </c>
      <c r="CG20" s="9">
        <v>0</v>
      </c>
      <c r="CH20" s="9">
        <v>0</v>
      </c>
      <c r="CI20" s="9">
        <v>0</v>
      </c>
      <c r="CJ20" s="9">
        <v>0</v>
      </c>
      <c r="CK20" s="9">
        <v>0</v>
      </c>
      <c r="CL20" s="9">
        <v>0</v>
      </c>
      <c r="CM20" s="9">
        <v>0</v>
      </c>
      <c r="CN20" s="9">
        <v>0</v>
      </c>
      <c r="CO20" s="9">
        <v>0</v>
      </c>
      <c r="CP20" s="9">
        <v>0</v>
      </c>
      <c r="CQ20" s="9">
        <v>0</v>
      </c>
      <c r="CR20" s="9">
        <v>0</v>
      </c>
      <c r="CS20" s="9">
        <v>0</v>
      </c>
      <c r="CT20" s="9">
        <v>0</v>
      </c>
      <c r="CU20" s="9">
        <v>0.97</v>
      </c>
      <c r="CV20" s="9">
        <v>0</v>
      </c>
      <c r="CW20" s="9">
        <v>0</v>
      </c>
      <c r="CX20" s="9">
        <v>0.97</v>
      </c>
      <c r="CY20" s="9">
        <v>0</v>
      </c>
      <c r="CZ20" s="9">
        <v>0.97</v>
      </c>
      <c r="DA20" s="9">
        <v>0</v>
      </c>
      <c r="DB20" s="9">
        <v>0</v>
      </c>
      <c r="DC20" s="9">
        <v>0.97</v>
      </c>
      <c r="DD20" s="9">
        <v>0</v>
      </c>
      <c r="DE20" s="9">
        <v>0</v>
      </c>
      <c r="DF20" s="9">
        <v>0</v>
      </c>
      <c r="DG20" s="9">
        <v>0</v>
      </c>
      <c r="DH20" s="9">
        <v>0</v>
      </c>
      <c r="DI20" s="9">
        <v>0</v>
      </c>
      <c r="DJ20" s="9">
        <v>0</v>
      </c>
      <c r="DK20" s="9">
        <v>0</v>
      </c>
      <c r="DL20" s="9">
        <v>0</v>
      </c>
      <c r="DM20" s="9">
        <v>0</v>
      </c>
      <c r="DN20" s="9">
        <v>0</v>
      </c>
      <c r="DO20" s="9">
        <v>0</v>
      </c>
      <c r="DP20" s="9">
        <v>0</v>
      </c>
      <c r="DQ20" s="9">
        <v>0</v>
      </c>
      <c r="DR20" s="9">
        <v>0</v>
      </c>
      <c r="DS20" s="9">
        <v>0</v>
      </c>
      <c r="DT20" s="9">
        <v>0</v>
      </c>
      <c r="DU20" s="9">
        <v>0</v>
      </c>
      <c r="DV20" s="9">
        <v>0</v>
      </c>
      <c r="DW20" s="9">
        <v>0</v>
      </c>
      <c r="DX20" s="9">
        <v>0</v>
      </c>
      <c r="DY20" s="9">
        <v>0.97</v>
      </c>
      <c r="DZ20" s="9">
        <v>0</v>
      </c>
      <c r="EA20" s="9">
        <v>0</v>
      </c>
      <c r="EB20" s="9">
        <v>0.97</v>
      </c>
    </row>
    <row r="21" spans="1:132" x14ac:dyDescent="0.35">
      <c r="A21" s="5">
        <v>417</v>
      </c>
      <c r="B21" s="5" t="s">
        <v>114</v>
      </c>
      <c r="C21" s="5" t="s">
        <v>115</v>
      </c>
      <c r="D21" s="5" t="s">
        <v>56</v>
      </c>
      <c r="E21" s="5" t="s">
        <v>98</v>
      </c>
      <c r="F21" s="5">
        <v>844</v>
      </c>
      <c r="G21" s="5">
        <v>48</v>
      </c>
      <c r="H21" s="5">
        <v>70581</v>
      </c>
      <c r="I21" s="5" t="s">
        <v>24</v>
      </c>
      <c r="J21" s="5" t="s">
        <v>101</v>
      </c>
      <c r="K21" s="5" t="s">
        <v>100</v>
      </c>
      <c r="L21" s="14">
        <v>1</v>
      </c>
      <c r="M21" s="9">
        <v>0.83</v>
      </c>
      <c r="N21" s="9">
        <v>0</v>
      </c>
      <c r="O21" s="9">
        <v>0</v>
      </c>
      <c r="P21" s="9">
        <v>0</v>
      </c>
      <c r="Q21" s="9">
        <v>0.83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0.83</v>
      </c>
      <c r="AM21" s="9">
        <v>0</v>
      </c>
      <c r="AN21" s="9">
        <v>0</v>
      </c>
      <c r="AO21" s="9">
        <v>0</v>
      </c>
      <c r="AP21" s="9">
        <v>0.83</v>
      </c>
      <c r="AQ21" s="9">
        <v>0.83</v>
      </c>
      <c r="AR21" s="9">
        <v>0</v>
      </c>
      <c r="AS21" s="9">
        <v>0</v>
      </c>
      <c r="AT21" s="9">
        <v>0</v>
      </c>
      <c r="AU21" s="9">
        <v>0.83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9">
        <v>0.83</v>
      </c>
      <c r="BQ21" s="9">
        <v>0</v>
      </c>
      <c r="BR21" s="9">
        <v>0</v>
      </c>
      <c r="BS21" s="9">
        <v>0</v>
      </c>
      <c r="BT21" s="9">
        <v>0.83</v>
      </c>
      <c r="BU21" s="9">
        <v>0.85</v>
      </c>
      <c r="BV21" s="9">
        <v>0</v>
      </c>
      <c r="BW21" s="9">
        <v>0</v>
      </c>
      <c r="BX21" s="9">
        <v>0</v>
      </c>
      <c r="BY21" s="9">
        <v>0.85</v>
      </c>
      <c r="BZ21" s="9">
        <v>0</v>
      </c>
      <c r="CA21" s="9">
        <v>0</v>
      </c>
      <c r="CB21" s="9">
        <v>0</v>
      </c>
      <c r="CC21" s="9">
        <v>0</v>
      </c>
      <c r="CD21" s="9">
        <v>0</v>
      </c>
      <c r="CE21" s="9">
        <v>0</v>
      </c>
      <c r="CF21" s="9">
        <v>0</v>
      </c>
      <c r="CG21" s="9">
        <v>0</v>
      </c>
      <c r="CH21" s="9">
        <v>0</v>
      </c>
      <c r="CI21" s="9">
        <v>0</v>
      </c>
      <c r="CJ21" s="9">
        <v>0</v>
      </c>
      <c r="CK21" s="9">
        <v>0</v>
      </c>
      <c r="CL21" s="9">
        <v>0</v>
      </c>
      <c r="CM21" s="9">
        <v>0</v>
      </c>
      <c r="CN21" s="9">
        <v>0</v>
      </c>
      <c r="CO21" s="9">
        <v>0</v>
      </c>
      <c r="CP21" s="9">
        <v>0</v>
      </c>
      <c r="CQ21" s="9">
        <v>0</v>
      </c>
      <c r="CR21" s="9">
        <v>0</v>
      </c>
      <c r="CS21" s="9">
        <v>0</v>
      </c>
      <c r="CT21" s="9">
        <v>0.85</v>
      </c>
      <c r="CU21" s="9">
        <v>0</v>
      </c>
      <c r="CV21" s="9">
        <v>0</v>
      </c>
      <c r="CW21" s="9">
        <v>0</v>
      </c>
      <c r="CX21" s="9">
        <v>0.85</v>
      </c>
      <c r="CY21" s="9">
        <v>0.85</v>
      </c>
      <c r="CZ21" s="9">
        <v>0</v>
      </c>
      <c r="DA21" s="9">
        <v>0</v>
      </c>
      <c r="DB21" s="9">
        <v>0</v>
      </c>
      <c r="DC21" s="9">
        <v>0.85</v>
      </c>
      <c r="DD21" s="9">
        <v>0</v>
      </c>
      <c r="DE21" s="9">
        <v>0</v>
      </c>
      <c r="DF21" s="9">
        <v>0</v>
      </c>
      <c r="DG21" s="9">
        <v>0</v>
      </c>
      <c r="DH21" s="9">
        <v>0</v>
      </c>
      <c r="DI21" s="9">
        <v>0</v>
      </c>
      <c r="DJ21" s="9">
        <v>0</v>
      </c>
      <c r="DK21" s="9">
        <v>0</v>
      </c>
      <c r="DL21" s="9">
        <v>0</v>
      </c>
      <c r="DM21" s="9">
        <v>0</v>
      </c>
      <c r="DN21" s="9">
        <v>0</v>
      </c>
      <c r="DO21" s="9">
        <v>0</v>
      </c>
      <c r="DP21" s="9">
        <v>0</v>
      </c>
      <c r="DQ21" s="9">
        <v>0</v>
      </c>
      <c r="DR21" s="9">
        <v>0</v>
      </c>
      <c r="DS21" s="9">
        <v>0</v>
      </c>
      <c r="DT21" s="9">
        <v>0</v>
      </c>
      <c r="DU21" s="9">
        <v>0</v>
      </c>
      <c r="DV21" s="9">
        <v>0</v>
      </c>
      <c r="DW21" s="9">
        <v>0</v>
      </c>
      <c r="DX21" s="9">
        <v>0.85</v>
      </c>
      <c r="DY21" s="9">
        <v>0</v>
      </c>
      <c r="DZ21" s="9">
        <v>0</v>
      </c>
      <c r="EA21" s="9">
        <v>0</v>
      </c>
      <c r="EB21" s="9">
        <v>0.85</v>
      </c>
    </row>
    <row r="22" spans="1:132" x14ac:dyDescent="0.35">
      <c r="A22" s="5">
        <v>420</v>
      </c>
      <c r="B22" s="5" t="s">
        <v>114</v>
      </c>
      <c r="C22" s="5" t="s">
        <v>116</v>
      </c>
      <c r="D22" s="5" t="s">
        <v>54</v>
      </c>
      <c r="E22" s="5" t="s">
        <v>101</v>
      </c>
      <c r="F22" s="5">
        <v>403</v>
      </c>
      <c r="G22" s="5">
        <v>21</v>
      </c>
      <c r="H22" s="5">
        <v>65300</v>
      </c>
      <c r="I22" s="5" t="s">
        <v>117</v>
      </c>
      <c r="J22" s="5" t="s">
        <v>98</v>
      </c>
      <c r="K22" s="5" t="s">
        <v>100</v>
      </c>
      <c r="L22" s="14">
        <v>1.0522582756000001</v>
      </c>
      <c r="M22" s="9">
        <v>1.75</v>
      </c>
      <c r="N22" s="9">
        <v>0.95</v>
      </c>
      <c r="O22" s="9">
        <v>0.83</v>
      </c>
      <c r="P22" s="9">
        <v>0</v>
      </c>
      <c r="Q22" s="9">
        <v>3.53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1.75</v>
      </c>
      <c r="AM22" s="9">
        <v>0.95</v>
      </c>
      <c r="AN22" s="9">
        <v>0.83</v>
      </c>
      <c r="AO22" s="9">
        <v>0</v>
      </c>
      <c r="AP22" s="9">
        <v>3.53</v>
      </c>
      <c r="AQ22" s="9">
        <v>1.84</v>
      </c>
      <c r="AR22" s="9">
        <v>1</v>
      </c>
      <c r="AS22" s="9">
        <v>0.87</v>
      </c>
      <c r="AT22" s="9">
        <v>0</v>
      </c>
      <c r="AU22" s="9">
        <v>3.71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1.84</v>
      </c>
      <c r="BQ22" s="9">
        <v>1</v>
      </c>
      <c r="BR22" s="9">
        <v>0.87</v>
      </c>
      <c r="BS22" s="9">
        <v>0</v>
      </c>
      <c r="BT22" s="9">
        <v>3.71</v>
      </c>
      <c r="BU22" s="9">
        <v>1.78</v>
      </c>
      <c r="BV22" s="9">
        <v>2.82</v>
      </c>
      <c r="BW22" s="9">
        <v>1.77</v>
      </c>
      <c r="BX22" s="9">
        <v>0.88</v>
      </c>
      <c r="BY22" s="9">
        <v>7.25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</v>
      </c>
      <c r="CF22" s="9">
        <v>0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1.78</v>
      </c>
      <c r="CU22" s="9">
        <v>2.82</v>
      </c>
      <c r="CV22" s="9">
        <v>1.77</v>
      </c>
      <c r="CW22" s="9">
        <v>0.88</v>
      </c>
      <c r="CX22" s="9">
        <v>7.25</v>
      </c>
      <c r="CY22" s="9">
        <v>1.87</v>
      </c>
      <c r="CZ22" s="9">
        <v>2.97</v>
      </c>
      <c r="DA22" s="9">
        <v>1.86</v>
      </c>
      <c r="DB22" s="9">
        <v>0.93</v>
      </c>
      <c r="DC22" s="9">
        <v>7.63</v>
      </c>
      <c r="DD22" s="9">
        <v>0</v>
      </c>
      <c r="DE22" s="9">
        <v>0</v>
      </c>
      <c r="DF22" s="9">
        <v>0</v>
      </c>
      <c r="DG22" s="9">
        <v>0</v>
      </c>
      <c r="DH22" s="9">
        <v>0</v>
      </c>
      <c r="DI22" s="9">
        <v>0</v>
      </c>
      <c r="DJ22" s="9">
        <v>0</v>
      </c>
      <c r="DK22" s="9">
        <v>0</v>
      </c>
      <c r="DL22" s="9">
        <v>0</v>
      </c>
      <c r="DM22" s="9">
        <v>0</v>
      </c>
      <c r="DN22" s="9">
        <v>0</v>
      </c>
      <c r="DO22" s="9">
        <v>0</v>
      </c>
      <c r="DP22" s="9">
        <v>0</v>
      </c>
      <c r="DQ22" s="9">
        <v>0</v>
      </c>
      <c r="DR22" s="9">
        <v>0</v>
      </c>
      <c r="DS22" s="9">
        <v>0</v>
      </c>
      <c r="DT22" s="9">
        <v>0</v>
      </c>
      <c r="DU22" s="9">
        <v>0</v>
      </c>
      <c r="DV22" s="9">
        <v>0</v>
      </c>
      <c r="DW22" s="9">
        <v>0</v>
      </c>
      <c r="DX22" s="9">
        <v>1.87</v>
      </c>
      <c r="DY22" s="9">
        <v>2.97</v>
      </c>
      <c r="DZ22" s="9">
        <v>1.86</v>
      </c>
      <c r="EA22" s="9">
        <v>0.93</v>
      </c>
      <c r="EB22" s="9">
        <v>7.63</v>
      </c>
    </row>
    <row r="23" spans="1:132" x14ac:dyDescent="0.35">
      <c r="A23" s="5">
        <v>420</v>
      </c>
      <c r="B23" s="5" t="s">
        <v>114</v>
      </c>
      <c r="C23" s="5" t="s">
        <v>116</v>
      </c>
      <c r="D23" s="5" t="s">
        <v>54</v>
      </c>
      <c r="E23" s="5" t="s">
        <v>101</v>
      </c>
      <c r="F23" s="5">
        <v>406</v>
      </c>
      <c r="G23" s="5">
        <v>21</v>
      </c>
      <c r="H23" s="5">
        <v>65342</v>
      </c>
      <c r="I23" s="5" t="s">
        <v>118</v>
      </c>
      <c r="J23" s="5" t="s">
        <v>98</v>
      </c>
      <c r="K23" s="5" t="s">
        <v>100</v>
      </c>
      <c r="L23" s="14">
        <v>1.0522582756000001</v>
      </c>
      <c r="M23" s="9">
        <v>0</v>
      </c>
      <c r="N23" s="9">
        <v>1.97</v>
      </c>
      <c r="O23" s="9">
        <v>0.94</v>
      </c>
      <c r="P23" s="9">
        <v>0</v>
      </c>
      <c r="Q23" s="9">
        <v>2.91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1.97</v>
      </c>
      <c r="AN23" s="9">
        <v>0.94</v>
      </c>
      <c r="AO23" s="9">
        <v>0</v>
      </c>
      <c r="AP23" s="9">
        <v>2.91</v>
      </c>
      <c r="AQ23" s="9">
        <v>0</v>
      </c>
      <c r="AR23" s="9">
        <v>2.0699999999999998</v>
      </c>
      <c r="AS23" s="9">
        <v>0.99</v>
      </c>
      <c r="AT23" s="9">
        <v>0</v>
      </c>
      <c r="AU23" s="9">
        <v>3.06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2.0699999999999998</v>
      </c>
      <c r="BR23" s="9">
        <v>0.99</v>
      </c>
      <c r="BS23" s="9">
        <v>0</v>
      </c>
      <c r="BT23" s="9">
        <v>3.06</v>
      </c>
      <c r="BU23" s="9">
        <v>0</v>
      </c>
      <c r="BV23" s="9">
        <v>1.97</v>
      </c>
      <c r="BW23" s="9">
        <v>0.95</v>
      </c>
      <c r="BX23" s="9">
        <v>0</v>
      </c>
      <c r="BY23" s="9">
        <v>2.92</v>
      </c>
      <c r="BZ23" s="9">
        <v>0</v>
      </c>
      <c r="CA23" s="9">
        <v>0</v>
      </c>
      <c r="CB23" s="9">
        <v>0</v>
      </c>
      <c r="CC23" s="9">
        <v>0</v>
      </c>
      <c r="CD23" s="9">
        <v>0</v>
      </c>
      <c r="CE23" s="9">
        <v>0</v>
      </c>
      <c r="CF23" s="9">
        <v>0</v>
      </c>
      <c r="CG23" s="9">
        <v>0</v>
      </c>
      <c r="CH23" s="9">
        <v>0</v>
      </c>
      <c r="CI23" s="9">
        <v>0</v>
      </c>
      <c r="CJ23" s="9">
        <v>0</v>
      </c>
      <c r="CK23" s="9">
        <v>0</v>
      </c>
      <c r="CL23" s="9">
        <v>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9">
        <v>0</v>
      </c>
      <c r="CT23" s="9">
        <v>0</v>
      </c>
      <c r="CU23" s="9">
        <v>1.97</v>
      </c>
      <c r="CV23" s="9">
        <v>0.95</v>
      </c>
      <c r="CW23" s="9">
        <v>0</v>
      </c>
      <c r="CX23" s="9">
        <v>2.92</v>
      </c>
      <c r="CY23" s="9">
        <v>0</v>
      </c>
      <c r="CZ23" s="9">
        <v>2.0699999999999998</v>
      </c>
      <c r="DA23" s="9">
        <v>1</v>
      </c>
      <c r="DB23" s="9">
        <v>0</v>
      </c>
      <c r="DC23" s="9">
        <v>3.07</v>
      </c>
      <c r="DD23" s="9">
        <v>0</v>
      </c>
      <c r="DE23" s="9">
        <v>0</v>
      </c>
      <c r="DF23" s="9">
        <v>0</v>
      </c>
      <c r="DG23" s="9">
        <v>0</v>
      </c>
      <c r="DH23" s="9">
        <v>0</v>
      </c>
      <c r="DI23" s="9">
        <v>0</v>
      </c>
      <c r="DJ23" s="9">
        <v>0</v>
      </c>
      <c r="DK23" s="9">
        <v>0</v>
      </c>
      <c r="DL23" s="9">
        <v>0</v>
      </c>
      <c r="DM23" s="9">
        <v>0</v>
      </c>
      <c r="DN23" s="9">
        <v>0</v>
      </c>
      <c r="DO23" s="9">
        <v>0</v>
      </c>
      <c r="DP23" s="9">
        <v>0</v>
      </c>
      <c r="DQ23" s="9">
        <v>0</v>
      </c>
      <c r="DR23" s="9">
        <v>0</v>
      </c>
      <c r="DS23" s="9">
        <v>0</v>
      </c>
      <c r="DT23" s="9">
        <v>0</v>
      </c>
      <c r="DU23" s="9">
        <v>0</v>
      </c>
      <c r="DV23" s="9">
        <v>0</v>
      </c>
      <c r="DW23" s="9">
        <v>0</v>
      </c>
      <c r="DX23" s="9">
        <v>0</v>
      </c>
      <c r="DY23" s="9">
        <v>2.0699999999999998</v>
      </c>
      <c r="DZ23" s="9">
        <v>1</v>
      </c>
      <c r="EA23" s="9">
        <v>0</v>
      </c>
      <c r="EB23" s="9">
        <v>3.07</v>
      </c>
    </row>
    <row r="24" spans="1:132" x14ac:dyDescent="0.35">
      <c r="A24" s="5">
        <v>420</v>
      </c>
      <c r="B24" s="5" t="s">
        <v>114</v>
      </c>
      <c r="C24" s="5" t="s">
        <v>116</v>
      </c>
      <c r="D24" s="5" t="s">
        <v>54</v>
      </c>
      <c r="E24" s="5" t="s">
        <v>101</v>
      </c>
      <c r="F24" s="5">
        <v>411</v>
      </c>
      <c r="G24" s="5">
        <v>21</v>
      </c>
      <c r="H24" s="5">
        <v>65409</v>
      </c>
      <c r="I24" s="5" t="s">
        <v>59</v>
      </c>
      <c r="J24" s="5" t="s">
        <v>98</v>
      </c>
      <c r="K24" s="5" t="s">
        <v>100</v>
      </c>
      <c r="L24" s="14">
        <v>1.0522582756000001</v>
      </c>
      <c r="M24" s="9">
        <v>0</v>
      </c>
      <c r="N24" s="9">
        <v>1.71</v>
      </c>
      <c r="O24" s="9">
        <v>0</v>
      </c>
      <c r="P24" s="9">
        <v>0</v>
      </c>
      <c r="Q24" s="9">
        <v>1.71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1.71</v>
      </c>
      <c r="AN24" s="9">
        <v>0</v>
      </c>
      <c r="AO24" s="9">
        <v>0</v>
      </c>
      <c r="AP24" s="9">
        <v>1.71</v>
      </c>
      <c r="AQ24" s="9">
        <v>0</v>
      </c>
      <c r="AR24" s="9">
        <v>1.8</v>
      </c>
      <c r="AS24" s="9">
        <v>0</v>
      </c>
      <c r="AT24" s="9">
        <v>0</v>
      </c>
      <c r="AU24" s="9">
        <v>1.8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v>0</v>
      </c>
      <c r="BQ24" s="9">
        <v>1.8</v>
      </c>
      <c r="BR24" s="9">
        <v>0</v>
      </c>
      <c r="BS24" s="9">
        <v>0</v>
      </c>
      <c r="BT24" s="9">
        <v>1.8</v>
      </c>
      <c r="BU24" s="9">
        <v>0</v>
      </c>
      <c r="BV24" s="9">
        <v>1.74</v>
      </c>
      <c r="BW24" s="9">
        <v>0</v>
      </c>
      <c r="BX24" s="9">
        <v>0</v>
      </c>
      <c r="BY24" s="9">
        <v>1.74</v>
      </c>
      <c r="BZ24" s="9">
        <v>0</v>
      </c>
      <c r="CA24" s="9">
        <v>0</v>
      </c>
      <c r="CB24" s="9">
        <v>0</v>
      </c>
      <c r="CC24" s="9">
        <v>0</v>
      </c>
      <c r="CD24" s="9">
        <v>0</v>
      </c>
      <c r="CE24" s="9">
        <v>0</v>
      </c>
      <c r="CF24" s="9">
        <v>0</v>
      </c>
      <c r="CG24" s="9">
        <v>0</v>
      </c>
      <c r="CH24" s="9">
        <v>0</v>
      </c>
      <c r="CI24" s="9">
        <v>0</v>
      </c>
      <c r="CJ24" s="9">
        <v>0</v>
      </c>
      <c r="CK24" s="9">
        <v>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9">
        <v>0</v>
      </c>
      <c r="CT24" s="9">
        <v>0</v>
      </c>
      <c r="CU24" s="9">
        <v>1.74</v>
      </c>
      <c r="CV24" s="9">
        <v>0</v>
      </c>
      <c r="CW24" s="9">
        <v>0</v>
      </c>
      <c r="CX24" s="9">
        <v>1.74</v>
      </c>
      <c r="CY24" s="9">
        <v>0</v>
      </c>
      <c r="CZ24" s="9">
        <v>1.83</v>
      </c>
      <c r="DA24" s="9">
        <v>0</v>
      </c>
      <c r="DB24" s="9">
        <v>0</v>
      </c>
      <c r="DC24" s="9">
        <v>1.83</v>
      </c>
      <c r="DD24" s="9">
        <v>0</v>
      </c>
      <c r="DE24" s="9">
        <v>0</v>
      </c>
      <c r="DF24" s="9">
        <v>0</v>
      </c>
      <c r="DG24" s="9">
        <v>0</v>
      </c>
      <c r="DH24" s="9">
        <v>0</v>
      </c>
      <c r="DI24" s="9">
        <v>0</v>
      </c>
      <c r="DJ24" s="9">
        <v>0</v>
      </c>
      <c r="DK24" s="9">
        <v>0</v>
      </c>
      <c r="DL24" s="9">
        <v>0</v>
      </c>
      <c r="DM24" s="9">
        <v>0</v>
      </c>
      <c r="DN24" s="9">
        <v>0</v>
      </c>
      <c r="DO24" s="9">
        <v>0</v>
      </c>
      <c r="DP24" s="9">
        <v>0</v>
      </c>
      <c r="DQ24" s="9">
        <v>0</v>
      </c>
      <c r="DR24" s="9">
        <v>0</v>
      </c>
      <c r="DS24" s="9">
        <v>0</v>
      </c>
      <c r="DT24" s="9">
        <v>0</v>
      </c>
      <c r="DU24" s="9">
        <v>0</v>
      </c>
      <c r="DV24" s="9">
        <v>0</v>
      </c>
      <c r="DW24" s="9">
        <v>0</v>
      </c>
      <c r="DX24" s="9">
        <v>0</v>
      </c>
      <c r="DY24" s="9">
        <v>1.83</v>
      </c>
      <c r="DZ24" s="9">
        <v>0</v>
      </c>
      <c r="EA24" s="9">
        <v>0</v>
      </c>
      <c r="EB24" s="9">
        <v>1.83</v>
      </c>
    </row>
    <row r="25" spans="1:132" x14ac:dyDescent="0.35">
      <c r="A25" s="5">
        <v>420</v>
      </c>
      <c r="B25" s="5" t="s">
        <v>114</v>
      </c>
      <c r="C25" s="5" t="s">
        <v>116</v>
      </c>
      <c r="D25" s="5" t="s">
        <v>54</v>
      </c>
      <c r="E25" s="5" t="s">
        <v>101</v>
      </c>
      <c r="F25" s="5">
        <v>412</v>
      </c>
      <c r="G25" s="5">
        <v>21</v>
      </c>
      <c r="H25" s="5">
        <v>65417</v>
      </c>
      <c r="I25" s="5" t="s">
        <v>58</v>
      </c>
      <c r="J25" s="5" t="s">
        <v>101</v>
      </c>
      <c r="K25" s="5" t="s">
        <v>100</v>
      </c>
      <c r="L25" s="14">
        <v>1.0522582756000001</v>
      </c>
      <c r="M25" s="9">
        <v>0</v>
      </c>
      <c r="N25" s="9">
        <v>0.8</v>
      </c>
      <c r="O25" s="9">
        <v>0</v>
      </c>
      <c r="P25" s="9">
        <v>0</v>
      </c>
      <c r="Q25" s="9">
        <v>0.8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0.8</v>
      </c>
      <c r="AN25" s="9">
        <v>0</v>
      </c>
      <c r="AO25" s="9">
        <v>0</v>
      </c>
      <c r="AP25" s="9">
        <v>0.8</v>
      </c>
      <c r="AQ25" s="9">
        <v>0</v>
      </c>
      <c r="AR25" s="9">
        <v>0.84</v>
      </c>
      <c r="AS25" s="9">
        <v>0</v>
      </c>
      <c r="AT25" s="9">
        <v>0</v>
      </c>
      <c r="AU25" s="9">
        <v>0.84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0.84</v>
      </c>
      <c r="BR25" s="9">
        <v>0</v>
      </c>
      <c r="BS25" s="9">
        <v>0</v>
      </c>
      <c r="BT25" s="9">
        <v>0.84</v>
      </c>
      <c r="BU25" s="9">
        <v>0</v>
      </c>
      <c r="BV25" s="9">
        <v>0.8</v>
      </c>
      <c r="BW25" s="9">
        <v>0</v>
      </c>
      <c r="BX25" s="9">
        <v>0</v>
      </c>
      <c r="BY25" s="9">
        <v>0.8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0.8</v>
      </c>
      <c r="CV25" s="9">
        <v>0</v>
      </c>
      <c r="CW25" s="9">
        <v>0</v>
      </c>
      <c r="CX25" s="9">
        <v>0.8</v>
      </c>
      <c r="CY25" s="9">
        <v>0</v>
      </c>
      <c r="CZ25" s="9">
        <v>0.84</v>
      </c>
      <c r="DA25" s="9">
        <v>0</v>
      </c>
      <c r="DB25" s="9">
        <v>0</v>
      </c>
      <c r="DC25" s="9">
        <v>0.84</v>
      </c>
      <c r="DD25" s="9">
        <v>0</v>
      </c>
      <c r="DE25" s="9">
        <v>0</v>
      </c>
      <c r="DF25" s="9">
        <v>0</v>
      </c>
      <c r="DG25" s="9">
        <v>0</v>
      </c>
      <c r="DH25" s="9">
        <v>0</v>
      </c>
      <c r="DI25" s="9">
        <v>0</v>
      </c>
      <c r="DJ25" s="9">
        <v>0</v>
      </c>
      <c r="DK25" s="9">
        <v>0</v>
      </c>
      <c r="DL25" s="9">
        <v>0</v>
      </c>
      <c r="DM25" s="9">
        <v>0</v>
      </c>
      <c r="DN25" s="9">
        <v>0</v>
      </c>
      <c r="DO25" s="9">
        <v>0</v>
      </c>
      <c r="DP25" s="9">
        <v>0</v>
      </c>
      <c r="DQ25" s="9">
        <v>0</v>
      </c>
      <c r="DR25" s="9">
        <v>0</v>
      </c>
      <c r="DS25" s="9">
        <v>0</v>
      </c>
      <c r="DT25" s="9">
        <v>0</v>
      </c>
      <c r="DU25" s="9">
        <v>0</v>
      </c>
      <c r="DV25" s="9">
        <v>0</v>
      </c>
      <c r="DW25" s="9">
        <v>0</v>
      </c>
      <c r="DX25" s="9">
        <v>0</v>
      </c>
      <c r="DY25" s="9">
        <v>0.84</v>
      </c>
      <c r="DZ25" s="9">
        <v>0</v>
      </c>
      <c r="EA25" s="9">
        <v>0</v>
      </c>
      <c r="EB25" s="9">
        <v>0.84</v>
      </c>
    </row>
    <row r="26" spans="1:132" x14ac:dyDescent="0.35">
      <c r="A26" s="5">
        <v>420</v>
      </c>
      <c r="B26" s="5" t="s">
        <v>114</v>
      </c>
      <c r="C26" s="5" t="s">
        <v>116</v>
      </c>
      <c r="D26" s="5" t="s">
        <v>54</v>
      </c>
      <c r="E26" s="5" t="s">
        <v>101</v>
      </c>
      <c r="F26" s="5">
        <v>418</v>
      </c>
      <c r="G26" s="5">
        <v>21</v>
      </c>
      <c r="H26" s="5">
        <v>65482</v>
      </c>
      <c r="I26" s="5" t="s">
        <v>55</v>
      </c>
      <c r="J26" s="5" t="s">
        <v>119</v>
      </c>
      <c r="K26" s="5" t="s">
        <v>100</v>
      </c>
      <c r="L26" s="14">
        <v>1.0522582756000001</v>
      </c>
      <c r="M26" s="9">
        <v>0</v>
      </c>
      <c r="N26" s="9">
        <v>0</v>
      </c>
      <c r="O26" s="9">
        <v>0</v>
      </c>
      <c r="P26" s="9">
        <v>1.76</v>
      </c>
      <c r="Q26" s="9">
        <v>1.76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1.76</v>
      </c>
      <c r="AP26" s="9">
        <v>1.76</v>
      </c>
      <c r="AQ26" s="9">
        <v>0</v>
      </c>
      <c r="AR26" s="9">
        <v>0</v>
      </c>
      <c r="AS26" s="9">
        <v>0</v>
      </c>
      <c r="AT26" s="9">
        <v>1.85</v>
      </c>
      <c r="AU26" s="9">
        <v>1.85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9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0</v>
      </c>
      <c r="BI26" s="9">
        <v>0</v>
      </c>
      <c r="BJ26" s="9">
        <v>0</v>
      </c>
      <c r="BK26" s="9">
        <v>0</v>
      </c>
      <c r="BL26" s="9">
        <v>0</v>
      </c>
      <c r="BM26" s="9">
        <v>0</v>
      </c>
      <c r="BN26" s="9">
        <v>0</v>
      </c>
      <c r="BO26" s="9">
        <v>0</v>
      </c>
      <c r="BP26" s="9">
        <v>0</v>
      </c>
      <c r="BQ26" s="9">
        <v>0</v>
      </c>
      <c r="BR26" s="9">
        <v>0</v>
      </c>
      <c r="BS26" s="9">
        <v>1.85</v>
      </c>
      <c r="BT26" s="9">
        <v>1.85</v>
      </c>
      <c r="BU26" s="9">
        <v>0</v>
      </c>
      <c r="BV26" s="9">
        <v>0</v>
      </c>
      <c r="BW26" s="9">
        <v>0</v>
      </c>
      <c r="BX26" s="9">
        <v>1.77</v>
      </c>
      <c r="BY26" s="9">
        <v>1.77</v>
      </c>
      <c r="BZ26" s="9">
        <v>0</v>
      </c>
      <c r="CA26" s="9">
        <v>0</v>
      </c>
      <c r="CB26" s="9">
        <v>0</v>
      </c>
      <c r="CC26" s="9">
        <v>0</v>
      </c>
      <c r="CD26" s="9">
        <v>0</v>
      </c>
      <c r="CE26" s="9">
        <v>0</v>
      </c>
      <c r="CF26" s="9">
        <v>0</v>
      </c>
      <c r="CG26" s="9">
        <v>0</v>
      </c>
      <c r="CH26" s="9">
        <v>0</v>
      </c>
      <c r="CI26" s="9">
        <v>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9">
        <v>0</v>
      </c>
      <c r="CT26" s="9">
        <v>0</v>
      </c>
      <c r="CU26" s="9">
        <v>0</v>
      </c>
      <c r="CV26" s="9">
        <v>0</v>
      </c>
      <c r="CW26" s="9">
        <v>1.77</v>
      </c>
      <c r="CX26" s="9">
        <v>1.77</v>
      </c>
      <c r="CY26" s="9">
        <v>0</v>
      </c>
      <c r="CZ26" s="9">
        <v>0</v>
      </c>
      <c r="DA26" s="9">
        <v>0</v>
      </c>
      <c r="DB26" s="9">
        <v>1.86</v>
      </c>
      <c r="DC26" s="9">
        <v>1.86</v>
      </c>
      <c r="DD26" s="9">
        <v>0</v>
      </c>
      <c r="DE26" s="9">
        <v>0</v>
      </c>
      <c r="DF26" s="9">
        <v>0</v>
      </c>
      <c r="DG26" s="9">
        <v>0</v>
      </c>
      <c r="DH26" s="9">
        <v>0</v>
      </c>
      <c r="DI26" s="9">
        <v>0</v>
      </c>
      <c r="DJ26" s="9">
        <v>0</v>
      </c>
      <c r="DK26" s="9">
        <v>0</v>
      </c>
      <c r="DL26" s="9">
        <v>0</v>
      </c>
      <c r="DM26" s="9">
        <v>0</v>
      </c>
      <c r="DN26" s="9">
        <v>0</v>
      </c>
      <c r="DO26" s="9">
        <v>0</v>
      </c>
      <c r="DP26" s="9">
        <v>0</v>
      </c>
      <c r="DQ26" s="9">
        <v>0</v>
      </c>
      <c r="DR26" s="9">
        <v>0</v>
      </c>
      <c r="DS26" s="9">
        <v>0</v>
      </c>
      <c r="DT26" s="9">
        <v>0</v>
      </c>
      <c r="DU26" s="9">
        <v>0</v>
      </c>
      <c r="DV26" s="9">
        <v>0</v>
      </c>
      <c r="DW26" s="9">
        <v>0</v>
      </c>
      <c r="DX26" s="9">
        <v>0</v>
      </c>
      <c r="DY26" s="9">
        <v>0</v>
      </c>
      <c r="DZ26" s="9">
        <v>0</v>
      </c>
      <c r="EA26" s="9">
        <v>1.86</v>
      </c>
      <c r="EB26" s="9">
        <v>1.86</v>
      </c>
    </row>
    <row r="27" spans="1:132" x14ac:dyDescent="0.35">
      <c r="A27" s="5">
        <v>420</v>
      </c>
      <c r="B27" s="5" t="s">
        <v>114</v>
      </c>
      <c r="C27" s="5" t="s">
        <v>116</v>
      </c>
      <c r="D27" s="5" t="s">
        <v>54</v>
      </c>
      <c r="E27" s="5" t="s">
        <v>101</v>
      </c>
      <c r="F27" s="5">
        <v>841</v>
      </c>
      <c r="G27" s="5">
        <v>48</v>
      </c>
      <c r="H27" s="5">
        <v>70540</v>
      </c>
      <c r="I27" s="5" t="s">
        <v>25</v>
      </c>
      <c r="J27" s="5" t="s">
        <v>101</v>
      </c>
      <c r="K27" s="5" t="s">
        <v>100</v>
      </c>
      <c r="L27" s="14">
        <v>1.0522582756000001</v>
      </c>
      <c r="M27" s="9">
        <v>0.85</v>
      </c>
      <c r="N27" s="9">
        <v>0.87</v>
      </c>
      <c r="O27" s="9">
        <v>0</v>
      </c>
      <c r="P27" s="9">
        <v>0</v>
      </c>
      <c r="Q27" s="9">
        <v>1.72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0.85</v>
      </c>
      <c r="AM27" s="9">
        <v>0.87</v>
      </c>
      <c r="AN27" s="9">
        <v>0</v>
      </c>
      <c r="AO27" s="9">
        <v>0</v>
      </c>
      <c r="AP27" s="9">
        <v>1.72</v>
      </c>
      <c r="AQ27" s="9">
        <v>0.89</v>
      </c>
      <c r="AR27" s="9">
        <v>0.92</v>
      </c>
      <c r="AS27" s="9">
        <v>0</v>
      </c>
      <c r="AT27" s="9">
        <v>0</v>
      </c>
      <c r="AU27" s="9">
        <v>1.81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  <c r="BO27" s="9">
        <v>0</v>
      </c>
      <c r="BP27" s="9">
        <v>0.89</v>
      </c>
      <c r="BQ27" s="9">
        <v>0.92</v>
      </c>
      <c r="BR27" s="9">
        <v>0</v>
      </c>
      <c r="BS27" s="9">
        <v>0</v>
      </c>
      <c r="BT27" s="9">
        <v>1.81</v>
      </c>
      <c r="BU27" s="9">
        <v>0.86</v>
      </c>
      <c r="BV27" s="9">
        <v>0.87</v>
      </c>
      <c r="BW27" s="9">
        <v>0</v>
      </c>
      <c r="BX27" s="9">
        <v>0</v>
      </c>
      <c r="BY27" s="9">
        <v>1.73</v>
      </c>
      <c r="BZ27" s="9">
        <v>0</v>
      </c>
      <c r="CA27" s="9">
        <v>0</v>
      </c>
      <c r="CB27" s="9">
        <v>0</v>
      </c>
      <c r="CC27" s="9">
        <v>0</v>
      </c>
      <c r="CD27" s="9">
        <v>0</v>
      </c>
      <c r="CE27" s="9">
        <v>0</v>
      </c>
      <c r="CF27" s="9">
        <v>0</v>
      </c>
      <c r="CG27" s="9">
        <v>0</v>
      </c>
      <c r="CH27" s="9">
        <v>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9">
        <v>0</v>
      </c>
      <c r="CT27" s="9">
        <v>0.86</v>
      </c>
      <c r="CU27" s="9">
        <v>0.87</v>
      </c>
      <c r="CV27" s="9">
        <v>0</v>
      </c>
      <c r="CW27" s="9">
        <v>0</v>
      </c>
      <c r="CX27" s="9">
        <v>1.73</v>
      </c>
      <c r="CY27" s="9">
        <v>0.9</v>
      </c>
      <c r="CZ27" s="9">
        <v>0.92</v>
      </c>
      <c r="DA27" s="9">
        <v>0</v>
      </c>
      <c r="DB27" s="9">
        <v>0</v>
      </c>
      <c r="DC27" s="9">
        <v>1.82</v>
      </c>
      <c r="DD27" s="9">
        <v>0</v>
      </c>
      <c r="DE27" s="9">
        <v>0</v>
      </c>
      <c r="DF27" s="9">
        <v>0</v>
      </c>
      <c r="DG27" s="9">
        <v>0</v>
      </c>
      <c r="DH27" s="9">
        <v>0</v>
      </c>
      <c r="DI27" s="9">
        <v>0</v>
      </c>
      <c r="DJ27" s="9">
        <v>0</v>
      </c>
      <c r="DK27" s="9">
        <v>0</v>
      </c>
      <c r="DL27" s="9">
        <v>0</v>
      </c>
      <c r="DM27" s="9">
        <v>0</v>
      </c>
      <c r="DN27" s="9">
        <v>0</v>
      </c>
      <c r="DO27" s="9">
        <v>0</v>
      </c>
      <c r="DP27" s="9">
        <v>0</v>
      </c>
      <c r="DQ27" s="9">
        <v>0</v>
      </c>
      <c r="DR27" s="9">
        <v>0</v>
      </c>
      <c r="DS27" s="9">
        <v>0</v>
      </c>
      <c r="DT27" s="9">
        <v>0</v>
      </c>
      <c r="DU27" s="9">
        <v>0</v>
      </c>
      <c r="DV27" s="9">
        <v>0</v>
      </c>
      <c r="DW27" s="9">
        <v>0</v>
      </c>
      <c r="DX27" s="9">
        <v>0.9</v>
      </c>
      <c r="DY27" s="9">
        <v>0.92</v>
      </c>
      <c r="DZ27" s="9">
        <v>0</v>
      </c>
      <c r="EA27" s="9">
        <v>0</v>
      </c>
      <c r="EB27" s="9">
        <v>1.82</v>
      </c>
    </row>
    <row r="28" spans="1:132" ht="31" x14ac:dyDescent="0.35">
      <c r="A28" s="5">
        <v>420</v>
      </c>
      <c r="B28" s="5" t="s">
        <v>114</v>
      </c>
      <c r="C28" s="5" t="s">
        <v>116</v>
      </c>
      <c r="D28" s="5" t="s">
        <v>54</v>
      </c>
      <c r="E28" s="5" t="s">
        <v>101</v>
      </c>
      <c r="F28" s="5">
        <v>846</v>
      </c>
      <c r="G28" s="5">
        <v>49</v>
      </c>
      <c r="H28" s="5">
        <v>70607</v>
      </c>
      <c r="I28" s="5" t="s">
        <v>23</v>
      </c>
      <c r="J28" s="5" t="s">
        <v>119</v>
      </c>
      <c r="K28" s="5" t="s">
        <v>100</v>
      </c>
      <c r="L28" s="14">
        <v>1.0522582756000001</v>
      </c>
      <c r="M28" s="9">
        <v>0</v>
      </c>
      <c r="N28" s="9">
        <v>0</v>
      </c>
      <c r="O28" s="9">
        <v>0</v>
      </c>
      <c r="P28" s="9">
        <v>1.66</v>
      </c>
      <c r="Q28" s="9">
        <v>1.66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1.66</v>
      </c>
      <c r="AP28" s="9">
        <v>1.66</v>
      </c>
      <c r="AQ28" s="9">
        <v>0</v>
      </c>
      <c r="AR28" s="9">
        <v>0</v>
      </c>
      <c r="AS28" s="9">
        <v>0</v>
      </c>
      <c r="AT28" s="9">
        <v>1.75</v>
      </c>
      <c r="AU28" s="9">
        <v>1.75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1.75</v>
      </c>
      <c r="BT28" s="9">
        <v>1.75</v>
      </c>
      <c r="BU28" s="9">
        <v>0</v>
      </c>
      <c r="BV28" s="9">
        <v>0</v>
      </c>
      <c r="BW28" s="9">
        <v>0</v>
      </c>
      <c r="BX28" s="9">
        <v>1.66</v>
      </c>
      <c r="BY28" s="9">
        <v>1.66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9">
        <v>0</v>
      </c>
      <c r="CW28" s="9">
        <v>1.66</v>
      </c>
      <c r="CX28" s="9">
        <v>1.66</v>
      </c>
      <c r="CY28" s="9">
        <v>0</v>
      </c>
      <c r="CZ28" s="9">
        <v>0</v>
      </c>
      <c r="DA28" s="9">
        <v>0</v>
      </c>
      <c r="DB28" s="9">
        <v>1.75</v>
      </c>
      <c r="DC28" s="9">
        <v>1.75</v>
      </c>
      <c r="DD28" s="9">
        <v>0</v>
      </c>
      <c r="DE28" s="9">
        <v>0</v>
      </c>
      <c r="DF28" s="9">
        <v>0</v>
      </c>
      <c r="DG28" s="9">
        <v>0</v>
      </c>
      <c r="DH28" s="9">
        <v>0</v>
      </c>
      <c r="DI28" s="9">
        <v>0</v>
      </c>
      <c r="DJ28" s="9">
        <v>0</v>
      </c>
      <c r="DK28" s="9">
        <v>0</v>
      </c>
      <c r="DL28" s="9">
        <v>0</v>
      </c>
      <c r="DM28" s="9">
        <v>0</v>
      </c>
      <c r="DN28" s="9">
        <v>0</v>
      </c>
      <c r="DO28" s="9">
        <v>0</v>
      </c>
      <c r="DP28" s="9">
        <v>0</v>
      </c>
      <c r="DQ28" s="9">
        <v>0</v>
      </c>
      <c r="DR28" s="9">
        <v>0</v>
      </c>
      <c r="DS28" s="9">
        <v>0</v>
      </c>
      <c r="DT28" s="9">
        <v>0</v>
      </c>
      <c r="DU28" s="9">
        <v>0</v>
      </c>
      <c r="DV28" s="9">
        <v>0</v>
      </c>
      <c r="DW28" s="9">
        <v>0</v>
      </c>
      <c r="DX28" s="9">
        <v>0</v>
      </c>
      <c r="DY28" s="9">
        <v>0</v>
      </c>
      <c r="DZ28" s="9">
        <v>0</v>
      </c>
      <c r="EA28" s="9">
        <v>1.75</v>
      </c>
      <c r="EB28" s="9">
        <v>1.75</v>
      </c>
    </row>
    <row r="29" spans="1:132" x14ac:dyDescent="0.35">
      <c r="A29" s="5">
        <v>420</v>
      </c>
      <c r="B29" s="5" t="s">
        <v>114</v>
      </c>
      <c r="C29" s="5" t="s">
        <v>116</v>
      </c>
      <c r="D29" s="5" t="s">
        <v>54</v>
      </c>
      <c r="E29" s="5" t="s">
        <v>101</v>
      </c>
      <c r="F29" s="5">
        <v>853</v>
      </c>
      <c r="G29" s="5">
        <v>49</v>
      </c>
      <c r="H29" s="5">
        <v>70698</v>
      </c>
      <c r="I29" s="5" t="s">
        <v>151</v>
      </c>
      <c r="J29" s="5" t="s">
        <v>98</v>
      </c>
      <c r="K29" s="5" t="s">
        <v>100</v>
      </c>
      <c r="L29" s="14">
        <v>1.0522582756000001</v>
      </c>
      <c r="M29" s="9">
        <v>0</v>
      </c>
      <c r="N29" s="9">
        <v>0.89</v>
      </c>
      <c r="O29" s="9">
        <v>0.86</v>
      </c>
      <c r="P29" s="9">
        <v>0</v>
      </c>
      <c r="Q29" s="9">
        <v>1.75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0.89</v>
      </c>
      <c r="AN29" s="9">
        <v>0.86</v>
      </c>
      <c r="AO29" s="9">
        <v>0</v>
      </c>
      <c r="AP29" s="9">
        <v>1.75</v>
      </c>
      <c r="AQ29" s="9">
        <v>0</v>
      </c>
      <c r="AR29" s="9">
        <v>0.94</v>
      </c>
      <c r="AS29" s="9">
        <v>0.9</v>
      </c>
      <c r="AT29" s="9">
        <v>0</v>
      </c>
      <c r="AU29" s="9">
        <v>1.84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9">
        <v>0</v>
      </c>
      <c r="BJ29" s="9">
        <v>0</v>
      </c>
      <c r="BK29" s="9">
        <v>0</v>
      </c>
      <c r="BL29" s="9">
        <v>0</v>
      </c>
      <c r="BM29" s="9">
        <v>0</v>
      </c>
      <c r="BN29" s="9">
        <v>0</v>
      </c>
      <c r="BO29" s="9">
        <v>0</v>
      </c>
      <c r="BP29" s="9">
        <v>0</v>
      </c>
      <c r="BQ29" s="9">
        <v>0.94</v>
      </c>
      <c r="BR29" s="9">
        <v>0.9</v>
      </c>
      <c r="BS29" s="9">
        <v>0</v>
      </c>
      <c r="BT29" s="9">
        <v>1.84</v>
      </c>
      <c r="BU29" s="9">
        <v>0</v>
      </c>
      <c r="BV29" s="9">
        <v>0.9</v>
      </c>
      <c r="BW29" s="9">
        <v>0.88</v>
      </c>
      <c r="BX29" s="9">
        <v>0</v>
      </c>
      <c r="BY29" s="9">
        <v>1.78</v>
      </c>
      <c r="BZ29" s="9">
        <v>0</v>
      </c>
      <c r="CA29" s="9">
        <v>0</v>
      </c>
      <c r="CB29" s="9">
        <v>0</v>
      </c>
      <c r="CC29" s="9">
        <v>0</v>
      </c>
      <c r="CD29" s="9">
        <v>0</v>
      </c>
      <c r="CE29" s="9">
        <v>0</v>
      </c>
      <c r="CF29" s="9">
        <v>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9">
        <v>0</v>
      </c>
      <c r="CT29" s="9">
        <v>0</v>
      </c>
      <c r="CU29" s="9">
        <v>0.9</v>
      </c>
      <c r="CV29" s="9">
        <v>0.88</v>
      </c>
      <c r="CW29" s="9">
        <v>0</v>
      </c>
      <c r="CX29" s="9">
        <v>1.78</v>
      </c>
      <c r="CY29" s="9">
        <v>0</v>
      </c>
      <c r="CZ29" s="9">
        <v>0.95</v>
      </c>
      <c r="DA29" s="9">
        <v>0.93</v>
      </c>
      <c r="DB29" s="9">
        <v>0</v>
      </c>
      <c r="DC29" s="9">
        <v>1.88</v>
      </c>
      <c r="DD29" s="9">
        <v>0</v>
      </c>
      <c r="DE29" s="9">
        <v>0</v>
      </c>
      <c r="DF29" s="9">
        <v>0</v>
      </c>
      <c r="DG29" s="9">
        <v>0</v>
      </c>
      <c r="DH29" s="9">
        <v>0</v>
      </c>
      <c r="DI29" s="9">
        <v>0</v>
      </c>
      <c r="DJ29" s="9">
        <v>0</v>
      </c>
      <c r="DK29" s="9">
        <v>0</v>
      </c>
      <c r="DL29" s="9">
        <v>0</v>
      </c>
      <c r="DM29" s="9">
        <v>0</v>
      </c>
      <c r="DN29" s="9">
        <v>0</v>
      </c>
      <c r="DO29" s="9">
        <v>0</v>
      </c>
      <c r="DP29" s="9">
        <v>0</v>
      </c>
      <c r="DQ29" s="9">
        <v>0</v>
      </c>
      <c r="DR29" s="9">
        <v>0</v>
      </c>
      <c r="DS29" s="9">
        <v>0</v>
      </c>
      <c r="DT29" s="9">
        <v>0</v>
      </c>
      <c r="DU29" s="9">
        <v>0</v>
      </c>
      <c r="DV29" s="9">
        <v>0</v>
      </c>
      <c r="DW29" s="9">
        <v>0</v>
      </c>
      <c r="DX29" s="9">
        <v>0</v>
      </c>
      <c r="DY29" s="9">
        <v>0.95</v>
      </c>
      <c r="DZ29" s="9">
        <v>0.93</v>
      </c>
      <c r="EA29" s="9">
        <v>0</v>
      </c>
      <c r="EB29" s="9">
        <v>1.88</v>
      </c>
    </row>
    <row r="30" spans="1:132" x14ac:dyDescent="0.35">
      <c r="A30" s="5">
        <v>420</v>
      </c>
      <c r="B30" s="5" t="s">
        <v>114</v>
      </c>
      <c r="C30" s="5" t="s">
        <v>116</v>
      </c>
      <c r="D30" s="5" t="s">
        <v>54</v>
      </c>
      <c r="E30" s="5" t="s">
        <v>101</v>
      </c>
      <c r="F30" s="5">
        <v>855</v>
      </c>
      <c r="G30" s="5">
        <v>49</v>
      </c>
      <c r="H30" s="5">
        <v>70714</v>
      </c>
      <c r="I30" s="5" t="s">
        <v>19</v>
      </c>
      <c r="J30" s="5" t="s">
        <v>98</v>
      </c>
      <c r="K30" s="5" t="s">
        <v>100</v>
      </c>
      <c r="L30" s="14">
        <v>1.0522582756000001</v>
      </c>
      <c r="M30" s="9">
        <v>0.91</v>
      </c>
      <c r="N30" s="9">
        <v>0.8</v>
      </c>
      <c r="O30" s="9">
        <v>0.86</v>
      </c>
      <c r="P30" s="9">
        <v>0</v>
      </c>
      <c r="Q30" s="9">
        <v>2.57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0.91</v>
      </c>
      <c r="AM30" s="9">
        <v>0.8</v>
      </c>
      <c r="AN30" s="9">
        <v>0.86</v>
      </c>
      <c r="AO30" s="9">
        <v>0</v>
      </c>
      <c r="AP30" s="9">
        <v>2.57</v>
      </c>
      <c r="AQ30" s="9">
        <v>0.96</v>
      </c>
      <c r="AR30" s="9">
        <v>0.84</v>
      </c>
      <c r="AS30" s="9">
        <v>0.9</v>
      </c>
      <c r="AT30" s="9">
        <v>0</v>
      </c>
      <c r="AU30" s="9">
        <v>2.7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v>0.96</v>
      </c>
      <c r="BQ30" s="9">
        <v>0.84</v>
      </c>
      <c r="BR30" s="9">
        <v>0.9</v>
      </c>
      <c r="BS30" s="9">
        <v>0</v>
      </c>
      <c r="BT30" s="9">
        <v>2.7</v>
      </c>
      <c r="BU30" s="9">
        <v>0.92</v>
      </c>
      <c r="BV30" s="9">
        <v>0.83</v>
      </c>
      <c r="BW30" s="9">
        <v>0.87</v>
      </c>
      <c r="BX30" s="9">
        <v>0</v>
      </c>
      <c r="BY30" s="9">
        <v>2.62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9">
        <v>0</v>
      </c>
      <c r="CT30" s="9">
        <v>0.92</v>
      </c>
      <c r="CU30" s="9">
        <v>0.83</v>
      </c>
      <c r="CV30" s="9">
        <v>0.87</v>
      </c>
      <c r="CW30" s="9">
        <v>0</v>
      </c>
      <c r="CX30" s="9">
        <v>2.62</v>
      </c>
      <c r="CY30" s="9">
        <v>0.97</v>
      </c>
      <c r="CZ30" s="9">
        <v>0.87</v>
      </c>
      <c r="DA30" s="9">
        <v>0.92</v>
      </c>
      <c r="DB30" s="9">
        <v>0</v>
      </c>
      <c r="DC30" s="9">
        <v>2.76</v>
      </c>
      <c r="DD30" s="9">
        <v>0</v>
      </c>
      <c r="DE30" s="9">
        <v>0</v>
      </c>
      <c r="DF30" s="9">
        <v>0</v>
      </c>
      <c r="DG30" s="9">
        <v>0</v>
      </c>
      <c r="DH30" s="9">
        <v>0</v>
      </c>
      <c r="DI30" s="9">
        <v>0</v>
      </c>
      <c r="DJ30" s="9">
        <v>0</v>
      </c>
      <c r="DK30" s="9">
        <v>0</v>
      </c>
      <c r="DL30" s="9">
        <v>0</v>
      </c>
      <c r="DM30" s="9">
        <v>0</v>
      </c>
      <c r="DN30" s="9">
        <v>0</v>
      </c>
      <c r="DO30" s="9">
        <v>0</v>
      </c>
      <c r="DP30" s="9">
        <v>0</v>
      </c>
      <c r="DQ30" s="9">
        <v>0</v>
      </c>
      <c r="DR30" s="9">
        <v>0</v>
      </c>
      <c r="DS30" s="9">
        <v>0</v>
      </c>
      <c r="DT30" s="9">
        <v>0</v>
      </c>
      <c r="DU30" s="9">
        <v>0</v>
      </c>
      <c r="DV30" s="9">
        <v>0</v>
      </c>
      <c r="DW30" s="9">
        <v>0</v>
      </c>
      <c r="DX30" s="9">
        <v>0.97</v>
      </c>
      <c r="DY30" s="9">
        <v>0.87</v>
      </c>
      <c r="DZ30" s="9">
        <v>0.92</v>
      </c>
      <c r="EA30" s="9">
        <v>0</v>
      </c>
      <c r="EB30" s="9">
        <v>2.76</v>
      </c>
    </row>
    <row r="31" spans="1:132" x14ac:dyDescent="0.35">
      <c r="A31" s="5">
        <v>420</v>
      </c>
      <c r="B31" s="5" t="s">
        <v>114</v>
      </c>
      <c r="C31" s="5" t="s">
        <v>116</v>
      </c>
      <c r="D31" s="5" t="s">
        <v>54</v>
      </c>
      <c r="E31" s="5" t="s">
        <v>101</v>
      </c>
      <c r="F31" s="5">
        <v>856</v>
      </c>
      <c r="G31" s="5">
        <v>49</v>
      </c>
      <c r="H31" s="5">
        <v>70722</v>
      </c>
      <c r="I31" s="5" t="s">
        <v>18</v>
      </c>
      <c r="J31" s="5" t="s">
        <v>98</v>
      </c>
      <c r="K31" s="5" t="s">
        <v>100</v>
      </c>
      <c r="L31" s="14">
        <v>1.0522582756000001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9">
        <v>0</v>
      </c>
      <c r="CW31" s="9">
        <v>0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0</v>
      </c>
      <c r="DE31" s="9">
        <v>0</v>
      </c>
      <c r="DF31" s="9">
        <v>0</v>
      </c>
      <c r="DG31" s="9">
        <v>0</v>
      </c>
      <c r="DH31" s="9">
        <v>0</v>
      </c>
      <c r="DI31" s="9">
        <v>0</v>
      </c>
      <c r="DJ31" s="9">
        <v>0</v>
      </c>
      <c r="DK31" s="9">
        <v>0</v>
      </c>
      <c r="DL31" s="9">
        <v>0</v>
      </c>
      <c r="DM31" s="9">
        <v>0</v>
      </c>
      <c r="DN31" s="9">
        <v>0</v>
      </c>
      <c r="DO31" s="9">
        <v>0</v>
      </c>
      <c r="DP31" s="9">
        <v>0</v>
      </c>
      <c r="DQ31" s="9">
        <v>0</v>
      </c>
      <c r="DR31" s="9">
        <v>0</v>
      </c>
      <c r="DS31" s="9">
        <v>0</v>
      </c>
      <c r="DT31" s="9">
        <v>0</v>
      </c>
      <c r="DU31" s="9">
        <v>0</v>
      </c>
      <c r="DV31" s="9">
        <v>0</v>
      </c>
      <c r="DW31" s="9">
        <v>0</v>
      </c>
      <c r="DX31" s="9">
        <v>0</v>
      </c>
      <c r="DY31" s="9">
        <v>0</v>
      </c>
      <c r="DZ31" s="9">
        <v>0</v>
      </c>
      <c r="EA31" s="9">
        <v>0</v>
      </c>
      <c r="EB31" s="9">
        <v>0</v>
      </c>
    </row>
    <row r="32" spans="1:132" x14ac:dyDescent="0.35">
      <c r="A32" s="5">
        <v>420</v>
      </c>
      <c r="B32" s="5" t="s">
        <v>114</v>
      </c>
      <c r="C32" s="5" t="s">
        <v>116</v>
      </c>
      <c r="D32" s="5" t="s">
        <v>54</v>
      </c>
      <c r="E32" s="5" t="s">
        <v>101</v>
      </c>
      <c r="F32" s="5">
        <v>857</v>
      </c>
      <c r="G32" s="5">
        <v>49</v>
      </c>
      <c r="H32" s="5">
        <v>70730</v>
      </c>
      <c r="I32" s="5" t="s">
        <v>17</v>
      </c>
      <c r="J32" s="5" t="s">
        <v>98</v>
      </c>
      <c r="K32" s="5" t="s">
        <v>100</v>
      </c>
      <c r="L32" s="14">
        <v>1.0522582756000001</v>
      </c>
      <c r="M32" s="9">
        <v>1.67</v>
      </c>
      <c r="N32" s="9">
        <v>2.67</v>
      </c>
      <c r="O32" s="9">
        <v>0.92</v>
      </c>
      <c r="P32" s="9">
        <v>0</v>
      </c>
      <c r="Q32" s="9">
        <v>5.26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1.67</v>
      </c>
      <c r="AM32" s="9">
        <v>2.67</v>
      </c>
      <c r="AN32" s="9">
        <v>0.92</v>
      </c>
      <c r="AO32" s="9">
        <v>0</v>
      </c>
      <c r="AP32" s="9">
        <v>5.26</v>
      </c>
      <c r="AQ32" s="9">
        <v>1.76</v>
      </c>
      <c r="AR32" s="9">
        <v>2.81</v>
      </c>
      <c r="AS32" s="9">
        <v>0.97</v>
      </c>
      <c r="AT32" s="9">
        <v>0</v>
      </c>
      <c r="AU32" s="9">
        <v>5.54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9">
        <v>0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P32" s="9">
        <v>1.76</v>
      </c>
      <c r="BQ32" s="9">
        <v>2.81</v>
      </c>
      <c r="BR32" s="9">
        <v>0.97</v>
      </c>
      <c r="BS32" s="9">
        <v>0</v>
      </c>
      <c r="BT32" s="9">
        <v>5.54</v>
      </c>
      <c r="BU32" s="9">
        <v>1.72</v>
      </c>
      <c r="BV32" s="9">
        <v>2.73</v>
      </c>
      <c r="BW32" s="9">
        <v>0.92</v>
      </c>
      <c r="BX32" s="9">
        <v>0</v>
      </c>
      <c r="BY32" s="9">
        <v>5.37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9">
        <v>0</v>
      </c>
      <c r="CT32" s="9">
        <v>1.72</v>
      </c>
      <c r="CU32" s="9">
        <v>2.73</v>
      </c>
      <c r="CV32" s="9">
        <v>0.92</v>
      </c>
      <c r="CW32" s="9">
        <v>0</v>
      </c>
      <c r="CX32" s="9">
        <v>5.37</v>
      </c>
      <c r="CY32" s="9">
        <v>1.81</v>
      </c>
      <c r="CZ32" s="9">
        <v>2.87</v>
      </c>
      <c r="DA32" s="9">
        <v>0.97</v>
      </c>
      <c r="DB32" s="9">
        <v>0</v>
      </c>
      <c r="DC32" s="9">
        <v>5.65</v>
      </c>
      <c r="DD32" s="9">
        <v>0</v>
      </c>
      <c r="DE32" s="9">
        <v>0</v>
      </c>
      <c r="DF32" s="9">
        <v>0</v>
      </c>
      <c r="DG32" s="9">
        <v>0</v>
      </c>
      <c r="DH32" s="9">
        <v>0</v>
      </c>
      <c r="DI32" s="9">
        <v>0</v>
      </c>
      <c r="DJ32" s="9">
        <v>0</v>
      </c>
      <c r="DK32" s="9">
        <v>0</v>
      </c>
      <c r="DL32" s="9">
        <v>0</v>
      </c>
      <c r="DM32" s="9">
        <v>0</v>
      </c>
      <c r="DN32" s="9">
        <v>0</v>
      </c>
      <c r="DO32" s="9">
        <v>0</v>
      </c>
      <c r="DP32" s="9">
        <v>0</v>
      </c>
      <c r="DQ32" s="9">
        <v>0</v>
      </c>
      <c r="DR32" s="9">
        <v>0</v>
      </c>
      <c r="DS32" s="9">
        <v>0</v>
      </c>
      <c r="DT32" s="9">
        <v>0</v>
      </c>
      <c r="DU32" s="9">
        <v>0</v>
      </c>
      <c r="DV32" s="9">
        <v>0</v>
      </c>
      <c r="DW32" s="9">
        <v>0</v>
      </c>
      <c r="DX32" s="9">
        <v>1.81</v>
      </c>
      <c r="DY32" s="9">
        <v>2.87</v>
      </c>
      <c r="DZ32" s="9">
        <v>0.97</v>
      </c>
      <c r="EA32" s="9">
        <v>0</v>
      </c>
      <c r="EB32" s="9">
        <v>5.65</v>
      </c>
    </row>
    <row r="33" spans="1:132" x14ac:dyDescent="0.35">
      <c r="A33" s="5">
        <v>420</v>
      </c>
      <c r="B33" s="5" t="s">
        <v>114</v>
      </c>
      <c r="C33" s="5" t="s">
        <v>116</v>
      </c>
      <c r="D33" s="5" t="s">
        <v>54</v>
      </c>
      <c r="E33" s="5" t="s">
        <v>101</v>
      </c>
      <c r="F33" s="5">
        <v>863</v>
      </c>
      <c r="G33" s="5">
        <v>49</v>
      </c>
      <c r="H33" s="5">
        <v>70821</v>
      </c>
      <c r="I33" s="5" t="s">
        <v>152</v>
      </c>
      <c r="J33" s="5" t="s">
        <v>98</v>
      </c>
      <c r="K33" s="5" t="s">
        <v>100</v>
      </c>
      <c r="L33" s="14">
        <v>1.0522582756000001</v>
      </c>
      <c r="M33" s="9">
        <v>0</v>
      </c>
      <c r="N33" s="9">
        <v>0.89</v>
      </c>
      <c r="O33" s="9">
        <v>0</v>
      </c>
      <c r="P33" s="9">
        <v>0</v>
      </c>
      <c r="Q33" s="9">
        <v>0.89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0.89</v>
      </c>
      <c r="AN33" s="9">
        <v>0</v>
      </c>
      <c r="AO33" s="9">
        <v>0</v>
      </c>
      <c r="AP33" s="9">
        <v>0.89</v>
      </c>
      <c r="AQ33" s="9">
        <v>0</v>
      </c>
      <c r="AR33" s="9">
        <v>0.94</v>
      </c>
      <c r="AS33" s="9">
        <v>0</v>
      </c>
      <c r="AT33" s="9">
        <v>0</v>
      </c>
      <c r="AU33" s="9">
        <v>0.94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v>0</v>
      </c>
      <c r="BQ33" s="9">
        <v>0.94</v>
      </c>
      <c r="BR33" s="9">
        <v>0</v>
      </c>
      <c r="BS33" s="9">
        <v>0</v>
      </c>
      <c r="BT33" s="9">
        <v>0.94</v>
      </c>
      <c r="BU33" s="9">
        <v>0</v>
      </c>
      <c r="BV33" s="9">
        <v>0.86</v>
      </c>
      <c r="BW33" s="9">
        <v>0</v>
      </c>
      <c r="BX33" s="9">
        <v>0</v>
      </c>
      <c r="BY33" s="9">
        <v>0.86</v>
      </c>
      <c r="BZ33" s="9">
        <v>0</v>
      </c>
      <c r="CA33" s="9">
        <v>0</v>
      </c>
      <c r="CB33" s="9">
        <v>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9">
        <v>0</v>
      </c>
      <c r="CT33" s="9">
        <v>0</v>
      </c>
      <c r="CU33" s="9">
        <v>0.86</v>
      </c>
      <c r="CV33" s="9">
        <v>0</v>
      </c>
      <c r="CW33" s="9">
        <v>0</v>
      </c>
      <c r="CX33" s="9">
        <v>0.86</v>
      </c>
      <c r="CY33" s="9">
        <v>0</v>
      </c>
      <c r="CZ33" s="9">
        <v>0.9</v>
      </c>
      <c r="DA33" s="9">
        <v>0</v>
      </c>
      <c r="DB33" s="9">
        <v>0</v>
      </c>
      <c r="DC33" s="9">
        <v>0.9</v>
      </c>
      <c r="DD33" s="9">
        <v>0</v>
      </c>
      <c r="DE33" s="9">
        <v>0</v>
      </c>
      <c r="DF33" s="9">
        <v>0</v>
      </c>
      <c r="DG33" s="9">
        <v>0</v>
      </c>
      <c r="DH33" s="9">
        <v>0</v>
      </c>
      <c r="DI33" s="9">
        <v>0</v>
      </c>
      <c r="DJ33" s="9">
        <v>0</v>
      </c>
      <c r="DK33" s="9">
        <v>0</v>
      </c>
      <c r="DL33" s="9">
        <v>0</v>
      </c>
      <c r="DM33" s="9">
        <v>0</v>
      </c>
      <c r="DN33" s="9">
        <v>0</v>
      </c>
      <c r="DO33" s="9">
        <v>0</v>
      </c>
      <c r="DP33" s="9">
        <v>0</v>
      </c>
      <c r="DQ33" s="9">
        <v>0</v>
      </c>
      <c r="DR33" s="9">
        <v>0</v>
      </c>
      <c r="DS33" s="9">
        <v>0</v>
      </c>
      <c r="DT33" s="9">
        <v>0</v>
      </c>
      <c r="DU33" s="9">
        <v>0</v>
      </c>
      <c r="DV33" s="9">
        <v>0</v>
      </c>
      <c r="DW33" s="9">
        <v>0</v>
      </c>
      <c r="DX33" s="9">
        <v>0</v>
      </c>
      <c r="DY33" s="9">
        <v>0.9</v>
      </c>
      <c r="DZ33" s="9">
        <v>0</v>
      </c>
      <c r="EA33" s="9">
        <v>0</v>
      </c>
      <c r="EB33" s="9">
        <v>0.9</v>
      </c>
    </row>
    <row r="34" spans="1:132" x14ac:dyDescent="0.35">
      <c r="A34" s="5">
        <v>420</v>
      </c>
      <c r="B34" s="5" t="s">
        <v>114</v>
      </c>
      <c r="C34" s="5" t="s">
        <v>116</v>
      </c>
      <c r="D34" s="5" t="s">
        <v>54</v>
      </c>
      <c r="E34" s="5" t="s">
        <v>101</v>
      </c>
      <c r="F34" s="5">
        <v>865</v>
      </c>
      <c r="G34" s="5">
        <v>49</v>
      </c>
      <c r="H34" s="5">
        <v>70847</v>
      </c>
      <c r="I34" s="5" t="s">
        <v>153</v>
      </c>
      <c r="J34" s="5" t="s">
        <v>98</v>
      </c>
      <c r="K34" s="5" t="s">
        <v>100</v>
      </c>
      <c r="L34" s="14">
        <v>1.0522582756000001</v>
      </c>
      <c r="M34" s="9">
        <v>0.97</v>
      </c>
      <c r="N34" s="9">
        <v>0.96</v>
      </c>
      <c r="O34" s="9">
        <v>0</v>
      </c>
      <c r="P34" s="9">
        <v>0</v>
      </c>
      <c r="Q34" s="9">
        <v>1.93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0.97</v>
      </c>
      <c r="AM34" s="9">
        <v>0.96</v>
      </c>
      <c r="AN34" s="9">
        <v>0</v>
      </c>
      <c r="AO34" s="9">
        <v>0</v>
      </c>
      <c r="AP34" s="9">
        <v>1.93</v>
      </c>
      <c r="AQ34" s="9">
        <v>1.02</v>
      </c>
      <c r="AR34" s="9">
        <v>1.01</v>
      </c>
      <c r="AS34" s="9">
        <v>0</v>
      </c>
      <c r="AT34" s="9">
        <v>0</v>
      </c>
      <c r="AU34" s="9">
        <v>2.0299999999999998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1.02</v>
      </c>
      <c r="BQ34" s="9">
        <v>1.01</v>
      </c>
      <c r="BR34" s="9">
        <v>0</v>
      </c>
      <c r="BS34" s="9">
        <v>0</v>
      </c>
      <c r="BT34" s="9">
        <v>2.0299999999999998</v>
      </c>
      <c r="BU34" s="9">
        <v>0.96</v>
      </c>
      <c r="BV34" s="9">
        <v>0.96</v>
      </c>
      <c r="BW34" s="9">
        <v>0</v>
      </c>
      <c r="BX34" s="9">
        <v>0</v>
      </c>
      <c r="BY34" s="9">
        <v>1.92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0.96</v>
      </c>
      <c r="CU34" s="9">
        <v>0.96</v>
      </c>
      <c r="CV34" s="9">
        <v>0</v>
      </c>
      <c r="CW34" s="9">
        <v>0</v>
      </c>
      <c r="CX34" s="9">
        <v>1.92</v>
      </c>
      <c r="CY34" s="9">
        <v>1.01</v>
      </c>
      <c r="CZ34" s="9">
        <v>1.01</v>
      </c>
      <c r="DA34" s="9">
        <v>0</v>
      </c>
      <c r="DB34" s="9">
        <v>0</v>
      </c>
      <c r="DC34" s="9">
        <v>2.02</v>
      </c>
      <c r="DD34" s="9">
        <v>0</v>
      </c>
      <c r="DE34" s="9">
        <v>0</v>
      </c>
      <c r="DF34" s="9">
        <v>0</v>
      </c>
      <c r="DG34" s="9">
        <v>0</v>
      </c>
      <c r="DH34" s="9">
        <v>0</v>
      </c>
      <c r="DI34" s="9">
        <v>0</v>
      </c>
      <c r="DJ34" s="9">
        <v>0</v>
      </c>
      <c r="DK34" s="9">
        <v>0</v>
      </c>
      <c r="DL34" s="9">
        <v>0</v>
      </c>
      <c r="DM34" s="9">
        <v>0</v>
      </c>
      <c r="DN34" s="9">
        <v>0</v>
      </c>
      <c r="DO34" s="9">
        <v>0</v>
      </c>
      <c r="DP34" s="9">
        <v>0</v>
      </c>
      <c r="DQ34" s="9">
        <v>0</v>
      </c>
      <c r="DR34" s="9">
        <v>0</v>
      </c>
      <c r="DS34" s="9">
        <v>0</v>
      </c>
      <c r="DT34" s="9">
        <v>0</v>
      </c>
      <c r="DU34" s="9">
        <v>0</v>
      </c>
      <c r="DV34" s="9">
        <v>0</v>
      </c>
      <c r="DW34" s="9">
        <v>0</v>
      </c>
      <c r="DX34" s="9">
        <v>1.01</v>
      </c>
      <c r="DY34" s="9">
        <v>1.01</v>
      </c>
      <c r="DZ34" s="9">
        <v>0</v>
      </c>
      <c r="EA34" s="9">
        <v>0</v>
      </c>
      <c r="EB34" s="9">
        <v>2.02</v>
      </c>
    </row>
    <row r="35" spans="1:132" x14ac:dyDescent="0.35">
      <c r="A35" s="5">
        <v>420</v>
      </c>
      <c r="B35" s="5" t="s">
        <v>114</v>
      </c>
      <c r="C35" s="5" t="s">
        <v>116</v>
      </c>
      <c r="D35" s="5" t="s">
        <v>54</v>
      </c>
      <c r="E35" s="5" t="s">
        <v>101</v>
      </c>
      <c r="F35" s="5">
        <v>866</v>
      </c>
      <c r="G35" s="5">
        <v>49</v>
      </c>
      <c r="H35" s="5">
        <v>70854</v>
      </c>
      <c r="I35" s="5" t="s">
        <v>15</v>
      </c>
      <c r="J35" s="5" t="s">
        <v>98</v>
      </c>
      <c r="K35" s="5" t="s">
        <v>100</v>
      </c>
      <c r="L35" s="14">
        <v>1.0522582756000001</v>
      </c>
      <c r="M35" s="9">
        <v>4.4400000000000004</v>
      </c>
      <c r="N35" s="9">
        <v>4.59</v>
      </c>
      <c r="O35" s="9">
        <v>2.64</v>
      </c>
      <c r="P35" s="9">
        <v>0</v>
      </c>
      <c r="Q35" s="9">
        <v>11.67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4.4400000000000004</v>
      </c>
      <c r="AM35" s="9">
        <v>4.59</v>
      </c>
      <c r="AN35" s="9">
        <v>2.64</v>
      </c>
      <c r="AO35" s="9">
        <v>0</v>
      </c>
      <c r="AP35" s="9">
        <v>11.67</v>
      </c>
      <c r="AQ35" s="9">
        <v>4.67</v>
      </c>
      <c r="AR35" s="9">
        <v>4.83</v>
      </c>
      <c r="AS35" s="9">
        <v>2.78</v>
      </c>
      <c r="AT35" s="9">
        <v>0</v>
      </c>
      <c r="AU35" s="9">
        <v>12.28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9">
        <v>4.67</v>
      </c>
      <c r="BQ35" s="9">
        <v>4.83</v>
      </c>
      <c r="BR35" s="9">
        <v>2.78</v>
      </c>
      <c r="BS35" s="9">
        <v>0</v>
      </c>
      <c r="BT35" s="9">
        <v>12.28</v>
      </c>
      <c r="BU35" s="9">
        <v>4.4000000000000004</v>
      </c>
      <c r="BV35" s="9">
        <v>4.57</v>
      </c>
      <c r="BW35" s="9">
        <v>2.67</v>
      </c>
      <c r="BX35" s="9">
        <v>0</v>
      </c>
      <c r="BY35" s="9">
        <v>11.64</v>
      </c>
      <c r="BZ35" s="9">
        <v>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9">
        <v>0</v>
      </c>
      <c r="CT35" s="9">
        <v>4.4000000000000004</v>
      </c>
      <c r="CU35" s="9">
        <v>4.57</v>
      </c>
      <c r="CV35" s="9">
        <v>2.67</v>
      </c>
      <c r="CW35" s="9">
        <v>0</v>
      </c>
      <c r="CX35" s="9">
        <v>11.64</v>
      </c>
      <c r="CY35" s="9">
        <v>4.63</v>
      </c>
      <c r="CZ35" s="9">
        <v>4.8099999999999996</v>
      </c>
      <c r="DA35" s="9">
        <v>2.81</v>
      </c>
      <c r="DB35" s="9">
        <v>0</v>
      </c>
      <c r="DC35" s="9">
        <v>12.25</v>
      </c>
      <c r="DD35" s="9">
        <v>0</v>
      </c>
      <c r="DE35" s="9">
        <v>0</v>
      </c>
      <c r="DF35" s="9">
        <v>0</v>
      </c>
      <c r="DG35" s="9">
        <v>0</v>
      </c>
      <c r="DH35" s="9">
        <v>0</v>
      </c>
      <c r="DI35" s="9">
        <v>0</v>
      </c>
      <c r="DJ35" s="9">
        <v>0</v>
      </c>
      <c r="DK35" s="9">
        <v>0</v>
      </c>
      <c r="DL35" s="9">
        <v>0</v>
      </c>
      <c r="DM35" s="9">
        <v>0</v>
      </c>
      <c r="DN35" s="9">
        <v>0</v>
      </c>
      <c r="DO35" s="9">
        <v>0</v>
      </c>
      <c r="DP35" s="9">
        <v>0</v>
      </c>
      <c r="DQ35" s="9">
        <v>0</v>
      </c>
      <c r="DR35" s="9">
        <v>0</v>
      </c>
      <c r="DS35" s="9">
        <v>0</v>
      </c>
      <c r="DT35" s="9">
        <v>0</v>
      </c>
      <c r="DU35" s="9">
        <v>0</v>
      </c>
      <c r="DV35" s="9">
        <v>0</v>
      </c>
      <c r="DW35" s="9">
        <v>0</v>
      </c>
      <c r="DX35" s="9">
        <v>4.63</v>
      </c>
      <c r="DY35" s="9">
        <v>4.8099999999999996</v>
      </c>
      <c r="DZ35" s="9">
        <v>2.81</v>
      </c>
      <c r="EA35" s="9">
        <v>0</v>
      </c>
      <c r="EB35" s="9">
        <v>12.25</v>
      </c>
    </row>
    <row r="36" spans="1:132" x14ac:dyDescent="0.35">
      <c r="A36" s="5">
        <v>420</v>
      </c>
      <c r="B36" s="5" t="s">
        <v>114</v>
      </c>
      <c r="C36" s="5" t="s">
        <v>116</v>
      </c>
      <c r="D36" s="5" t="s">
        <v>54</v>
      </c>
      <c r="E36" s="5" t="s">
        <v>101</v>
      </c>
      <c r="F36" s="5">
        <v>867</v>
      </c>
      <c r="G36" s="5">
        <v>49</v>
      </c>
      <c r="H36" s="5">
        <v>70862</v>
      </c>
      <c r="I36" s="5" t="s">
        <v>14</v>
      </c>
      <c r="J36" s="5" t="s">
        <v>119</v>
      </c>
      <c r="K36" s="5" t="s">
        <v>100</v>
      </c>
      <c r="L36" s="14">
        <v>1.0522582756000001</v>
      </c>
      <c r="M36" s="9">
        <v>0</v>
      </c>
      <c r="N36" s="9">
        <v>0</v>
      </c>
      <c r="O36" s="9">
        <v>0</v>
      </c>
      <c r="P36" s="9">
        <v>19.73</v>
      </c>
      <c r="Q36" s="9">
        <v>19.73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19.73</v>
      </c>
      <c r="AP36" s="9">
        <v>19.73</v>
      </c>
      <c r="AQ36" s="9">
        <v>0</v>
      </c>
      <c r="AR36" s="9">
        <v>0</v>
      </c>
      <c r="AS36" s="9">
        <v>0</v>
      </c>
      <c r="AT36" s="9">
        <v>20.76</v>
      </c>
      <c r="AU36" s="9">
        <v>20.76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9">
        <v>0</v>
      </c>
      <c r="BQ36" s="9">
        <v>0</v>
      </c>
      <c r="BR36" s="9">
        <v>0</v>
      </c>
      <c r="BS36" s="9">
        <v>20.76</v>
      </c>
      <c r="BT36" s="9">
        <v>20.76</v>
      </c>
      <c r="BU36" s="9">
        <v>0</v>
      </c>
      <c r="BV36" s="9">
        <v>0</v>
      </c>
      <c r="BW36" s="9">
        <v>0.89</v>
      </c>
      <c r="BX36" s="9">
        <v>20.13</v>
      </c>
      <c r="BY36" s="9">
        <v>21.02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9">
        <v>0</v>
      </c>
      <c r="CT36" s="9">
        <v>0</v>
      </c>
      <c r="CU36" s="9">
        <v>0</v>
      </c>
      <c r="CV36" s="9">
        <v>0.89</v>
      </c>
      <c r="CW36" s="9">
        <v>20.13</v>
      </c>
      <c r="CX36" s="9">
        <v>21.02</v>
      </c>
      <c r="CY36" s="9">
        <v>0</v>
      </c>
      <c r="CZ36" s="9">
        <v>0</v>
      </c>
      <c r="DA36" s="9">
        <v>0.94</v>
      </c>
      <c r="DB36" s="9">
        <v>21.18</v>
      </c>
      <c r="DC36" s="9">
        <v>22.12</v>
      </c>
      <c r="DD36" s="9">
        <v>0</v>
      </c>
      <c r="DE36" s="9">
        <v>0</v>
      </c>
      <c r="DF36" s="9">
        <v>0</v>
      </c>
      <c r="DG36" s="9">
        <v>0</v>
      </c>
      <c r="DH36" s="9">
        <v>0</v>
      </c>
      <c r="DI36" s="9">
        <v>0</v>
      </c>
      <c r="DJ36" s="9">
        <v>0</v>
      </c>
      <c r="DK36" s="9">
        <v>0</v>
      </c>
      <c r="DL36" s="9">
        <v>0</v>
      </c>
      <c r="DM36" s="9">
        <v>0</v>
      </c>
      <c r="DN36" s="9">
        <v>0</v>
      </c>
      <c r="DO36" s="9">
        <v>0</v>
      </c>
      <c r="DP36" s="9">
        <v>0</v>
      </c>
      <c r="DQ36" s="9">
        <v>0</v>
      </c>
      <c r="DR36" s="9">
        <v>0</v>
      </c>
      <c r="DS36" s="9">
        <v>0</v>
      </c>
      <c r="DT36" s="9">
        <v>0</v>
      </c>
      <c r="DU36" s="9">
        <v>0</v>
      </c>
      <c r="DV36" s="9">
        <v>0</v>
      </c>
      <c r="DW36" s="9">
        <v>0</v>
      </c>
      <c r="DX36" s="9">
        <v>0</v>
      </c>
      <c r="DY36" s="9">
        <v>0</v>
      </c>
      <c r="DZ36" s="9">
        <v>0.94</v>
      </c>
      <c r="EA36" s="9">
        <v>21.18</v>
      </c>
      <c r="EB36" s="9">
        <v>22.12</v>
      </c>
    </row>
    <row r="37" spans="1:132" x14ac:dyDescent="0.35">
      <c r="A37" s="5">
        <v>420</v>
      </c>
      <c r="B37" s="5" t="s">
        <v>114</v>
      </c>
      <c r="C37" s="5" t="s">
        <v>116</v>
      </c>
      <c r="D37" s="5" t="s">
        <v>54</v>
      </c>
      <c r="E37" s="5" t="s">
        <v>101</v>
      </c>
      <c r="F37" s="5">
        <v>873</v>
      </c>
      <c r="G37" s="5">
        <v>49</v>
      </c>
      <c r="H37" s="5">
        <v>70920</v>
      </c>
      <c r="I37" s="5" t="s">
        <v>10</v>
      </c>
      <c r="J37" s="5" t="s">
        <v>119</v>
      </c>
      <c r="K37" s="5" t="s">
        <v>100</v>
      </c>
      <c r="L37" s="14">
        <v>1.0522582756000001</v>
      </c>
      <c r="M37" s="9">
        <v>0</v>
      </c>
      <c r="N37" s="9">
        <v>0</v>
      </c>
      <c r="O37" s="9">
        <v>0</v>
      </c>
      <c r="P37" s="9">
        <v>1.33</v>
      </c>
      <c r="Q37" s="9">
        <v>1.33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1.33</v>
      </c>
      <c r="AP37" s="9">
        <v>1.33</v>
      </c>
      <c r="AQ37" s="9">
        <v>0</v>
      </c>
      <c r="AR37" s="9">
        <v>0</v>
      </c>
      <c r="AS37" s="9">
        <v>0</v>
      </c>
      <c r="AT37" s="9">
        <v>1.4</v>
      </c>
      <c r="AU37" s="9">
        <v>1.4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1.4</v>
      </c>
      <c r="BT37" s="9">
        <v>1.4</v>
      </c>
      <c r="BU37" s="9">
        <v>0</v>
      </c>
      <c r="BV37" s="9">
        <v>0</v>
      </c>
      <c r="BW37" s="9">
        <v>0</v>
      </c>
      <c r="BX37" s="9">
        <v>1.28</v>
      </c>
      <c r="BY37" s="9">
        <v>1.28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9">
        <v>0</v>
      </c>
      <c r="CW37" s="9">
        <v>1.28</v>
      </c>
      <c r="CX37" s="9">
        <v>1.28</v>
      </c>
      <c r="CY37" s="9">
        <v>0</v>
      </c>
      <c r="CZ37" s="9">
        <v>0</v>
      </c>
      <c r="DA37" s="9">
        <v>0</v>
      </c>
      <c r="DB37" s="9">
        <v>1.35</v>
      </c>
      <c r="DC37" s="9">
        <v>1.35</v>
      </c>
      <c r="DD37" s="9">
        <v>0</v>
      </c>
      <c r="DE37" s="9">
        <v>0</v>
      </c>
      <c r="DF37" s="9">
        <v>0</v>
      </c>
      <c r="DG37" s="9">
        <v>0</v>
      </c>
      <c r="DH37" s="9">
        <v>0</v>
      </c>
      <c r="DI37" s="9">
        <v>0</v>
      </c>
      <c r="DJ37" s="9">
        <v>0</v>
      </c>
      <c r="DK37" s="9">
        <v>0</v>
      </c>
      <c r="DL37" s="9">
        <v>0</v>
      </c>
      <c r="DM37" s="9">
        <v>0</v>
      </c>
      <c r="DN37" s="9">
        <v>0</v>
      </c>
      <c r="DO37" s="9">
        <v>0</v>
      </c>
      <c r="DP37" s="9">
        <v>0</v>
      </c>
      <c r="DQ37" s="9">
        <v>0</v>
      </c>
      <c r="DR37" s="9">
        <v>0</v>
      </c>
      <c r="DS37" s="9">
        <v>0</v>
      </c>
      <c r="DT37" s="9">
        <v>0</v>
      </c>
      <c r="DU37" s="9">
        <v>0</v>
      </c>
      <c r="DV37" s="9">
        <v>0</v>
      </c>
      <c r="DW37" s="9">
        <v>0</v>
      </c>
      <c r="DX37" s="9">
        <v>0</v>
      </c>
      <c r="DY37" s="9">
        <v>0</v>
      </c>
      <c r="DZ37" s="9">
        <v>0</v>
      </c>
      <c r="EA37" s="9">
        <v>1.35</v>
      </c>
      <c r="EB37" s="9">
        <v>1.35</v>
      </c>
    </row>
    <row r="38" spans="1:132" x14ac:dyDescent="0.35">
      <c r="A38" s="5">
        <v>420</v>
      </c>
      <c r="B38" s="5" t="s">
        <v>114</v>
      </c>
      <c r="C38" s="5" t="s">
        <v>116</v>
      </c>
      <c r="D38" s="5" t="s">
        <v>54</v>
      </c>
      <c r="E38" s="5" t="s">
        <v>101</v>
      </c>
      <c r="F38" s="5">
        <v>874</v>
      </c>
      <c r="G38" s="5">
        <v>49</v>
      </c>
      <c r="H38" s="5">
        <v>70938</v>
      </c>
      <c r="I38" s="5" t="s">
        <v>9</v>
      </c>
      <c r="J38" s="5" t="s">
        <v>98</v>
      </c>
      <c r="K38" s="5" t="s">
        <v>100</v>
      </c>
      <c r="L38" s="14">
        <v>1.0522582756000001</v>
      </c>
      <c r="M38" s="9">
        <v>0</v>
      </c>
      <c r="N38" s="9">
        <v>0</v>
      </c>
      <c r="O38" s="9">
        <v>0.97</v>
      </c>
      <c r="P38" s="9">
        <v>0</v>
      </c>
      <c r="Q38" s="9">
        <v>0.97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0.97</v>
      </c>
      <c r="AO38" s="9">
        <v>0</v>
      </c>
      <c r="AP38" s="9">
        <v>0.97</v>
      </c>
      <c r="AQ38" s="9">
        <v>0</v>
      </c>
      <c r="AR38" s="9">
        <v>0</v>
      </c>
      <c r="AS38" s="9">
        <v>1.02</v>
      </c>
      <c r="AT38" s="9">
        <v>0</v>
      </c>
      <c r="AU38" s="9">
        <v>1.02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v>0</v>
      </c>
      <c r="BQ38" s="9">
        <v>0</v>
      </c>
      <c r="BR38" s="9">
        <v>1.02</v>
      </c>
      <c r="BS38" s="9">
        <v>0</v>
      </c>
      <c r="BT38" s="9">
        <v>1.02</v>
      </c>
      <c r="BU38" s="9">
        <v>0</v>
      </c>
      <c r="BV38" s="9">
        <v>0</v>
      </c>
      <c r="BW38" s="9">
        <v>0.97</v>
      </c>
      <c r="BX38" s="9">
        <v>0</v>
      </c>
      <c r="BY38" s="9">
        <v>0.97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9">
        <v>0</v>
      </c>
      <c r="CT38" s="9">
        <v>0</v>
      </c>
      <c r="CU38" s="9">
        <v>0</v>
      </c>
      <c r="CV38" s="9">
        <v>0.97</v>
      </c>
      <c r="CW38" s="9">
        <v>0</v>
      </c>
      <c r="CX38" s="9">
        <v>0.97</v>
      </c>
      <c r="CY38" s="9">
        <v>0</v>
      </c>
      <c r="CZ38" s="9">
        <v>0</v>
      </c>
      <c r="DA38" s="9">
        <v>1.02</v>
      </c>
      <c r="DB38" s="9">
        <v>0</v>
      </c>
      <c r="DC38" s="9">
        <v>1.02</v>
      </c>
      <c r="DD38" s="9">
        <v>0</v>
      </c>
      <c r="DE38" s="9">
        <v>0</v>
      </c>
      <c r="DF38" s="9">
        <v>0</v>
      </c>
      <c r="DG38" s="9">
        <v>0</v>
      </c>
      <c r="DH38" s="9">
        <v>0</v>
      </c>
      <c r="DI38" s="9">
        <v>0</v>
      </c>
      <c r="DJ38" s="9">
        <v>0</v>
      </c>
      <c r="DK38" s="9">
        <v>0</v>
      </c>
      <c r="DL38" s="9">
        <v>0</v>
      </c>
      <c r="DM38" s="9">
        <v>0</v>
      </c>
      <c r="DN38" s="9">
        <v>0</v>
      </c>
      <c r="DO38" s="9">
        <v>0</v>
      </c>
      <c r="DP38" s="9">
        <v>0</v>
      </c>
      <c r="DQ38" s="9">
        <v>0</v>
      </c>
      <c r="DR38" s="9">
        <v>0</v>
      </c>
      <c r="DS38" s="9">
        <v>0</v>
      </c>
      <c r="DT38" s="9">
        <v>0</v>
      </c>
      <c r="DU38" s="9">
        <v>0</v>
      </c>
      <c r="DV38" s="9">
        <v>0</v>
      </c>
      <c r="DW38" s="9">
        <v>0</v>
      </c>
      <c r="DX38" s="9">
        <v>0</v>
      </c>
      <c r="DY38" s="9">
        <v>0</v>
      </c>
      <c r="DZ38" s="9">
        <v>1.02</v>
      </c>
      <c r="EA38" s="9">
        <v>0</v>
      </c>
      <c r="EB38" s="9">
        <v>1.02</v>
      </c>
    </row>
    <row r="39" spans="1:132" x14ac:dyDescent="0.35">
      <c r="A39" s="5">
        <v>420</v>
      </c>
      <c r="B39" s="5" t="s">
        <v>114</v>
      </c>
      <c r="C39" s="5" t="s">
        <v>116</v>
      </c>
      <c r="D39" s="5" t="s">
        <v>54</v>
      </c>
      <c r="E39" s="5" t="s">
        <v>101</v>
      </c>
      <c r="F39" s="5">
        <v>876</v>
      </c>
      <c r="G39" s="5">
        <v>49</v>
      </c>
      <c r="H39" s="5">
        <v>70961</v>
      </c>
      <c r="I39" s="5" t="s">
        <v>154</v>
      </c>
      <c r="J39" s="5" t="s">
        <v>98</v>
      </c>
      <c r="K39" s="5" t="s">
        <v>100</v>
      </c>
      <c r="L39" s="14">
        <v>1.0522582756000001</v>
      </c>
      <c r="M39" s="9">
        <v>2.77</v>
      </c>
      <c r="N39" s="9">
        <v>0.99</v>
      </c>
      <c r="O39" s="9">
        <v>0</v>
      </c>
      <c r="P39" s="9">
        <v>0</v>
      </c>
      <c r="Q39" s="9">
        <v>3.76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2.77</v>
      </c>
      <c r="AM39" s="9">
        <v>0.99</v>
      </c>
      <c r="AN39" s="9">
        <v>0</v>
      </c>
      <c r="AO39" s="9">
        <v>0</v>
      </c>
      <c r="AP39" s="9">
        <v>3.76</v>
      </c>
      <c r="AQ39" s="9">
        <v>2.91</v>
      </c>
      <c r="AR39" s="9">
        <v>1.04</v>
      </c>
      <c r="AS39" s="9">
        <v>0</v>
      </c>
      <c r="AT39" s="9">
        <v>0</v>
      </c>
      <c r="AU39" s="9">
        <v>3.95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v>2.91</v>
      </c>
      <c r="BQ39" s="9">
        <v>1.04</v>
      </c>
      <c r="BR39" s="9">
        <v>0</v>
      </c>
      <c r="BS39" s="9">
        <v>0</v>
      </c>
      <c r="BT39" s="9">
        <v>3.95</v>
      </c>
      <c r="BU39" s="9">
        <v>0</v>
      </c>
      <c r="BV39" s="9">
        <v>2.76</v>
      </c>
      <c r="BW39" s="9">
        <v>0.96</v>
      </c>
      <c r="BX39" s="9">
        <v>0</v>
      </c>
      <c r="BY39" s="9">
        <v>3.72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9">
        <v>0</v>
      </c>
      <c r="CT39" s="9">
        <v>0</v>
      </c>
      <c r="CU39" s="9">
        <v>2.76</v>
      </c>
      <c r="CV39" s="9">
        <v>0.96</v>
      </c>
      <c r="CW39" s="9">
        <v>0</v>
      </c>
      <c r="CX39" s="9">
        <v>3.72</v>
      </c>
      <c r="CY39" s="9">
        <v>0</v>
      </c>
      <c r="CZ39" s="9">
        <v>2.9</v>
      </c>
      <c r="DA39" s="9">
        <v>1.01</v>
      </c>
      <c r="DB39" s="9">
        <v>0</v>
      </c>
      <c r="DC39" s="9">
        <v>3.91</v>
      </c>
      <c r="DD39" s="9">
        <v>0</v>
      </c>
      <c r="DE39" s="9">
        <v>0</v>
      </c>
      <c r="DF39" s="9">
        <v>0</v>
      </c>
      <c r="DG39" s="9">
        <v>0</v>
      </c>
      <c r="DH39" s="9">
        <v>0</v>
      </c>
      <c r="DI39" s="9">
        <v>0</v>
      </c>
      <c r="DJ39" s="9">
        <v>0</v>
      </c>
      <c r="DK39" s="9">
        <v>0</v>
      </c>
      <c r="DL39" s="9">
        <v>0</v>
      </c>
      <c r="DM39" s="9">
        <v>0</v>
      </c>
      <c r="DN39" s="9">
        <v>0</v>
      </c>
      <c r="DO39" s="9">
        <v>0</v>
      </c>
      <c r="DP39" s="9">
        <v>0</v>
      </c>
      <c r="DQ39" s="9">
        <v>0</v>
      </c>
      <c r="DR39" s="9">
        <v>0</v>
      </c>
      <c r="DS39" s="9">
        <v>0</v>
      </c>
      <c r="DT39" s="9">
        <v>0</v>
      </c>
      <c r="DU39" s="9">
        <v>0</v>
      </c>
      <c r="DV39" s="9">
        <v>0</v>
      </c>
      <c r="DW39" s="9">
        <v>0</v>
      </c>
      <c r="DX39" s="9">
        <v>0</v>
      </c>
      <c r="DY39" s="9">
        <v>2.9</v>
      </c>
      <c r="DZ39" s="9">
        <v>1.01</v>
      </c>
      <c r="EA39" s="9">
        <v>0</v>
      </c>
      <c r="EB39" s="9">
        <v>3.91</v>
      </c>
    </row>
    <row r="40" spans="1:132" x14ac:dyDescent="0.35">
      <c r="A40" s="5">
        <v>420</v>
      </c>
      <c r="B40" s="5" t="s">
        <v>114</v>
      </c>
      <c r="C40" s="5" t="s">
        <v>116</v>
      </c>
      <c r="D40" s="5" t="s">
        <v>54</v>
      </c>
      <c r="E40" s="5" t="s">
        <v>101</v>
      </c>
      <c r="F40" s="5">
        <v>877</v>
      </c>
      <c r="G40" s="5">
        <v>49</v>
      </c>
      <c r="H40" s="5">
        <v>70979</v>
      </c>
      <c r="I40" s="5" t="s">
        <v>155</v>
      </c>
      <c r="J40" s="5" t="s">
        <v>98</v>
      </c>
      <c r="K40" s="5" t="s">
        <v>100</v>
      </c>
      <c r="L40" s="14">
        <v>1.0522582756000001</v>
      </c>
      <c r="M40" s="9">
        <v>5.59</v>
      </c>
      <c r="N40" s="9">
        <v>4.54</v>
      </c>
      <c r="O40" s="9">
        <v>0</v>
      </c>
      <c r="P40" s="9">
        <v>0</v>
      </c>
      <c r="Q40" s="9">
        <v>10.130000000000001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5.59</v>
      </c>
      <c r="AM40" s="9">
        <v>4.54</v>
      </c>
      <c r="AN40" s="9">
        <v>0</v>
      </c>
      <c r="AO40" s="9">
        <v>0</v>
      </c>
      <c r="AP40" s="9">
        <v>10.130000000000001</v>
      </c>
      <c r="AQ40" s="9">
        <v>5.88</v>
      </c>
      <c r="AR40" s="9">
        <v>4.78</v>
      </c>
      <c r="AS40" s="9">
        <v>0</v>
      </c>
      <c r="AT40" s="9">
        <v>0</v>
      </c>
      <c r="AU40" s="9">
        <v>10.66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5.88</v>
      </c>
      <c r="BQ40" s="9">
        <v>4.78</v>
      </c>
      <c r="BR40" s="9">
        <v>0</v>
      </c>
      <c r="BS40" s="9">
        <v>0</v>
      </c>
      <c r="BT40" s="9">
        <v>10.66</v>
      </c>
      <c r="BU40" s="9">
        <v>5.66</v>
      </c>
      <c r="BV40" s="9">
        <v>5.59</v>
      </c>
      <c r="BW40" s="9">
        <v>0.99</v>
      </c>
      <c r="BX40" s="9">
        <v>0</v>
      </c>
      <c r="BY40" s="9">
        <v>12.24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5.66</v>
      </c>
      <c r="CU40" s="9">
        <v>5.59</v>
      </c>
      <c r="CV40" s="9">
        <v>0.99</v>
      </c>
      <c r="CW40" s="9">
        <v>0</v>
      </c>
      <c r="CX40" s="9">
        <v>12.24</v>
      </c>
      <c r="CY40" s="9">
        <v>5.96</v>
      </c>
      <c r="CZ40" s="9">
        <v>5.88</v>
      </c>
      <c r="DA40" s="9">
        <v>1.04</v>
      </c>
      <c r="DB40" s="9">
        <v>0</v>
      </c>
      <c r="DC40" s="9">
        <v>12.88</v>
      </c>
      <c r="DD40" s="9">
        <v>0</v>
      </c>
      <c r="DE40" s="9">
        <v>0</v>
      </c>
      <c r="DF40" s="9">
        <v>0</v>
      </c>
      <c r="DG40" s="9">
        <v>0</v>
      </c>
      <c r="DH40" s="9">
        <v>0</v>
      </c>
      <c r="DI40" s="9">
        <v>0</v>
      </c>
      <c r="DJ40" s="9">
        <v>0</v>
      </c>
      <c r="DK40" s="9">
        <v>0</v>
      </c>
      <c r="DL40" s="9">
        <v>0</v>
      </c>
      <c r="DM40" s="9">
        <v>0</v>
      </c>
      <c r="DN40" s="9">
        <v>0</v>
      </c>
      <c r="DO40" s="9">
        <v>0</v>
      </c>
      <c r="DP40" s="9">
        <v>0</v>
      </c>
      <c r="DQ40" s="9">
        <v>0</v>
      </c>
      <c r="DR40" s="9">
        <v>0</v>
      </c>
      <c r="DS40" s="9">
        <v>0</v>
      </c>
      <c r="DT40" s="9">
        <v>0</v>
      </c>
      <c r="DU40" s="9">
        <v>0</v>
      </c>
      <c r="DV40" s="9">
        <v>0</v>
      </c>
      <c r="DW40" s="9">
        <v>0</v>
      </c>
      <c r="DX40" s="9">
        <v>5.96</v>
      </c>
      <c r="DY40" s="9">
        <v>5.88</v>
      </c>
      <c r="DZ40" s="9">
        <v>1.04</v>
      </c>
      <c r="EA40" s="9">
        <v>0</v>
      </c>
      <c r="EB40" s="9">
        <v>12.88</v>
      </c>
    </row>
    <row r="41" spans="1:132" x14ac:dyDescent="0.35">
      <c r="A41" s="5">
        <v>420</v>
      </c>
      <c r="B41" s="5" t="s">
        <v>114</v>
      </c>
      <c r="C41" s="5" t="s">
        <v>116</v>
      </c>
      <c r="D41" s="5" t="s">
        <v>54</v>
      </c>
      <c r="E41" s="5" t="s">
        <v>101</v>
      </c>
      <c r="F41" s="5">
        <v>882</v>
      </c>
      <c r="G41" s="5">
        <v>49</v>
      </c>
      <c r="H41" s="5">
        <v>73882</v>
      </c>
      <c r="I41" s="5" t="s">
        <v>6</v>
      </c>
      <c r="J41" s="5" t="s">
        <v>101</v>
      </c>
      <c r="K41" s="5" t="s">
        <v>100</v>
      </c>
      <c r="L41" s="14">
        <v>1.0522582756000001</v>
      </c>
      <c r="M41" s="9">
        <v>1.75</v>
      </c>
      <c r="N41" s="9">
        <v>2.61</v>
      </c>
      <c r="O41" s="9">
        <v>1.94</v>
      </c>
      <c r="P41" s="9">
        <v>8.1199999999999992</v>
      </c>
      <c r="Q41" s="9">
        <v>14.42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1.75</v>
      </c>
      <c r="AM41" s="9">
        <v>2.61</v>
      </c>
      <c r="AN41" s="9">
        <v>1.94</v>
      </c>
      <c r="AO41" s="9">
        <v>8.1199999999999992</v>
      </c>
      <c r="AP41" s="9">
        <v>14.42</v>
      </c>
      <c r="AQ41" s="9">
        <v>1.84</v>
      </c>
      <c r="AR41" s="9">
        <v>2.75</v>
      </c>
      <c r="AS41" s="9">
        <v>2.04</v>
      </c>
      <c r="AT41" s="9">
        <v>8.5399999999999991</v>
      </c>
      <c r="AU41" s="9">
        <v>15.17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v>1.84</v>
      </c>
      <c r="BQ41" s="9">
        <v>2.75</v>
      </c>
      <c r="BR41" s="9">
        <v>2.04</v>
      </c>
      <c r="BS41" s="9">
        <v>8.5399999999999991</v>
      </c>
      <c r="BT41" s="9">
        <v>15.17</v>
      </c>
      <c r="BU41" s="9">
        <v>1.7</v>
      </c>
      <c r="BV41" s="9">
        <v>2.61</v>
      </c>
      <c r="BW41" s="9">
        <v>1.94</v>
      </c>
      <c r="BX41" s="9">
        <v>8.23</v>
      </c>
      <c r="BY41" s="9">
        <v>14.48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9">
        <v>0</v>
      </c>
      <c r="CT41" s="9">
        <v>1.7</v>
      </c>
      <c r="CU41" s="9">
        <v>2.61</v>
      </c>
      <c r="CV41" s="9">
        <v>1.94</v>
      </c>
      <c r="CW41" s="9">
        <v>8.23</v>
      </c>
      <c r="CX41" s="9">
        <v>14.48</v>
      </c>
      <c r="CY41" s="9">
        <v>1.79</v>
      </c>
      <c r="CZ41" s="9">
        <v>2.75</v>
      </c>
      <c r="DA41" s="9">
        <v>2.04</v>
      </c>
      <c r="DB41" s="9">
        <v>8.66</v>
      </c>
      <c r="DC41" s="9">
        <v>15.24</v>
      </c>
      <c r="DD41" s="9">
        <v>0</v>
      </c>
      <c r="DE41" s="9">
        <v>0</v>
      </c>
      <c r="DF41" s="9">
        <v>0</v>
      </c>
      <c r="DG41" s="9">
        <v>0</v>
      </c>
      <c r="DH41" s="9">
        <v>0</v>
      </c>
      <c r="DI41" s="9">
        <v>0</v>
      </c>
      <c r="DJ41" s="9">
        <v>0</v>
      </c>
      <c r="DK41" s="9">
        <v>0</v>
      </c>
      <c r="DL41" s="9">
        <v>0</v>
      </c>
      <c r="DM41" s="9">
        <v>0</v>
      </c>
      <c r="DN41" s="9">
        <v>0</v>
      </c>
      <c r="DO41" s="9">
        <v>0</v>
      </c>
      <c r="DP41" s="9">
        <v>0</v>
      </c>
      <c r="DQ41" s="9">
        <v>0</v>
      </c>
      <c r="DR41" s="9">
        <v>0</v>
      </c>
      <c r="DS41" s="9">
        <v>0</v>
      </c>
      <c r="DT41" s="9">
        <v>0</v>
      </c>
      <c r="DU41" s="9">
        <v>0</v>
      </c>
      <c r="DV41" s="9">
        <v>0</v>
      </c>
      <c r="DW41" s="9">
        <v>0</v>
      </c>
      <c r="DX41" s="9">
        <v>1.79</v>
      </c>
      <c r="DY41" s="9">
        <v>2.75</v>
      </c>
      <c r="DZ41" s="9">
        <v>2.04</v>
      </c>
      <c r="EA41" s="9">
        <v>8.66</v>
      </c>
      <c r="EB41" s="9">
        <v>15.24</v>
      </c>
    </row>
    <row r="42" spans="1:132" x14ac:dyDescent="0.35">
      <c r="A42" s="5">
        <v>427</v>
      </c>
      <c r="B42" s="5" t="s">
        <v>120</v>
      </c>
      <c r="C42" s="5" t="s">
        <v>121</v>
      </c>
      <c r="D42" s="5" t="s">
        <v>50</v>
      </c>
      <c r="E42" s="5" t="s">
        <v>101</v>
      </c>
      <c r="F42" s="5">
        <v>423</v>
      </c>
      <c r="G42" s="5">
        <v>23</v>
      </c>
      <c r="H42" s="5">
        <v>65540</v>
      </c>
      <c r="I42" s="5" t="s">
        <v>52</v>
      </c>
      <c r="J42" s="5" t="s">
        <v>101</v>
      </c>
      <c r="K42" s="5" t="s">
        <v>100</v>
      </c>
      <c r="L42" s="14">
        <v>1</v>
      </c>
      <c r="M42" s="9">
        <v>0</v>
      </c>
      <c r="N42" s="9">
        <v>0</v>
      </c>
      <c r="O42" s="9">
        <v>0</v>
      </c>
      <c r="P42" s="9">
        <v>4.83</v>
      </c>
      <c r="Q42" s="9">
        <v>4.83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4.83</v>
      </c>
      <c r="AP42" s="9">
        <v>4.83</v>
      </c>
      <c r="AQ42" s="9">
        <v>0</v>
      </c>
      <c r="AR42" s="9">
        <v>0</v>
      </c>
      <c r="AS42" s="9">
        <v>0</v>
      </c>
      <c r="AT42" s="9">
        <v>4.83</v>
      </c>
      <c r="AU42" s="9">
        <v>4.83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v>0</v>
      </c>
      <c r="BQ42" s="9">
        <v>0</v>
      </c>
      <c r="BR42" s="9">
        <v>0</v>
      </c>
      <c r="BS42" s="9">
        <v>4.83</v>
      </c>
      <c r="BT42" s="9">
        <v>4.83</v>
      </c>
      <c r="BU42" s="9">
        <v>0</v>
      </c>
      <c r="BV42" s="9">
        <v>0</v>
      </c>
      <c r="BW42" s="9">
        <v>0</v>
      </c>
      <c r="BX42" s="9">
        <v>4.84</v>
      </c>
      <c r="BY42" s="9">
        <v>4.84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9">
        <v>0</v>
      </c>
      <c r="CT42" s="9">
        <v>0</v>
      </c>
      <c r="CU42" s="9">
        <v>0</v>
      </c>
      <c r="CV42" s="9">
        <v>0</v>
      </c>
      <c r="CW42" s="9">
        <v>4.84</v>
      </c>
      <c r="CX42" s="9">
        <v>4.84</v>
      </c>
      <c r="CY42" s="9">
        <v>0</v>
      </c>
      <c r="CZ42" s="9">
        <v>0</v>
      </c>
      <c r="DA42" s="9">
        <v>0</v>
      </c>
      <c r="DB42" s="9">
        <v>4.84</v>
      </c>
      <c r="DC42" s="9">
        <v>4.84</v>
      </c>
      <c r="DD42" s="9">
        <v>0</v>
      </c>
      <c r="DE42" s="9">
        <v>0</v>
      </c>
      <c r="DF42" s="9">
        <v>0</v>
      </c>
      <c r="DG42" s="9">
        <v>0</v>
      </c>
      <c r="DH42" s="9">
        <v>0</v>
      </c>
      <c r="DI42" s="9">
        <v>0</v>
      </c>
      <c r="DJ42" s="9">
        <v>0</v>
      </c>
      <c r="DK42" s="9">
        <v>0</v>
      </c>
      <c r="DL42" s="9">
        <v>0</v>
      </c>
      <c r="DM42" s="9">
        <v>0</v>
      </c>
      <c r="DN42" s="9">
        <v>0</v>
      </c>
      <c r="DO42" s="9">
        <v>0</v>
      </c>
      <c r="DP42" s="9">
        <v>0</v>
      </c>
      <c r="DQ42" s="9">
        <v>0</v>
      </c>
      <c r="DR42" s="9">
        <v>0</v>
      </c>
      <c r="DS42" s="9">
        <v>0</v>
      </c>
      <c r="DT42" s="9">
        <v>0</v>
      </c>
      <c r="DU42" s="9">
        <v>0</v>
      </c>
      <c r="DV42" s="9">
        <v>0</v>
      </c>
      <c r="DW42" s="9">
        <v>0</v>
      </c>
      <c r="DX42" s="9">
        <v>0</v>
      </c>
      <c r="DY42" s="9">
        <v>0</v>
      </c>
      <c r="DZ42" s="9">
        <v>0</v>
      </c>
      <c r="EA42" s="9">
        <v>4.84</v>
      </c>
      <c r="EB42" s="9">
        <v>4.84</v>
      </c>
    </row>
    <row r="43" spans="1:132" x14ac:dyDescent="0.35">
      <c r="A43" s="5">
        <v>427</v>
      </c>
      <c r="B43" s="5" t="s">
        <v>120</v>
      </c>
      <c r="C43" s="5" t="s">
        <v>121</v>
      </c>
      <c r="D43" s="5" t="s">
        <v>50</v>
      </c>
      <c r="E43" s="5" t="s">
        <v>101</v>
      </c>
      <c r="F43" s="5">
        <v>425</v>
      </c>
      <c r="G43" s="5">
        <v>23</v>
      </c>
      <c r="H43" s="5">
        <v>65565</v>
      </c>
      <c r="I43" s="5" t="s">
        <v>51</v>
      </c>
      <c r="J43" s="5" t="s">
        <v>101</v>
      </c>
      <c r="K43" s="5" t="s">
        <v>100</v>
      </c>
      <c r="L43" s="14">
        <v>1</v>
      </c>
      <c r="M43" s="9">
        <v>6.35</v>
      </c>
      <c r="N43" s="9">
        <v>7.39</v>
      </c>
      <c r="O43" s="9">
        <v>7.66</v>
      </c>
      <c r="P43" s="9">
        <v>21.75</v>
      </c>
      <c r="Q43" s="9">
        <v>43.15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6.35</v>
      </c>
      <c r="AM43" s="9">
        <v>7.39</v>
      </c>
      <c r="AN43" s="9">
        <v>7.66</v>
      </c>
      <c r="AO43" s="9">
        <v>21.75</v>
      </c>
      <c r="AP43" s="9">
        <v>43.15</v>
      </c>
      <c r="AQ43" s="9">
        <v>6.35</v>
      </c>
      <c r="AR43" s="9">
        <v>7.39</v>
      </c>
      <c r="AS43" s="9">
        <v>7.66</v>
      </c>
      <c r="AT43" s="9">
        <v>21.75</v>
      </c>
      <c r="AU43" s="9">
        <v>43.15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6.35</v>
      </c>
      <c r="BQ43" s="9">
        <v>7.39</v>
      </c>
      <c r="BR43" s="9">
        <v>7.66</v>
      </c>
      <c r="BS43" s="9">
        <v>21.75</v>
      </c>
      <c r="BT43" s="9">
        <v>43.15</v>
      </c>
      <c r="BU43" s="9">
        <v>6.28</v>
      </c>
      <c r="BV43" s="9">
        <v>7.31</v>
      </c>
      <c r="BW43" s="9">
        <v>7.58</v>
      </c>
      <c r="BX43" s="9">
        <v>21.82</v>
      </c>
      <c r="BY43" s="9">
        <v>42.99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6.28</v>
      </c>
      <c r="CU43" s="9">
        <v>7.31</v>
      </c>
      <c r="CV43" s="9">
        <v>7.58</v>
      </c>
      <c r="CW43" s="9">
        <v>21.82</v>
      </c>
      <c r="CX43" s="9">
        <v>42.99</v>
      </c>
      <c r="CY43" s="9">
        <v>6.28</v>
      </c>
      <c r="CZ43" s="9">
        <v>7.31</v>
      </c>
      <c r="DA43" s="9">
        <v>7.58</v>
      </c>
      <c r="DB43" s="9">
        <v>21.82</v>
      </c>
      <c r="DC43" s="9">
        <v>42.99</v>
      </c>
      <c r="DD43" s="9">
        <v>0</v>
      </c>
      <c r="DE43" s="9">
        <v>0</v>
      </c>
      <c r="DF43" s="9">
        <v>0</v>
      </c>
      <c r="DG43" s="9">
        <v>0</v>
      </c>
      <c r="DH43" s="9">
        <v>0</v>
      </c>
      <c r="DI43" s="9">
        <v>0</v>
      </c>
      <c r="DJ43" s="9">
        <v>0</v>
      </c>
      <c r="DK43" s="9">
        <v>0</v>
      </c>
      <c r="DL43" s="9">
        <v>0</v>
      </c>
      <c r="DM43" s="9">
        <v>0</v>
      </c>
      <c r="DN43" s="9">
        <v>0</v>
      </c>
      <c r="DO43" s="9">
        <v>0</v>
      </c>
      <c r="DP43" s="9">
        <v>0</v>
      </c>
      <c r="DQ43" s="9">
        <v>0</v>
      </c>
      <c r="DR43" s="9">
        <v>0</v>
      </c>
      <c r="DS43" s="9">
        <v>0</v>
      </c>
      <c r="DT43" s="9">
        <v>0</v>
      </c>
      <c r="DU43" s="9">
        <v>0</v>
      </c>
      <c r="DV43" s="9">
        <v>0</v>
      </c>
      <c r="DW43" s="9">
        <v>0</v>
      </c>
      <c r="DX43" s="9">
        <v>6.28</v>
      </c>
      <c r="DY43" s="9">
        <v>7.31</v>
      </c>
      <c r="DZ43" s="9">
        <v>7.58</v>
      </c>
      <c r="EA43" s="9">
        <v>21.82</v>
      </c>
      <c r="EB43" s="9">
        <v>42.99</v>
      </c>
    </row>
    <row r="44" spans="1:132" x14ac:dyDescent="0.35">
      <c r="A44" s="5">
        <v>488</v>
      </c>
      <c r="B44" s="5" t="s">
        <v>111</v>
      </c>
      <c r="C44" s="5" t="s">
        <v>112</v>
      </c>
      <c r="D44" s="5" t="s">
        <v>113</v>
      </c>
      <c r="E44" s="5" t="s">
        <v>101</v>
      </c>
      <c r="F44" s="5">
        <v>299</v>
      </c>
      <c r="G44" s="5">
        <v>17</v>
      </c>
      <c r="H44" s="5">
        <v>64055</v>
      </c>
      <c r="I44" s="5" t="s">
        <v>60</v>
      </c>
      <c r="J44" s="5" t="s">
        <v>101</v>
      </c>
      <c r="K44" s="5" t="s">
        <v>100</v>
      </c>
      <c r="L44" s="14">
        <v>1</v>
      </c>
      <c r="M44" s="9">
        <v>0</v>
      </c>
      <c r="N44" s="9">
        <v>0.95</v>
      </c>
      <c r="O44" s="9">
        <v>0.98</v>
      </c>
      <c r="P44" s="9">
        <v>0.99</v>
      </c>
      <c r="Q44" s="9">
        <v>2.92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0.95</v>
      </c>
      <c r="AN44" s="9">
        <v>0.98</v>
      </c>
      <c r="AO44" s="9">
        <v>0.99</v>
      </c>
      <c r="AP44" s="9">
        <v>2.92</v>
      </c>
      <c r="AQ44" s="9">
        <v>0</v>
      </c>
      <c r="AR44" s="9">
        <v>0.95</v>
      </c>
      <c r="AS44" s="9">
        <v>0.98</v>
      </c>
      <c r="AT44" s="9">
        <v>0.99</v>
      </c>
      <c r="AU44" s="9">
        <v>2.92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9">
        <v>0</v>
      </c>
      <c r="BN44" s="9">
        <v>0</v>
      </c>
      <c r="BO44" s="9">
        <v>0</v>
      </c>
      <c r="BP44" s="9">
        <v>0</v>
      </c>
      <c r="BQ44" s="9">
        <v>0.95</v>
      </c>
      <c r="BR44" s="9">
        <v>0.98</v>
      </c>
      <c r="BS44" s="9">
        <v>0.99</v>
      </c>
      <c r="BT44" s="9">
        <v>2.92</v>
      </c>
      <c r="BU44" s="9">
        <v>0</v>
      </c>
      <c r="BV44" s="9">
        <v>0.95</v>
      </c>
      <c r="BW44" s="9">
        <v>0.98</v>
      </c>
      <c r="BX44" s="9">
        <v>0.99</v>
      </c>
      <c r="BY44" s="9">
        <v>2.92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9">
        <v>0</v>
      </c>
      <c r="CT44" s="9">
        <v>0</v>
      </c>
      <c r="CU44" s="9">
        <v>0.95</v>
      </c>
      <c r="CV44" s="9">
        <v>0.98</v>
      </c>
      <c r="CW44" s="9">
        <v>0.99</v>
      </c>
      <c r="CX44" s="9">
        <v>2.92</v>
      </c>
      <c r="CY44" s="9">
        <v>0</v>
      </c>
      <c r="CZ44" s="9">
        <v>0.95</v>
      </c>
      <c r="DA44" s="9">
        <v>0.98</v>
      </c>
      <c r="DB44" s="9">
        <v>0.99</v>
      </c>
      <c r="DC44" s="9">
        <v>2.92</v>
      </c>
      <c r="DD44" s="9">
        <v>0</v>
      </c>
      <c r="DE44" s="9">
        <v>0</v>
      </c>
      <c r="DF44" s="9">
        <v>0</v>
      </c>
      <c r="DG44" s="9">
        <v>0</v>
      </c>
      <c r="DH44" s="9">
        <v>0</v>
      </c>
      <c r="DI44" s="9">
        <v>0</v>
      </c>
      <c r="DJ44" s="9">
        <v>0</v>
      </c>
      <c r="DK44" s="9">
        <v>0</v>
      </c>
      <c r="DL44" s="9">
        <v>0</v>
      </c>
      <c r="DM44" s="9">
        <v>0</v>
      </c>
      <c r="DN44" s="9">
        <v>0</v>
      </c>
      <c r="DO44" s="9">
        <v>0</v>
      </c>
      <c r="DP44" s="9">
        <v>0</v>
      </c>
      <c r="DQ44" s="9">
        <v>0</v>
      </c>
      <c r="DR44" s="9">
        <v>0</v>
      </c>
      <c r="DS44" s="9">
        <v>0</v>
      </c>
      <c r="DT44" s="9">
        <v>0</v>
      </c>
      <c r="DU44" s="9">
        <v>0</v>
      </c>
      <c r="DV44" s="9">
        <v>0</v>
      </c>
      <c r="DW44" s="9">
        <v>0</v>
      </c>
      <c r="DX44" s="9">
        <v>0</v>
      </c>
      <c r="DY44" s="9">
        <v>0.95</v>
      </c>
      <c r="DZ44" s="9">
        <v>0.98</v>
      </c>
      <c r="EA44" s="9">
        <v>0.99</v>
      </c>
      <c r="EB44" s="9">
        <v>2.92</v>
      </c>
    </row>
    <row r="45" spans="1:132" x14ac:dyDescent="0.35">
      <c r="A45" s="5">
        <v>488</v>
      </c>
      <c r="B45" s="5" t="s">
        <v>111</v>
      </c>
      <c r="C45" s="5" t="s">
        <v>112</v>
      </c>
      <c r="D45" s="5" t="s">
        <v>113</v>
      </c>
      <c r="E45" s="5" t="s">
        <v>101</v>
      </c>
      <c r="F45" s="5">
        <v>486</v>
      </c>
      <c r="G45" s="5">
        <v>28</v>
      </c>
      <c r="H45" s="5">
        <v>66266</v>
      </c>
      <c r="I45" s="5" t="s">
        <v>26</v>
      </c>
      <c r="J45" s="5" t="s">
        <v>101</v>
      </c>
      <c r="K45" s="5" t="s">
        <v>100</v>
      </c>
      <c r="L45" s="14">
        <v>1</v>
      </c>
      <c r="M45" s="9">
        <v>14.35</v>
      </c>
      <c r="N45" s="9">
        <v>10.33</v>
      </c>
      <c r="O45" s="9">
        <v>6.63</v>
      </c>
      <c r="P45" s="9">
        <v>19.38</v>
      </c>
      <c r="Q45" s="9">
        <v>50.69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14.35</v>
      </c>
      <c r="AM45" s="9">
        <v>10.33</v>
      </c>
      <c r="AN45" s="9">
        <v>6.63</v>
      </c>
      <c r="AO45" s="9">
        <v>19.38</v>
      </c>
      <c r="AP45" s="9">
        <v>50.69</v>
      </c>
      <c r="AQ45" s="9">
        <v>14.35</v>
      </c>
      <c r="AR45" s="9">
        <v>10.33</v>
      </c>
      <c r="AS45" s="9">
        <v>6.63</v>
      </c>
      <c r="AT45" s="9">
        <v>19.38</v>
      </c>
      <c r="AU45" s="9">
        <v>50.69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9">
        <v>0</v>
      </c>
      <c r="BN45" s="9">
        <v>0</v>
      </c>
      <c r="BO45" s="9">
        <v>0</v>
      </c>
      <c r="BP45" s="9">
        <v>14.35</v>
      </c>
      <c r="BQ45" s="9">
        <v>10.33</v>
      </c>
      <c r="BR45" s="9">
        <v>6.63</v>
      </c>
      <c r="BS45" s="9">
        <v>19.38</v>
      </c>
      <c r="BT45" s="9">
        <v>50.69</v>
      </c>
      <c r="BU45" s="9">
        <v>14.24</v>
      </c>
      <c r="BV45" s="9">
        <v>10.27</v>
      </c>
      <c r="BW45" s="9">
        <v>6.63</v>
      </c>
      <c r="BX45" s="9">
        <v>19.27</v>
      </c>
      <c r="BY45" s="9">
        <v>50.41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9">
        <v>0</v>
      </c>
      <c r="CT45" s="9">
        <v>14.24</v>
      </c>
      <c r="CU45" s="9">
        <v>10.27</v>
      </c>
      <c r="CV45" s="9">
        <v>6.63</v>
      </c>
      <c r="CW45" s="9">
        <v>19.27</v>
      </c>
      <c r="CX45" s="9">
        <v>50.41</v>
      </c>
      <c r="CY45" s="9">
        <v>14.24</v>
      </c>
      <c r="CZ45" s="9">
        <v>10.27</v>
      </c>
      <c r="DA45" s="9">
        <v>6.63</v>
      </c>
      <c r="DB45" s="9">
        <v>19.27</v>
      </c>
      <c r="DC45" s="9">
        <v>50.41</v>
      </c>
      <c r="DD45" s="9">
        <v>0</v>
      </c>
      <c r="DE45" s="9">
        <v>0</v>
      </c>
      <c r="DF45" s="9">
        <v>0</v>
      </c>
      <c r="DG45" s="9">
        <v>0</v>
      </c>
      <c r="DH45" s="9">
        <v>0</v>
      </c>
      <c r="DI45" s="9">
        <v>0</v>
      </c>
      <c r="DJ45" s="9">
        <v>0</v>
      </c>
      <c r="DK45" s="9">
        <v>0</v>
      </c>
      <c r="DL45" s="9">
        <v>0</v>
      </c>
      <c r="DM45" s="9">
        <v>0</v>
      </c>
      <c r="DN45" s="9">
        <v>0</v>
      </c>
      <c r="DO45" s="9">
        <v>0</v>
      </c>
      <c r="DP45" s="9">
        <v>0</v>
      </c>
      <c r="DQ45" s="9">
        <v>0</v>
      </c>
      <c r="DR45" s="9">
        <v>0</v>
      </c>
      <c r="DS45" s="9">
        <v>0</v>
      </c>
      <c r="DT45" s="9">
        <v>0</v>
      </c>
      <c r="DU45" s="9">
        <v>0</v>
      </c>
      <c r="DV45" s="9">
        <v>0</v>
      </c>
      <c r="DW45" s="9">
        <v>0</v>
      </c>
      <c r="DX45" s="9">
        <v>14.24</v>
      </c>
      <c r="DY45" s="9">
        <v>10.27</v>
      </c>
      <c r="DZ45" s="9">
        <v>6.63</v>
      </c>
      <c r="EA45" s="9">
        <v>19.27</v>
      </c>
      <c r="EB45" s="9">
        <v>50.41</v>
      </c>
    </row>
    <row r="46" spans="1:132" x14ac:dyDescent="0.35">
      <c r="A46" s="5">
        <v>488</v>
      </c>
      <c r="B46" s="5" t="s">
        <v>111</v>
      </c>
      <c r="C46" s="5" t="s">
        <v>112</v>
      </c>
      <c r="D46" s="5" t="s">
        <v>113</v>
      </c>
      <c r="E46" s="5" t="s">
        <v>101</v>
      </c>
      <c r="F46" s="5">
        <v>841</v>
      </c>
      <c r="G46" s="5">
        <v>48</v>
      </c>
      <c r="H46" s="5">
        <v>70540</v>
      </c>
      <c r="I46" s="5" t="s">
        <v>25</v>
      </c>
      <c r="J46" s="5" t="s">
        <v>101</v>
      </c>
      <c r="K46" s="5" t="s">
        <v>100</v>
      </c>
      <c r="L46" s="14">
        <v>1</v>
      </c>
      <c r="M46" s="9">
        <v>0.97</v>
      </c>
      <c r="N46" s="9">
        <v>0.95</v>
      </c>
      <c r="O46" s="9">
        <v>0</v>
      </c>
      <c r="P46" s="9">
        <v>1</v>
      </c>
      <c r="Q46" s="9">
        <v>2.92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0.97</v>
      </c>
      <c r="AM46" s="9">
        <v>0.95</v>
      </c>
      <c r="AN46" s="9">
        <v>0</v>
      </c>
      <c r="AO46" s="9">
        <v>1</v>
      </c>
      <c r="AP46" s="9">
        <v>2.92</v>
      </c>
      <c r="AQ46" s="9">
        <v>0.97</v>
      </c>
      <c r="AR46" s="9">
        <v>0.95</v>
      </c>
      <c r="AS46" s="9">
        <v>0</v>
      </c>
      <c r="AT46" s="9">
        <v>1</v>
      </c>
      <c r="AU46" s="9">
        <v>2.92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0.97</v>
      </c>
      <c r="BQ46" s="9">
        <v>0.95</v>
      </c>
      <c r="BR46" s="9">
        <v>0</v>
      </c>
      <c r="BS46" s="9">
        <v>1</v>
      </c>
      <c r="BT46" s="9">
        <v>2.92</v>
      </c>
      <c r="BU46" s="9">
        <v>0.96</v>
      </c>
      <c r="BV46" s="9">
        <v>0.96</v>
      </c>
      <c r="BW46" s="9">
        <v>0</v>
      </c>
      <c r="BX46" s="9">
        <v>1</v>
      </c>
      <c r="BY46" s="9">
        <v>2.92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0.96</v>
      </c>
      <c r="CU46" s="9">
        <v>0.96</v>
      </c>
      <c r="CV46" s="9">
        <v>0</v>
      </c>
      <c r="CW46" s="9">
        <v>1</v>
      </c>
      <c r="CX46" s="9">
        <v>2.92</v>
      </c>
      <c r="CY46" s="9">
        <v>0.96</v>
      </c>
      <c r="CZ46" s="9">
        <v>0.96</v>
      </c>
      <c r="DA46" s="9">
        <v>0</v>
      </c>
      <c r="DB46" s="9">
        <v>1</v>
      </c>
      <c r="DC46" s="9">
        <v>2.92</v>
      </c>
      <c r="DD46" s="9">
        <v>0</v>
      </c>
      <c r="DE46" s="9">
        <v>0</v>
      </c>
      <c r="DF46" s="9">
        <v>0</v>
      </c>
      <c r="DG46" s="9">
        <v>0</v>
      </c>
      <c r="DH46" s="9">
        <v>0</v>
      </c>
      <c r="DI46" s="9">
        <v>0</v>
      </c>
      <c r="DJ46" s="9">
        <v>0</v>
      </c>
      <c r="DK46" s="9">
        <v>0</v>
      </c>
      <c r="DL46" s="9">
        <v>0</v>
      </c>
      <c r="DM46" s="9">
        <v>0</v>
      </c>
      <c r="DN46" s="9">
        <v>0</v>
      </c>
      <c r="DO46" s="9">
        <v>0</v>
      </c>
      <c r="DP46" s="9">
        <v>0</v>
      </c>
      <c r="DQ46" s="9">
        <v>0</v>
      </c>
      <c r="DR46" s="9">
        <v>0</v>
      </c>
      <c r="DS46" s="9">
        <v>0</v>
      </c>
      <c r="DT46" s="9">
        <v>0</v>
      </c>
      <c r="DU46" s="9">
        <v>0</v>
      </c>
      <c r="DV46" s="9">
        <v>0</v>
      </c>
      <c r="DW46" s="9">
        <v>0</v>
      </c>
      <c r="DX46" s="9">
        <v>0.96</v>
      </c>
      <c r="DY46" s="9">
        <v>0.96</v>
      </c>
      <c r="DZ46" s="9">
        <v>0</v>
      </c>
      <c r="EA46" s="9">
        <v>1</v>
      </c>
      <c r="EB46" s="9">
        <v>2.92</v>
      </c>
    </row>
    <row r="47" spans="1:132" x14ac:dyDescent="0.35">
      <c r="A47" s="5">
        <v>488</v>
      </c>
      <c r="B47" s="5" t="s">
        <v>111</v>
      </c>
      <c r="C47" s="5" t="s">
        <v>112</v>
      </c>
      <c r="D47" s="5" t="s">
        <v>113</v>
      </c>
      <c r="E47" s="5" t="s">
        <v>101</v>
      </c>
      <c r="F47" s="5">
        <v>844</v>
      </c>
      <c r="G47" s="5">
        <v>48</v>
      </c>
      <c r="H47" s="5">
        <v>70581</v>
      </c>
      <c r="I47" s="5" t="s">
        <v>24</v>
      </c>
      <c r="J47" s="5" t="s">
        <v>101</v>
      </c>
      <c r="K47" s="5" t="s">
        <v>100</v>
      </c>
      <c r="L47" s="14">
        <v>1</v>
      </c>
      <c r="M47" s="9">
        <v>0</v>
      </c>
      <c r="N47" s="9">
        <v>0</v>
      </c>
      <c r="O47" s="9">
        <v>0</v>
      </c>
      <c r="P47" s="9">
        <v>0.99</v>
      </c>
      <c r="Q47" s="9">
        <v>0.99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0.99</v>
      </c>
      <c r="AP47" s="9">
        <v>0.99</v>
      </c>
      <c r="AQ47" s="9">
        <v>0</v>
      </c>
      <c r="AR47" s="9">
        <v>0</v>
      </c>
      <c r="AS47" s="9">
        <v>0</v>
      </c>
      <c r="AT47" s="9">
        <v>0.99</v>
      </c>
      <c r="AU47" s="9">
        <v>0.99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9">
        <v>0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S47" s="9">
        <v>0.99</v>
      </c>
      <c r="BT47" s="9">
        <v>0.99</v>
      </c>
      <c r="BU47" s="9">
        <v>0</v>
      </c>
      <c r="BV47" s="9">
        <v>0</v>
      </c>
      <c r="BW47" s="9">
        <v>0</v>
      </c>
      <c r="BX47" s="9">
        <v>0.99</v>
      </c>
      <c r="BY47" s="9">
        <v>0.99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9">
        <v>0</v>
      </c>
      <c r="CT47" s="9">
        <v>0</v>
      </c>
      <c r="CU47" s="9">
        <v>0</v>
      </c>
      <c r="CV47" s="9">
        <v>0</v>
      </c>
      <c r="CW47" s="9">
        <v>0.99</v>
      </c>
      <c r="CX47" s="9">
        <v>0.99</v>
      </c>
      <c r="CY47" s="9">
        <v>0</v>
      </c>
      <c r="CZ47" s="9">
        <v>0</v>
      </c>
      <c r="DA47" s="9">
        <v>0</v>
      </c>
      <c r="DB47" s="9">
        <v>0.99</v>
      </c>
      <c r="DC47" s="9">
        <v>0.99</v>
      </c>
      <c r="DD47" s="9">
        <v>0</v>
      </c>
      <c r="DE47" s="9">
        <v>0</v>
      </c>
      <c r="DF47" s="9">
        <v>0</v>
      </c>
      <c r="DG47" s="9">
        <v>0</v>
      </c>
      <c r="DH47" s="9">
        <v>0</v>
      </c>
      <c r="DI47" s="9">
        <v>0</v>
      </c>
      <c r="DJ47" s="9">
        <v>0</v>
      </c>
      <c r="DK47" s="9">
        <v>0</v>
      </c>
      <c r="DL47" s="9">
        <v>0</v>
      </c>
      <c r="DM47" s="9">
        <v>0</v>
      </c>
      <c r="DN47" s="9">
        <v>0</v>
      </c>
      <c r="DO47" s="9">
        <v>0</v>
      </c>
      <c r="DP47" s="9">
        <v>0</v>
      </c>
      <c r="DQ47" s="9">
        <v>0</v>
      </c>
      <c r="DR47" s="9">
        <v>0</v>
      </c>
      <c r="DS47" s="9">
        <v>0</v>
      </c>
      <c r="DT47" s="9">
        <v>0</v>
      </c>
      <c r="DU47" s="9">
        <v>0</v>
      </c>
      <c r="DV47" s="9">
        <v>0</v>
      </c>
      <c r="DW47" s="9">
        <v>0</v>
      </c>
      <c r="DX47" s="9">
        <v>0</v>
      </c>
      <c r="DY47" s="9">
        <v>0</v>
      </c>
      <c r="DZ47" s="9">
        <v>0</v>
      </c>
      <c r="EA47" s="9">
        <v>0.99</v>
      </c>
      <c r="EB47" s="9">
        <v>0.99</v>
      </c>
    </row>
    <row r="48" spans="1:132" x14ac:dyDescent="0.35">
      <c r="A48" s="5">
        <v>488</v>
      </c>
      <c r="B48" s="5" t="s">
        <v>111</v>
      </c>
      <c r="C48" s="5" t="s">
        <v>112</v>
      </c>
      <c r="D48" s="5" t="s">
        <v>113</v>
      </c>
      <c r="E48" s="5" t="s">
        <v>101</v>
      </c>
      <c r="F48" s="5">
        <v>875</v>
      </c>
      <c r="G48" s="5">
        <v>49</v>
      </c>
      <c r="H48" s="5">
        <v>70953</v>
      </c>
      <c r="I48" s="5" t="s">
        <v>8</v>
      </c>
      <c r="J48" s="5" t="s">
        <v>101</v>
      </c>
      <c r="K48" s="5" t="s">
        <v>100</v>
      </c>
      <c r="L48" s="14">
        <v>1</v>
      </c>
      <c r="M48" s="9">
        <v>0.96</v>
      </c>
      <c r="N48" s="9">
        <v>1.9</v>
      </c>
      <c r="O48" s="9">
        <v>0</v>
      </c>
      <c r="P48" s="9">
        <v>1.98</v>
      </c>
      <c r="Q48" s="9">
        <v>4.84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0.96</v>
      </c>
      <c r="AM48" s="9">
        <v>1.9</v>
      </c>
      <c r="AN48" s="9">
        <v>0</v>
      </c>
      <c r="AO48" s="9">
        <v>1.98</v>
      </c>
      <c r="AP48" s="9">
        <v>4.84</v>
      </c>
      <c r="AQ48" s="9">
        <v>0.96</v>
      </c>
      <c r="AR48" s="9">
        <v>1.9</v>
      </c>
      <c r="AS48" s="9">
        <v>0</v>
      </c>
      <c r="AT48" s="9">
        <v>1.98</v>
      </c>
      <c r="AU48" s="9">
        <v>4.84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9">
        <v>0</v>
      </c>
      <c r="BJ48" s="9">
        <v>0</v>
      </c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9">
        <v>0.96</v>
      </c>
      <c r="BQ48" s="9">
        <v>1.9</v>
      </c>
      <c r="BR48" s="9">
        <v>0</v>
      </c>
      <c r="BS48" s="9">
        <v>1.98</v>
      </c>
      <c r="BT48" s="9">
        <v>4.84</v>
      </c>
      <c r="BU48" s="9">
        <v>0.96</v>
      </c>
      <c r="BV48" s="9">
        <v>1.88</v>
      </c>
      <c r="BW48" s="9">
        <v>0</v>
      </c>
      <c r="BX48" s="9">
        <v>1.98</v>
      </c>
      <c r="BY48" s="9">
        <v>4.82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9">
        <v>0</v>
      </c>
      <c r="CT48" s="9">
        <v>0.96</v>
      </c>
      <c r="CU48" s="9">
        <v>1.88</v>
      </c>
      <c r="CV48" s="9">
        <v>0</v>
      </c>
      <c r="CW48" s="9">
        <v>1.98</v>
      </c>
      <c r="CX48" s="9">
        <v>4.82</v>
      </c>
      <c r="CY48" s="9">
        <v>0.96</v>
      </c>
      <c r="CZ48" s="9">
        <v>1.88</v>
      </c>
      <c r="DA48" s="9">
        <v>0</v>
      </c>
      <c r="DB48" s="9">
        <v>1.98</v>
      </c>
      <c r="DC48" s="9">
        <v>4.82</v>
      </c>
      <c r="DD48" s="9">
        <v>0</v>
      </c>
      <c r="DE48" s="9">
        <v>0</v>
      </c>
      <c r="DF48" s="9">
        <v>0</v>
      </c>
      <c r="DG48" s="9">
        <v>0</v>
      </c>
      <c r="DH48" s="9">
        <v>0</v>
      </c>
      <c r="DI48" s="9">
        <v>0</v>
      </c>
      <c r="DJ48" s="9">
        <v>0</v>
      </c>
      <c r="DK48" s="9">
        <v>0</v>
      </c>
      <c r="DL48" s="9">
        <v>0</v>
      </c>
      <c r="DM48" s="9">
        <v>0</v>
      </c>
      <c r="DN48" s="9">
        <v>0</v>
      </c>
      <c r="DO48" s="9">
        <v>0</v>
      </c>
      <c r="DP48" s="9">
        <v>0</v>
      </c>
      <c r="DQ48" s="9">
        <v>0</v>
      </c>
      <c r="DR48" s="9">
        <v>0</v>
      </c>
      <c r="DS48" s="9">
        <v>0</v>
      </c>
      <c r="DT48" s="9">
        <v>0</v>
      </c>
      <c r="DU48" s="9">
        <v>0</v>
      </c>
      <c r="DV48" s="9">
        <v>0</v>
      </c>
      <c r="DW48" s="9">
        <v>0</v>
      </c>
      <c r="DX48" s="9">
        <v>0.96</v>
      </c>
      <c r="DY48" s="9">
        <v>1.88</v>
      </c>
      <c r="DZ48" s="9">
        <v>0</v>
      </c>
      <c r="EA48" s="9">
        <v>1.98</v>
      </c>
      <c r="EB48" s="9">
        <v>4.82</v>
      </c>
    </row>
    <row r="49" spans="1:132" x14ac:dyDescent="0.35">
      <c r="A49" s="5">
        <v>492</v>
      </c>
      <c r="B49" s="5" t="s">
        <v>125</v>
      </c>
      <c r="C49" s="5" t="s">
        <v>126</v>
      </c>
      <c r="D49" s="5" t="s">
        <v>47</v>
      </c>
      <c r="E49" s="5" t="s">
        <v>98</v>
      </c>
      <c r="F49" s="5">
        <v>490</v>
      </c>
      <c r="G49" s="5">
        <v>29</v>
      </c>
      <c r="H49" s="5">
        <v>66324</v>
      </c>
      <c r="I49" s="5" t="s">
        <v>49</v>
      </c>
      <c r="J49" s="5" t="s">
        <v>98</v>
      </c>
      <c r="K49" s="5" t="s">
        <v>100</v>
      </c>
      <c r="L49" s="14">
        <v>1.0130180711000001</v>
      </c>
      <c r="M49" s="9">
        <v>0</v>
      </c>
      <c r="N49" s="9">
        <v>0.98</v>
      </c>
      <c r="O49" s="9">
        <v>0</v>
      </c>
      <c r="P49" s="9">
        <v>0</v>
      </c>
      <c r="Q49" s="9">
        <v>0.98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0.98</v>
      </c>
      <c r="AN49" s="9">
        <v>0</v>
      </c>
      <c r="AO49" s="9">
        <v>0</v>
      </c>
      <c r="AP49" s="9">
        <v>0.98</v>
      </c>
      <c r="AQ49" s="9">
        <v>0</v>
      </c>
      <c r="AR49" s="9">
        <v>0.99</v>
      </c>
      <c r="AS49" s="9">
        <v>0</v>
      </c>
      <c r="AT49" s="9">
        <v>0</v>
      </c>
      <c r="AU49" s="9">
        <v>0.99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0.99</v>
      </c>
      <c r="BR49" s="9">
        <v>0</v>
      </c>
      <c r="BS49" s="9">
        <v>0</v>
      </c>
      <c r="BT49" s="9">
        <v>0.99</v>
      </c>
      <c r="BU49" s="9">
        <v>0</v>
      </c>
      <c r="BV49" s="9">
        <v>0.96</v>
      </c>
      <c r="BW49" s="9">
        <v>0</v>
      </c>
      <c r="BX49" s="9">
        <v>0</v>
      </c>
      <c r="BY49" s="9">
        <v>0.96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0.96</v>
      </c>
      <c r="CV49" s="9">
        <v>0</v>
      </c>
      <c r="CW49" s="9">
        <v>0</v>
      </c>
      <c r="CX49" s="9">
        <v>0.96</v>
      </c>
      <c r="CY49" s="9">
        <v>0</v>
      </c>
      <c r="CZ49" s="9">
        <v>0.97</v>
      </c>
      <c r="DA49" s="9">
        <v>0</v>
      </c>
      <c r="DB49" s="9">
        <v>0</v>
      </c>
      <c r="DC49" s="9">
        <v>0.97</v>
      </c>
      <c r="DD49" s="9">
        <v>0</v>
      </c>
      <c r="DE49" s="9">
        <v>0</v>
      </c>
      <c r="DF49" s="9">
        <v>0</v>
      </c>
      <c r="DG49" s="9">
        <v>0</v>
      </c>
      <c r="DH49" s="9">
        <v>0</v>
      </c>
      <c r="DI49" s="9">
        <v>0</v>
      </c>
      <c r="DJ49" s="9">
        <v>0</v>
      </c>
      <c r="DK49" s="9">
        <v>0</v>
      </c>
      <c r="DL49" s="9">
        <v>0</v>
      </c>
      <c r="DM49" s="9">
        <v>0</v>
      </c>
      <c r="DN49" s="9">
        <v>0</v>
      </c>
      <c r="DO49" s="9">
        <v>0</v>
      </c>
      <c r="DP49" s="9">
        <v>0</v>
      </c>
      <c r="DQ49" s="9">
        <v>0</v>
      </c>
      <c r="DR49" s="9">
        <v>0</v>
      </c>
      <c r="DS49" s="9">
        <v>0</v>
      </c>
      <c r="DT49" s="9">
        <v>0</v>
      </c>
      <c r="DU49" s="9">
        <v>0</v>
      </c>
      <c r="DV49" s="9">
        <v>0</v>
      </c>
      <c r="DW49" s="9">
        <v>0</v>
      </c>
      <c r="DX49" s="9">
        <v>0</v>
      </c>
      <c r="DY49" s="9">
        <v>0.97</v>
      </c>
      <c r="DZ49" s="9">
        <v>0</v>
      </c>
      <c r="EA49" s="9">
        <v>0</v>
      </c>
      <c r="EB49" s="9">
        <v>0.97</v>
      </c>
    </row>
    <row r="50" spans="1:132" x14ac:dyDescent="0.35">
      <c r="A50" s="5">
        <v>492</v>
      </c>
      <c r="B50" s="5" t="s">
        <v>125</v>
      </c>
      <c r="C50" s="5" t="s">
        <v>126</v>
      </c>
      <c r="D50" s="5" t="s">
        <v>47</v>
      </c>
      <c r="E50" s="5" t="s">
        <v>98</v>
      </c>
      <c r="F50" s="5">
        <v>491</v>
      </c>
      <c r="G50" s="5">
        <v>29</v>
      </c>
      <c r="H50" s="5">
        <v>66332</v>
      </c>
      <c r="I50" s="5" t="s">
        <v>48</v>
      </c>
      <c r="J50" s="5" t="s">
        <v>98</v>
      </c>
      <c r="K50" s="5" t="s">
        <v>100</v>
      </c>
      <c r="L50" s="14">
        <v>1.0130180711000001</v>
      </c>
      <c r="M50" s="9">
        <v>5.69</v>
      </c>
      <c r="N50" s="9">
        <v>7.38</v>
      </c>
      <c r="O50" s="9">
        <v>5.51</v>
      </c>
      <c r="P50" s="9">
        <v>0</v>
      </c>
      <c r="Q50" s="9">
        <v>18.579999999999998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5.69</v>
      </c>
      <c r="AM50" s="9">
        <v>7.38</v>
      </c>
      <c r="AN50" s="9">
        <v>5.51</v>
      </c>
      <c r="AO50" s="9">
        <v>0</v>
      </c>
      <c r="AP50" s="9">
        <v>18.579999999999998</v>
      </c>
      <c r="AQ50" s="9">
        <v>5.76</v>
      </c>
      <c r="AR50" s="9">
        <v>7.48</v>
      </c>
      <c r="AS50" s="9">
        <v>5.58</v>
      </c>
      <c r="AT50" s="9">
        <v>0</v>
      </c>
      <c r="AU50" s="9">
        <v>18.82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5.76</v>
      </c>
      <c r="BQ50" s="9">
        <v>7.48</v>
      </c>
      <c r="BR50" s="9">
        <v>5.58</v>
      </c>
      <c r="BS50" s="9">
        <v>0</v>
      </c>
      <c r="BT50" s="9">
        <v>18.82</v>
      </c>
      <c r="BU50" s="9">
        <v>5.68</v>
      </c>
      <c r="BV50" s="9">
        <v>7.5</v>
      </c>
      <c r="BW50" s="9">
        <v>5.59</v>
      </c>
      <c r="BX50" s="9">
        <v>0</v>
      </c>
      <c r="BY50" s="9">
        <v>18.77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9">
        <v>0</v>
      </c>
      <c r="CT50" s="9">
        <v>5.68</v>
      </c>
      <c r="CU50" s="9">
        <v>7.5</v>
      </c>
      <c r="CV50" s="9">
        <v>5.59</v>
      </c>
      <c r="CW50" s="9">
        <v>0</v>
      </c>
      <c r="CX50" s="9">
        <v>18.77</v>
      </c>
      <c r="CY50" s="9">
        <v>5.75</v>
      </c>
      <c r="CZ50" s="9">
        <v>7.6</v>
      </c>
      <c r="DA50" s="9">
        <v>5.66</v>
      </c>
      <c r="DB50" s="9">
        <v>0</v>
      </c>
      <c r="DC50" s="9">
        <v>19.010000000000002</v>
      </c>
      <c r="DD50" s="9">
        <v>0</v>
      </c>
      <c r="DE50" s="9">
        <v>0</v>
      </c>
      <c r="DF50" s="9">
        <v>0</v>
      </c>
      <c r="DG50" s="9">
        <v>0</v>
      </c>
      <c r="DH50" s="9">
        <v>0</v>
      </c>
      <c r="DI50" s="9">
        <v>0</v>
      </c>
      <c r="DJ50" s="9">
        <v>0</v>
      </c>
      <c r="DK50" s="9">
        <v>0</v>
      </c>
      <c r="DL50" s="9">
        <v>0</v>
      </c>
      <c r="DM50" s="9">
        <v>0</v>
      </c>
      <c r="DN50" s="9">
        <v>0</v>
      </c>
      <c r="DO50" s="9">
        <v>0</v>
      </c>
      <c r="DP50" s="9">
        <v>0</v>
      </c>
      <c r="DQ50" s="9">
        <v>0</v>
      </c>
      <c r="DR50" s="9">
        <v>0</v>
      </c>
      <c r="DS50" s="9">
        <v>0</v>
      </c>
      <c r="DT50" s="9">
        <v>0</v>
      </c>
      <c r="DU50" s="9">
        <v>0</v>
      </c>
      <c r="DV50" s="9">
        <v>0</v>
      </c>
      <c r="DW50" s="9">
        <v>0</v>
      </c>
      <c r="DX50" s="9">
        <v>5.75</v>
      </c>
      <c r="DY50" s="9">
        <v>7.6</v>
      </c>
      <c r="DZ50" s="9">
        <v>5.66</v>
      </c>
      <c r="EA50" s="9">
        <v>0</v>
      </c>
      <c r="EB50" s="9">
        <v>19.010000000000002</v>
      </c>
    </row>
    <row r="51" spans="1:132" ht="31" x14ac:dyDescent="0.35">
      <c r="A51" s="5">
        <v>492</v>
      </c>
      <c r="B51" s="5" t="s">
        <v>125</v>
      </c>
      <c r="C51" s="5" t="s">
        <v>126</v>
      </c>
      <c r="D51" s="5" t="s">
        <v>47</v>
      </c>
      <c r="E51" s="5" t="s">
        <v>98</v>
      </c>
      <c r="F51" s="5">
        <v>494</v>
      </c>
      <c r="G51" s="5">
        <v>29</v>
      </c>
      <c r="H51" s="5">
        <v>66373</v>
      </c>
      <c r="I51" s="5" t="s">
        <v>46</v>
      </c>
      <c r="J51" s="5" t="s">
        <v>98</v>
      </c>
      <c r="K51" s="5" t="s">
        <v>100</v>
      </c>
      <c r="L51" s="14">
        <v>1.0130180711000001</v>
      </c>
      <c r="M51" s="9">
        <v>0</v>
      </c>
      <c r="N51" s="9">
        <v>1.83</v>
      </c>
      <c r="O51" s="9">
        <v>2.89</v>
      </c>
      <c r="P51" s="9">
        <v>0</v>
      </c>
      <c r="Q51" s="9">
        <v>4.72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1.83</v>
      </c>
      <c r="AN51" s="9">
        <v>2.89</v>
      </c>
      <c r="AO51" s="9">
        <v>0</v>
      </c>
      <c r="AP51" s="9">
        <v>4.72</v>
      </c>
      <c r="AQ51" s="9">
        <v>0</v>
      </c>
      <c r="AR51" s="9">
        <v>1.85</v>
      </c>
      <c r="AS51" s="9">
        <v>2.93</v>
      </c>
      <c r="AT51" s="9">
        <v>0</v>
      </c>
      <c r="AU51" s="9">
        <v>4.78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1.85</v>
      </c>
      <c r="BR51" s="9">
        <v>2.93</v>
      </c>
      <c r="BS51" s="9">
        <v>0</v>
      </c>
      <c r="BT51" s="9">
        <v>4.78</v>
      </c>
      <c r="BU51" s="9">
        <v>0</v>
      </c>
      <c r="BV51" s="9">
        <v>1.81</v>
      </c>
      <c r="BW51" s="9">
        <v>2.89</v>
      </c>
      <c r="BX51" s="9">
        <v>0</v>
      </c>
      <c r="BY51" s="9">
        <v>4.7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9">
        <v>0</v>
      </c>
      <c r="CT51" s="9">
        <v>0</v>
      </c>
      <c r="CU51" s="9">
        <v>1.81</v>
      </c>
      <c r="CV51" s="9">
        <v>2.89</v>
      </c>
      <c r="CW51" s="9">
        <v>0</v>
      </c>
      <c r="CX51" s="9">
        <v>4.7</v>
      </c>
      <c r="CY51" s="9">
        <v>0</v>
      </c>
      <c r="CZ51" s="9">
        <v>1.83</v>
      </c>
      <c r="DA51" s="9">
        <v>2.93</v>
      </c>
      <c r="DB51" s="9">
        <v>0</v>
      </c>
      <c r="DC51" s="9">
        <v>4.76</v>
      </c>
      <c r="DD51" s="9">
        <v>0</v>
      </c>
      <c r="DE51" s="9">
        <v>0</v>
      </c>
      <c r="DF51" s="9">
        <v>0</v>
      </c>
      <c r="DG51" s="9">
        <v>0</v>
      </c>
      <c r="DH51" s="9">
        <v>0</v>
      </c>
      <c r="DI51" s="9">
        <v>0</v>
      </c>
      <c r="DJ51" s="9">
        <v>0</v>
      </c>
      <c r="DK51" s="9">
        <v>0</v>
      </c>
      <c r="DL51" s="9">
        <v>0</v>
      </c>
      <c r="DM51" s="9">
        <v>0</v>
      </c>
      <c r="DN51" s="9">
        <v>0</v>
      </c>
      <c r="DO51" s="9">
        <v>0</v>
      </c>
      <c r="DP51" s="9">
        <v>0</v>
      </c>
      <c r="DQ51" s="9">
        <v>0</v>
      </c>
      <c r="DR51" s="9">
        <v>0</v>
      </c>
      <c r="DS51" s="9">
        <v>0</v>
      </c>
      <c r="DT51" s="9">
        <v>0</v>
      </c>
      <c r="DU51" s="9">
        <v>0</v>
      </c>
      <c r="DV51" s="9">
        <v>0</v>
      </c>
      <c r="DW51" s="9">
        <v>0</v>
      </c>
      <c r="DX51" s="9">
        <v>0</v>
      </c>
      <c r="DY51" s="9">
        <v>1.83</v>
      </c>
      <c r="DZ51" s="9">
        <v>2.93</v>
      </c>
      <c r="EA51" s="9">
        <v>0</v>
      </c>
      <c r="EB51" s="9">
        <v>4.76</v>
      </c>
    </row>
    <row r="52" spans="1:132" x14ac:dyDescent="0.35">
      <c r="A52" s="5">
        <v>492</v>
      </c>
      <c r="B52" s="5" t="s">
        <v>125</v>
      </c>
      <c r="C52" s="5" t="s">
        <v>126</v>
      </c>
      <c r="D52" s="5" t="s">
        <v>47</v>
      </c>
      <c r="E52" s="5" t="s">
        <v>98</v>
      </c>
      <c r="F52" s="5">
        <v>497</v>
      </c>
      <c r="G52" s="5">
        <v>29</v>
      </c>
      <c r="H52" s="5">
        <v>66407</v>
      </c>
      <c r="I52" s="5" t="s">
        <v>45</v>
      </c>
      <c r="J52" s="5" t="s">
        <v>98</v>
      </c>
      <c r="K52" s="5" t="s">
        <v>100</v>
      </c>
      <c r="L52" s="14">
        <v>1.0130180711000001</v>
      </c>
      <c r="M52" s="9">
        <v>0.98</v>
      </c>
      <c r="N52" s="9">
        <v>0.94</v>
      </c>
      <c r="O52" s="9">
        <v>0.98</v>
      </c>
      <c r="P52" s="9">
        <v>0</v>
      </c>
      <c r="Q52" s="9">
        <v>2.9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0.98</v>
      </c>
      <c r="AM52" s="9">
        <v>0.94</v>
      </c>
      <c r="AN52" s="9">
        <v>0.98</v>
      </c>
      <c r="AO52" s="9">
        <v>0</v>
      </c>
      <c r="AP52" s="9">
        <v>2.9</v>
      </c>
      <c r="AQ52" s="9">
        <v>0.99</v>
      </c>
      <c r="AR52" s="9">
        <v>0.95</v>
      </c>
      <c r="AS52" s="9">
        <v>0.99</v>
      </c>
      <c r="AT52" s="9">
        <v>0</v>
      </c>
      <c r="AU52" s="9">
        <v>2.93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0.99</v>
      </c>
      <c r="BQ52" s="9">
        <v>0.95</v>
      </c>
      <c r="BR52" s="9">
        <v>0.99</v>
      </c>
      <c r="BS52" s="9">
        <v>0</v>
      </c>
      <c r="BT52" s="9">
        <v>2.93</v>
      </c>
      <c r="BU52" s="9">
        <v>0.98</v>
      </c>
      <c r="BV52" s="9">
        <v>0.94</v>
      </c>
      <c r="BW52" s="9">
        <v>0.98</v>
      </c>
      <c r="BX52" s="9">
        <v>0</v>
      </c>
      <c r="BY52" s="9">
        <v>2.9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9">
        <v>0</v>
      </c>
      <c r="CT52" s="9">
        <v>0.98</v>
      </c>
      <c r="CU52" s="9">
        <v>0.94</v>
      </c>
      <c r="CV52" s="9">
        <v>0.98</v>
      </c>
      <c r="CW52" s="9">
        <v>0</v>
      </c>
      <c r="CX52" s="9">
        <v>2.9</v>
      </c>
      <c r="CY52" s="9">
        <v>0.99</v>
      </c>
      <c r="CZ52" s="9">
        <v>0.95</v>
      </c>
      <c r="DA52" s="9">
        <v>0.99</v>
      </c>
      <c r="DB52" s="9">
        <v>0</v>
      </c>
      <c r="DC52" s="9">
        <v>2.93</v>
      </c>
      <c r="DD52" s="9">
        <v>0</v>
      </c>
      <c r="DE52" s="9">
        <v>0</v>
      </c>
      <c r="DF52" s="9">
        <v>0</v>
      </c>
      <c r="DG52" s="9">
        <v>0</v>
      </c>
      <c r="DH52" s="9">
        <v>0</v>
      </c>
      <c r="DI52" s="9">
        <v>0</v>
      </c>
      <c r="DJ52" s="9">
        <v>0</v>
      </c>
      <c r="DK52" s="9">
        <v>0</v>
      </c>
      <c r="DL52" s="9">
        <v>0</v>
      </c>
      <c r="DM52" s="9">
        <v>0</v>
      </c>
      <c r="DN52" s="9">
        <v>0</v>
      </c>
      <c r="DO52" s="9">
        <v>0</v>
      </c>
      <c r="DP52" s="9">
        <v>0</v>
      </c>
      <c r="DQ52" s="9">
        <v>0</v>
      </c>
      <c r="DR52" s="9">
        <v>0</v>
      </c>
      <c r="DS52" s="9">
        <v>0</v>
      </c>
      <c r="DT52" s="9">
        <v>0</v>
      </c>
      <c r="DU52" s="9">
        <v>0</v>
      </c>
      <c r="DV52" s="9">
        <v>0</v>
      </c>
      <c r="DW52" s="9">
        <v>0</v>
      </c>
      <c r="DX52" s="9">
        <v>0.99</v>
      </c>
      <c r="DY52" s="9">
        <v>0.95</v>
      </c>
      <c r="DZ52" s="9">
        <v>0.99</v>
      </c>
      <c r="EA52" s="9">
        <v>0</v>
      </c>
      <c r="EB52" s="9">
        <v>2.93</v>
      </c>
    </row>
    <row r="53" spans="1:132" x14ac:dyDescent="0.35">
      <c r="A53" s="5">
        <v>492</v>
      </c>
      <c r="B53" s="5" t="s">
        <v>125</v>
      </c>
      <c r="C53" s="5" t="s">
        <v>126</v>
      </c>
      <c r="D53" s="5" t="s">
        <v>47</v>
      </c>
      <c r="E53" s="5" t="s">
        <v>98</v>
      </c>
      <c r="F53" s="5">
        <v>498</v>
      </c>
      <c r="G53" s="5">
        <v>29</v>
      </c>
      <c r="H53" s="5">
        <v>66415</v>
      </c>
      <c r="I53" s="5" t="s">
        <v>44</v>
      </c>
      <c r="J53" s="5" t="s">
        <v>98</v>
      </c>
      <c r="K53" s="5" t="s">
        <v>100</v>
      </c>
      <c r="L53" s="14">
        <v>1.0130180711000001</v>
      </c>
      <c r="M53" s="9">
        <v>1.92</v>
      </c>
      <c r="N53" s="9">
        <v>0</v>
      </c>
      <c r="O53" s="9">
        <v>0.92</v>
      </c>
      <c r="P53" s="9">
        <v>0</v>
      </c>
      <c r="Q53" s="9">
        <v>2.84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1.92</v>
      </c>
      <c r="AM53" s="9">
        <v>0</v>
      </c>
      <c r="AN53" s="9">
        <v>0.92</v>
      </c>
      <c r="AO53" s="9">
        <v>0</v>
      </c>
      <c r="AP53" s="9">
        <v>2.84</v>
      </c>
      <c r="AQ53" s="9">
        <v>1.94</v>
      </c>
      <c r="AR53" s="9">
        <v>0</v>
      </c>
      <c r="AS53" s="9">
        <v>0.93</v>
      </c>
      <c r="AT53" s="9">
        <v>0</v>
      </c>
      <c r="AU53" s="9">
        <v>2.87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1.94</v>
      </c>
      <c r="BQ53" s="9">
        <v>0</v>
      </c>
      <c r="BR53" s="9">
        <v>0.93</v>
      </c>
      <c r="BS53" s="9">
        <v>0</v>
      </c>
      <c r="BT53" s="9">
        <v>2.87</v>
      </c>
      <c r="BU53" s="9">
        <v>1.9</v>
      </c>
      <c r="BV53" s="9">
        <v>0</v>
      </c>
      <c r="BW53" s="9">
        <v>0.94</v>
      </c>
      <c r="BX53" s="9">
        <v>0</v>
      </c>
      <c r="BY53" s="9">
        <v>2.84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9">
        <v>0</v>
      </c>
      <c r="CT53" s="9">
        <v>1.9</v>
      </c>
      <c r="CU53" s="9">
        <v>0</v>
      </c>
      <c r="CV53" s="9">
        <v>0.94</v>
      </c>
      <c r="CW53" s="9">
        <v>0</v>
      </c>
      <c r="CX53" s="9">
        <v>2.84</v>
      </c>
      <c r="CY53" s="9">
        <v>1.92</v>
      </c>
      <c r="CZ53" s="9">
        <v>0</v>
      </c>
      <c r="DA53" s="9">
        <v>0.95</v>
      </c>
      <c r="DB53" s="9">
        <v>0</v>
      </c>
      <c r="DC53" s="9">
        <v>2.87</v>
      </c>
      <c r="DD53" s="9">
        <v>0</v>
      </c>
      <c r="DE53" s="9">
        <v>0</v>
      </c>
      <c r="DF53" s="9">
        <v>0</v>
      </c>
      <c r="DG53" s="9">
        <v>0</v>
      </c>
      <c r="DH53" s="9">
        <v>0</v>
      </c>
      <c r="DI53" s="9">
        <v>0</v>
      </c>
      <c r="DJ53" s="9">
        <v>0</v>
      </c>
      <c r="DK53" s="9">
        <v>0</v>
      </c>
      <c r="DL53" s="9">
        <v>0</v>
      </c>
      <c r="DM53" s="9">
        <v>0</v>
      </c>
      <c r="DN53" s="9">
        <v>0</v>
      </c>
      <c r="DO53" s="9">
        <v>0</v>
      </c>
      <c r="DP53" s="9">
        <v>0</v>
      </c>
      <c r="DQ53" s="9">
        <v>0</v>
      </c>
      <c r="DR53" s="9">
        <v>0</v>
      </c>
      <c r="DS53" s="9">
        <v>0</v>
      </c>
      <c r="DT53" s="9">
        <v>0</v>
      </c>
      <c r="DU53" s="9">
        <v>0</v>
      </c>
      <c r="DV53" s="9">
        <v>0</v>
      </c>
      <c r="DW53" s="9">
        <v>0</v>
      </c>
      <c r="DX53" s="9">
        <v>1.92</v>
      </c>
      <c r="DY53" s="9">
        <v>0</v>
      </c>
      <c r="DZ53" s="9">
        <v>0.95</v>
      </c>
      <c r="EA53" s="9">
        <v>0</v>
      </c>
      <c r="EB53" s="9">
        <v>2.87</v>
      </c>
    </row>
    <row r="54" spans="1:132" x14ac:dyDescent="0.35">
      <c r="A54" s="5">
        <v>492</v>
      </c>
      <c r="B54" s="5" t="s">
        <v>125</v>
      </c>
      <c r="C54" s="5" t="s">
        <v>126</v>
      </c>
      <c r="D54" s="5" t="s">
        <v>47</v>
      </c>
      <c r="E54" s="5" t="s">
        <v>98</v>
      </c>
      <c r="F54" s="5">
        <v>1037</v>
      </c>
      <c r="G54" s="5">
        <v>58</v>
      </c>
      <c r="H54" s="5">
        <v>72728</v>
      </c>
      <c r="I54" s="5" t="s">
        <v>159</v>
      </c>
      <c r="J54" s="5" t="s">
        <v>98</v>
      </c>
      <c r="K54" s="5" t="s">
        <v>100</v>
      </c>
      <c r="L54" s="14">
        <v>1.0130180711000001</v>
      </c>
      <c r="M54" s="9">
        <v>0</v>
      </c>
      <c r="N54" s="9">
        <v>0</v>
      </c>
      <c r="O54" s="9">
        <v>0.89</v>
      </c>
      <c r="P54" s="9">
        <v>0</v>
      </c>
      <c r="Q54" s="9">
        <v>0.89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0.89</v>
      </c>
      <c r="AO54" s="9">
        <v>0</v>
      </c>
      <c r="AP54" s="9">
        <v>0.89</v>
      </c>
      <c r="AQ54" s="9">
        <v>0</v>
      </c>
      <c r="AR54" s="9">
        <v>0</v>
      </c>
      <c r="AS54" s="9">
        <v>0.9</v>
      </c>
      <c r="AT54" s="9">
        <v>0</v>
      </c>
      <c r="AU54" s="9">
        <v>0.9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0.9</v>
      </c>
      <c r="BS54" s="9">
        <v>0</v>
      </c>
      <c r="BT54" s="9">
        <v>0.9</v>
      </c>
      <c r="BU54" s="9">
        <v>0</v>
      </c>
      <c r="BV54" s="9">
        <v>0</v>
      </c>
      <c r="BW54" s="9">
        <v>0.89</v>
      </c>
      <c r="BX54" s="9">
        <v>0</v>
      </c>
      <c r="BY54" s="9">
        <v>0.89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9">
        <v>0</v>
      </c>
      <c r="CT54" s="9">
        <v>0</v>
      </c>
      <c r="CU54" s="9">
        <v>0</v>
      </c>
      <c r="CV54" s="9">
        <v>0.89</v>
      </c>
      <c r="CW54" s="9">
        <v>0</v>
      </c>
      <c r="CX54" s="9">
        <v>0.89</v>
      </c>
      <c r="CY54" s="9">
        <v>0</v>
      </c>
      <c r="CZ54" s="9">
        <v>0</v>
      </c>
      <c r="DA54" s="9">
        <v>0.9</v>
      </c>
      <c r="DB54" s="9">
        <v>0</v>
      </c>
      <c r="DC54" s="9">
        <v>0.9</v>
      </c>
      <c r="DD54" s="9">
        <v>0</v>
      </c>
      <c r="DE54" s="9">
        <v>0</v>
      </c>
      <c r="DF54" s="9">
        <v>0</v>
      </c>
      <c r="DG54" s="9">
        <v>0</v>
      </c>
      <c r="DH54" s="9">
        <v>0</v>
      </c>
      <c r="DI54" s="9">
        <v>0</v>
      </c>
      <c r="DJ54" s="9">
        <v>0</v>
      </c>
      <c r="DK54" s="9">
        <v>0</v>
      </c>
      <c r="DL54" s="9">
        <v>0</v>
      </c>
      <c r="DM54" s="9">
        <v>0</v>
      </c>
      <c r="DN54" s="9">
        <v>0</v>
      </c>
      <c r="DO54" s="9">
        <v>0</v>
      </c>
      <c r="DP54" s="9">
        <v>0</v>
      </c>
      <c r="DQ54" s="9">
        <v>0</v>
      </c>
      <c r="DR54" s="9">
        <v>0</v>
      </c>
      <c r="DS54" s="9">
        <v>0</v>
      </c>
      <c r="DT54" s="9">
        <v>0</v>
      </c>
      <c r="DU54" s="9">
        <v>0</v>
      </c>
      <c r="DV54" s="9">
        <v>0</v>
      </c>
      <c r="DW54" s="9">
        <v>0</v>
      </c>
      <c r="DX54" s="9">
        <v>0</v>
      </c>
      <c r="DY54" s="9">
        <v>0</v>
      </c>
      <c r="DZ54" s="9">
        <v>0.9</v>
      </c>
      <c r="EA54" s="9">
        <v>0</v>
      </c>
      <c r="EB54" s="9">
        <v>0.9</v>
      </c>
    </row>
    <row r="55" spans="1:132" x14ac:dyDescent="0.35">
      <c r="A55" s="5">
        <v>492</v>
      </c>
      <c r="B55" s="5" t="s">
        <v>125</v>
      </c>
      <c r="C55" s="5" t="s">
        <v>126</v>
      </c>
      <c r="D55" s="5" t="s">
        <v>47</v>
      </c>
      <c r="E55" s="5" t="s">
        <v>98</v>
      </c>
      <c r="F55" s="5">
        <v>14055</v>
      </c>
      <c r="G55" s="5">
        <v>29</v>
      </c>
      <c r="H55" s="5">
        <v>76877</v>
      </c>
      <c r="I55" s="5" t="s">
        <v>43</v>
      </c>
      <c r="J55" s="5" t="s">
        <v>98</v>
      </c>
      <c r="K55" s="5" t="s">
        <v>100</v>
      </c>
      <c r="L55" s="14">
        <v>1.0130180711000001</v>
      </c>
      <c r="M55" s="9">
        <v>0.95</v>
      </c>
      <c r="N55" s="9">
        <v>1.89</v>
      </c>
      <c r="O55" s="9">
        <v>0</v>
      </c>
      <c r="P55" s="9">
        <v>0</v>
      </c>
      <c r="Q55" s="9">
        <v>2.84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0.95</v>
      </c>
      <c r="AM55" s="9">
        <v>1.89</v>
      </c>
      <c r="AN55" s="9">
        <v>0</v>
      </c>
      <c r="AO55" s="9">
        <v>0</v>
      </c>
      <c r="AP55" s="9">
        <v>2.84</v>
      </c>
      <c r="AQ55" s="9">
        <v>0.96</v>
      </c>
      <c r="AR55" s="9">
        <v>1.91</v>
      </c>
      <c r="AS55" s="9">
        <v>0</v>
      </c>
      <c r="AT55" s="9">
        <v>0</v>
      </c>
      <c r="AU55" s="9">
        <v>2.87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0.96</v>
      </c>
      <c r="BQ55" s="9">
        <v>1.91</v>
      </c>
      <c r="BR55" s="9">
        <v>0</v>
      </c>
      <c r="BS55" s="9">
        <v>0</v>
      </c>
      <c r="BT55" s="9">
        <v>2.87</v>
      </c>
      <c r="BU55" s="9">
        <v>0.96</v>
      </c>
      <c r="BV55" s="9">
        <v>1.88</v>
      </c>
      <c r="BW55" s="9">
        <v>0</v>
      </c>
      <c r="BX55" s="9">
        <v>0</v>
      </c>
      <c r="BY55" s="9">
        <v>2.84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9">
        <v>0</v>
      </c>
      <c r="CT55" s="9">
        <v>0.96</v>
      </c>
      <c r="CU55" s="9">
        <v>1.88</v>
      </c>
      <c r="CV55" s="9">
        <v>0</v>
      </c>
      <c r="CW55" s="9">
        <v>0</v>
      </c>
      <c r="CX55" s="9">
        <v>2.84</v>
      </c>
      <c r="CY55" s="9">
        <v>0.97</v>
      </c>
      <c r="CZ55" s="9">
        <v>1.9</v>
      </c>
      <c r="DA55" s="9">
        <v>0</v>
      </c>
      <c r="DB55" s="9">
        <v>0</v>
      </c>
      <c r="DC55" s="9">
        <v>2.87</v>
      </c>
      <c r="DD55" s="9">
        <v>0</v>
      </c>
      <c r="DE55" s="9">
        <v>0</v>
      </c>
      <c r="DF55" s="9">
        <v>0</v>
      </c>
      <c r="DG55" s="9">
        <v>0</v>
      </c>
      <c r="DH55" s="9">
        <v>0</v>
      </c>
      <c r="DI55" s="9">
        <v>0</v>
      </c>
      <c r="DJ55" s="9">
        <v>0</v>
      </c>
      <c r="DK55" s="9">
        <v>0</v>
      </c>
      <c r="DL55" s="9">
        <v>0</v>
      </c>
      <c r="DM55" s="9">
        <v>0</v>
      </c>
      <c r="DN55" s="9">
        <v>0</v>
      </c>
      <c r="DO55" s="9">
        <v>0</v>
      </c>
      <c r="DP55" s="9">
        <v>0</v>
      </c>
      <c r="DQ55" s="9">
        <v>0</v>
      </c>
      <c r="DR55" s="9">
        <v>0</v>
      </c>
      <c r="DS55" s="9">
        <v>0</v>
      </c>
      <c r="DT55" s="9">
        <v>0</v>
      </c>
      <c r="DU55" s="9">
        <v>0</v>
      </c>
      <c r="DV55" s="9">
        <v>0</v>
      </c>
      <c r="DW55" s="9">
        <v>0</v>
      </c>
      <c r="DX55" s="9">
        <v>0.97</v>
      </c>
      <c r="DY55" s="9">
        <v>1.9</v>
      </c>
      <c r="DZ55" s="9">
        <v>0</v>
      </c>
      <c r="EA55" s="9">
        <v>0</v>
      </c>
      <c r="EB55" s="9">
        <v>2.87</v>
      </c>
    </row>
    <row r="56" spans="1:132" x14ac:dyDescent="0.35">
      <c r="A56" s="5">
        <v>503</v>
      </c>
      <c r="B56" s="5" t="s">
        <v>127</v>
      </c>
      <c r="C56" s="5" t="s">
        <v>128</v>
      </c>
      <c r="D56" s="5" t="s">
        <v>42</v>
      </c>
      <c r="E56" s="5" t="s">
        <v>101</v>
      </c>
      <c r="F56" s="5">
        <v>641</v>
      </c>
      <c r="G56" s="5">
        <v>37</v>
      </c>
      <c r="H56" s="5">
        <v>68122</v>
      </c>
      <c r="I56" s="5" t="s">
        <v>39</v>
      </c>
      <c r="J56" s="5" t="s">
        <v>119</v>
      </c>
      <c r="K56" s="5" t="s">
        <v>129</v>
      </c>
      <c r="L56" s="14">
        <v>1.0302200445</v>
      </c>
      <c r="M56" s="9">
        <v>0</v>
      </c>
      <c r="N56" s="9">
        <v>0</v>
      </c>
      <c r="O56" s="9">
        <v>0</v>
      </c>
      <c r="P56" s="9">
        <v>113.65</v>
      </c>
      <c r="Q56" s="9">
        <v>113.65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113.65</v>
      </c>
      <c r="AP56" s="9">
        <v>113.65</v>
      </c>
      <c r="AQ56" s="9">
        <v>0</v>
      </c>
      <c r="AR56" s="9">
        <v>0</v>
      </c>
      <c r="AS56" s="9">
        <v>0</v>
      </c>
      <c r="AT56" s="9">
        <v>117.08</v>
      </c>
      <c r="AU56" s="9">
        <v>117.08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117.08</v>
      </c>
      <c r="BT56" s="9">
        <v>117.08</v>
      </c>
      <c r="BU56" s="9">
        <v>0</v>
      </c>
      <c r="BV56" s="9">
        <v>0</v>
      </c>
      <c r="BW56" s="9">
        <v>0</v>
      </c>
      <c r="BX56" s="9">
        <v>114.18</v>
      </c>
      <c r="BY56" s="9">
        <v>114.18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9">
        <v>0</v>
      </c>
      <c r="CT56" s="9">
        <v>0</v>
      </c>
      <c r="CU56" s="9">
        <v>0</v>
      </c>
      <c r="CV56" s="9">
        <v>0</v>
      </c>
      <c r="CW56" s="9">
        <v>114.18</v>
      </c>
      <c r="CX56" s="9">
        <v>114.18</v>
      </c>
      <c r="CY56" s="9">
        <v>0</v>
      </c>
      <c r="CZ56" s="9">
        <v>0</v>
      </c>
      <c r="DA56" s="9">
        <v>0</v>
      </c>
      <c r="DB56" s="9">
        <v>117.63</v>
      </c>
      <c r="DC56" s="9">
        <v>117.63</v>
      </c>
      <c r="DD56" s="9">
        <v>0</v>
      </c>
      <c r="DE56" s="9">
        <v>0</v>
      </c>
      <c r="DF56" s="9">
        <v>0</v>
      </c>
      <c r="DG56" s="9">
        <v>0</v>
      </c>
      <c r="DH56" s="9">
        <v>0</v>
      </c>
      <c r="DI56" s="9">
        <v>0</v>
      </c>
      <c r="DJ56" s="9">
        <v>0</v>
      </c>
      <c r="DK56" s="9">
        <v>0</v>
      </c>
      <c r="DL56" s="9">
        <v>0</v>
      </c>
      <c r="DM56" s="9">
        <v>0</v>
      </c>
      <c r="DN56" s="9">
        <v>0</v>
      </c>
      <c r="DO56" s="9">
        <v>0</v>
      </c>
      <c r="DP56" s="9">
        <v>0</v>
      </c>
      <c r="DQ56" s="9">
        <v>0</v>
      </c>
      <c r="DR56" s="9">
        <v>0</v>
      </c>
      <c r="DS56" s="9">
        <v>0</v>
      </c>
      <c r="DT56" s="9">
        <v>0</v>
      </c>
      <c r="DU56" s="9">
        <v>0</v>
      </c>
      <c r="DV56" s="9">
        <v>0</v>
      </c>
      <c r="DW56" s="9">
        <v>0</v>
      </c>
      <c r="DX56" s="9">
        <v>0</v>
      </c>
      <c r="DY56" s="9">
        <v>0</v>
      </c>
      <c r="DZ56" s="9">
        <v>0</v>
      </c>
      <c r="EA56" s="9">
        <v>117.63</v>
      </c>
      <c r="EB56" s="9">
        <v>117.63</v>
      </c>
    </row>
    <row r="57" spans="1:132" x14ac:dyDescent="0.35">
      <c r="A57" s="5">
        <v>637</v>
      </c>
      <c r="B57" s="5" t="s">
        <v>130</v>
      </c>
      <c r="C57" s="5" t="s">
        <v>131</v>
      </c>
      <c r="D57" s="5" t="s">
        <v>41</v>
      </c>
      <c r="E57" s="5" t="s">
        <v>98</v>
      </c>
      <c r="F57" s="5">
        <v>638</v>
      </c>
      <c r="G57" s="5">
        <v>37</v>
      </c>
      <c r="H57" s="5">
        <v>68098</v>
      </c>
      <c r="I57" s="5" t="s">
        <v>40</v>
      </c>
      <c r="J57" s="5" t="s">
        <v>98</v>
      </c>
      <c r="K57" s="5" t="s">
        <v>100</v>
      </c>
      <c r="L57" s="14">
        <v>1.0137482093000001</v>
      </c>
      <c r="M57" s="9">
        <v>0.91</v>
      </c>
      <c r="N57" s="9">
        <v>2.76</v>
      </c>
      <c r="O57" s="9">
        <v>0</v>
      </c>
      <c r="P57" s="9">
        <v>0</v>
      </c>
      <c r="Q57" s="9">
        <v>3.67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0.91</v>
      </c>
      <c r="AM57" s="9">
        <v>2.76</v>
      </c>
      <c r="AN57" s="9">
        <v>0</v>
      </c>
      <c r="AO57" s="9">
        <v>0</v>
      </c>
      <c r="AP57" s="9">
        <v>3.67</v>
      </c>
      <c r="AQ57" s="9">
        <v>0.92</v>
      </c>
      <c r="AR57" s="9">
        <v>2.8</v>
      </c>
      <c r="AS57" s="9">
        <v>0</v>
      </c>
      <c r="AT57" s="9">
        <v>0</v>
      </c>
      <c r="AU57" s="9">
        <v>3.72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0</v>
      </c>
      <c r="BP57" s="9">
        <v>0.92</v>
      </c>
      <c r="BQ57" s="9">
        <v>2.8</v>
      </c>
      <c r="BR57" s="9">
        <v>0</v>
      </c>
      <c r="BS57" s="9">
        <v>0</v>
      </c>
      <c r="BT57" s="9">
        <v>3.72</v>
      </c>
      <c r="BU57" s="9">
        <v>0.92</v>
      </c>
      <c r="BV57" s="9">
        <v>2.75</v>
      </c>
      <c r="BW57" s="9">
        <v>0</v>
      </c>
      <c r="BX57" s="9">
        <v>0</v>
      </c>
      <c r="BY57" s="9">
        <v>3.67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9">
        <v>0</v>
      </c>
      <c r="CT57" s="9">
        <v>0.92</v>
      </c>
      <c r="CU57" s="9">
        <v>2.75</v>
      </c>
      <c r="CV57" s="9">
        <v>0</v>
      </c>
      <c r="CW57" s="9">
        <v>0</v>
      </c>
      <c r="CX57" s="9">
        <v>3.67</v>
      </c>
      <c r="CY57" s="9">
        <v>0.93</v>
      </c>
      <c r="CZ57" s="9">
        <v>2.79</v>
      </c>
      <c r="DA57" s="9">
        <v>0</v>
      </c>
      <c r="DB57" s="9">
        <v>0</v>
      </c>
      <c r="DC57" s="9">
        <v>3.72</v>
      </c>
      <c r="DD57" s="9">
        <v>0</v>
      </c>
      <c r="DE57" s="9">
        <v>0</v>
      </c>
      <c r="DF57" s="9">
        <v>0</v>
      </c>
      <c r="DG57" s="9">
        <v>0</v>
      </c>
      <c r="DH57" s="9">
        <v>0</v>
      </c>
      <c r="DI57" s="9">
        <v>0</v>
      </c>
      <c r="DJ57" s="9">
        <v>0</v>
      </c>
      <c r="DK57" s="9">
        <v>0</v>
      </c>
      <c r="DL57" s="9">
        <v>0</v>
      </c>
      <c r="DM57" s="9">
        <v>0</v>
      </c>
      <c r="DN57" s="9">
        <v>0</v>
      </c>
      <c r="DO57" s="9">
        <v>0</v>
      </c>
      <c r="DP57" s="9">
        <v>0</v>
      </c>
      <c r="DQ57" s="9">
        <v>0</v>
      </c>
      <c r="DR57" s="9">
        <v>0</v>
      </c>
      <c r="DS57" s="9">
        <v>0</v>
      </c>
      <c r="DT57" s="9">
        <v>0</v>
      </c>
      <c r="DU57" s="9">
        <v>0</v>
      </c>
      <c r="DV57" s="9">
        <v>0</v>
      </c>
      <c r="DW57" s="9">
        <v>0</v>
      </c>
      <c r="DX57" s="9">
        <v>0.93</v>
      </c>
      <c r="DY57" s="9">
        <v>2.79</v>
      </c>
      <c r="DZ57" s="9">
        <v>0</v>
      </c>
      <c r="EA57" s="9">
        <v>0</v>
      </c>
      <c r="EB57" s="9">
        <v>3.72</v>
      </c>
    </row>
    <row r="58" spans="1:132" x14ac:dyDescent="0.35">
      <c r="A58" s="5">
        <v>637</v>
      </c>
      <c r="B58" s="5" t="s">
        <v>130</v>
      </c>
      <c r="C58" s="5" t="s">
        <v>131</v>
      </c>
      <c r="D58" s="5" t="s">
        <v>41</v>
      </c>
      <c r="E58" s="5" t="s">
        <v>98</v>
      </c>
      <c r="F58" s="5">
        <v>654</v>
      </c>
      <c r="G58" s="5">
        <v>37</v>
      </c>
      <c r="H58" s="5">
        <v>68338</v>
      </c>
      <c r="I58" s="5" t="s">
        <v>38</v>
      </c>
      <c r="J58" s="5" t="s">
        <v>101</v>
      </c>
      <c r="K58" s="5" t="s">
        <v>100</v>
      </c>
      <c r="L58" s="14">
        <v>1.0137482093000001</v>
      </c>
      <c r="M58" s="9">
        <v>2.83</v>
      </c>
      <c r="N58" s="9">
        <v>0</v>
      </c>
      <c r="O58" s="9">
        <v>0</v>
      </c>
      <c r="P58" s="9">
        <v>0</v>
      </c>
      <c r="Q58" s="9">
        <v>2.83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2.83</v>
      </c>
      <c r="AM58" s="9">
        <v>0</v>
      </c>
      <c r="AN58" s="9">
        <v>0</v>
      </c>
      <c r="AO58" s="9">
        <v>0</v>
      </c>
      <c r="AP58" s="9">
        <v>2.83</v>
      </c>
      <c r="AQ58" s="9">
        <v>2.87</v>
      </c>
      <c r="AR58" s="9">
        <v>0</v>
      </c>
      <c r="AS58" s="9">
        <v>0</v>
      </c>
      <c r="AT58" s="9">
        <v>0</v>
      </c>
      <c r="AU58" s="9">
        <v>2.87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2.87</v>
      </c>
      <c r="BQ58" s="9">
        <v>0</v>
      </c>
      <c r="BR58" s="9">
        <v>0</v>
      </c>
      <c r="BS58" s="9">
        <v>0</v>
      </c>
      <c r="BT58" s="9">
        <v>2.87</v>
      </c>
      <c r="BU58" s="9">
        <v>2.82</v>
      </c>
      <c r="BV58" s="9">
        <v>0</v>
      </c>
      <c r="BW58" s="9">
        <v>0</v>
      </c>
      <c r="BX58" s="9">
        <v>0</v>
      </c>
      <c r="BY58" s="9">
        <v>2.82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2.82</v>
      </c>
      <c r="CU58" s="9">
        <v>0</v>
      </c>
      <c r="CV58" s="9">
        <v>0</v>
      </c>
      <c r="CW58" s="9">
        <v>0</v>
      </c>
      <c r="CX58" s="9">
        <v>2.82</v>
      </c>
      <c r="CY58" s="9">
        <v>2.86</v>
      </c>
      <c r="CZ58" s="9">
        <v>0</v>
      </c>
      <c r="DA58" s="9">
        <v>0</v>
      </c>
      <c r="DB58" s="9">
        <v>0</v>
      </c>
      <c r="DC58" s="9">
        <v>2.86</v>
      </c>
      <c r="DD58" s="9">
        <v>0</v>
      </c>
      <c r="DE58" s="9">
        <v>0</v>
      </c>
      <c r="DF58" s="9">
        <v>0</v>
      </c>
      <c r="DG58" s="9">
        <v>0</v>
      </c>
      <c r="DH58" s="9">
        <v>0</v>
      </c>
      <c r="DI58" s="9">
        <v>0</v>
      </c>
      <c r="DJ58" s="9">
        <v>0</v>
      </c>
      <c r="DK58" s="9">
        <v>0</v>
      </c>
      <c r="DL58" s="9">
        <v>0</v>
      </c>
      <c r="DM58" s="9">
        <v>0</v>
      </c>
      <c r="DN58" s="9">
        <v>0</v>
      </c>
      <c r="DO58" s="9">
        <v>0</v>
      </c>
      <c r="DP58" s="9">
        <v>0</v>
      </c>
      <c r="DQ58" s="9">
        <v>0</v>
      </c>
      <c r="DR58" s="9">
        <v>0</v>
      </c>
      <c r="DS58" s="9">
        <v>0</v>
      </c>
      <c r="DT58" s="9">
        <v>0</v>
      </c>
      <c r="DU58" s="9">
        <v>0</v>
      </c>
      <c r="DV58" s="9">
        <v>0</v>
      </c>
      <c r="DW58" s="9">
        <v>0</v>
      </c>
      <c r="DX58" s="9">
        <v>2.86</v>
      </c>
      <c r="DY58" s="9">
        <v>0</v>
      </c>
      <c r="DZ58" s="9">
        <v>0</v>
      </c>
      <c r="EA58" s="9">
        <v>0</v>
      </c>
      <c r="EB58" s="9">
        <v>2.86</v>
      </c>
    </row>
    <row r="59" spans="1:132" x14ac:dyDescent="0.35">
      <c r="A59" s="5">
        <v>637</v>
      </c>
      <c r="B59" s="5" t="s">
        <v>130</v>
      </c>
      <c r="C59" s="5" t="s">
        <v>131</v>
      </c>
      <c r="D59" s="5" t="s">
        <v>41</v>
      </c>
      <c r="E59" s="5" t="s">
        <v>98</v>
      </c>
      <c r="F59" s="5">
        <v>664</v>
      </c>
      <c r="G59" s="5">
        <v>37</v>
      </c>
      <c r="H59" s="5">
        <v>68452</v>
      </c>
      <c r="I59" s="5" t="s">
        <v>37</v>
      </c>
      <c r="J59" s="5" t="s">
        <v>101</v>
      </c>
      <c r="K59" s="5" t="s">
        <v>100</v>
      </c>
      <c r="L59" s="14">
        <v>1.0137482093000001</v>
      </c>
      <c r="M59" s="9">
        <v>6.42</v>
      </c>
      <c r="N59" s="9">
        <v>3.74</v>
      </c>
      <c r="O59" s="9">
        <v>0</v>
      </c>
      <c r="P59" s="9">
        <v>0</v>
      </c>
      <c r="Q59" s="9">
        <v>10.16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6.42</v>
      </c>
      <c r="AM59" s="9">
        <v>3.74</v>
      </c>
      <c r="AN59" s="9">
        <v>0</v>
      </c>
      <c r="AO59" s="9">
        <v>0</v>
      </c>
      <c r="AP59" s="9">
        <v>10.16</v>
      </c>
      <c r="AQ59" s="9">
        <v>6.51</v>
      </c>
      <c r="AR59" s="9">
        <v>3.79</v>
      </c>
      <c r="AS59" s="9">
        <v>0</v>
      </c>
      <c r="AT59" s="9">
        <v>0</v>
      </c>
      <c r="AU59" s="9">
        <v>10.3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6.51</v>
      </c>
      <c r="BQ59" s="9">
        <v>3.79</v>
      </c>
      <c r="BR59" s="9">
        <v>0</v>
      </c>
      <c r="BS59" s="9">
        <v>0</v>
      </c>
      <c r="BT59" s="9">
        <v>10.3</v>
      </c>
      <c r="BU59" s="9">
        <v>6.48</v>
      </c>
      <c r="BV59" s="9">
        <v>4.72</v>
      </c>
      <c r="BW59" s="9">
        <v>0</v>
      </c>
      <c r="BX59" s="9">
        <v>0</v>
      </c>
      <c r="BY59" s="9">
        <v>11.2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9">
        <v>0</v>
      </c>
      <c r="CF59" s="9">
        <v>0</v>
      </c>
      <c r="CG59" s="9">
        <v>0</v>
      </c>
      <c r="CH59" s="9">
        <v>0</v>
      </c>
      <c r="CI59" s="9">
        <v>0</v>
      </c>
      <c r="CJ59" s="9">
        <v>0</v>
      </c>
      <c r="CK59" s="9">
        <v>0</v>
      </c>
      <c r="CL59" s="9">
        <v>0</v>
      </c>
      <c r="CM59" s="9">
        <v>0</v>
      </c>
      <c r="CN59" s="9">
        <v>0</v>
      </c>
      <c r="CO59" s="9">
        <v>0</v>
      </c>
      <c r="CP59" s="9">
        <v>0</v>
      </c>
      <c r="CQ59" s="9">
        <v>0</v>
      </c>
      <c r="CR59" s="9">
        <v>0</v>
      </c>
      <c r="CS59" s="9">
        <v>0</v>
      </c>
      <c r="CT59" s="9">
        <v>6.48</v>
      </c>
      <c r="CU59" s="9">
        <v>4.72</v>
      </c>
      <c r="CV59" s="9">
        <v>0</v>
      </c>
      <c r="CW59" s="9">
        <v>0</v>
      </c>
      <c r="CX59" s="9">
        <v>11.2</v>
      </c>
      <c r="CY59" s="9">
        <v>6.57</v>
      </c>
      <c r="CZ59" s="9">
        <v>4.78</v>
      </c>
      <c r="DA59" s="9">
        <v>0</v>
      </c>
      <c r="DB59" s="9">
        <v>0</v>
      </c>
      <c r="DC59" s="9">
        <v>11.35</v>
      </c>
      <c r="DD59" s="9">
        <v>0</v>
      </c>
      <c r="DE59" s="9">
        <v>0</v>
      </c>
      <c r="DF59" s="9">
        <v>0</v>
      </c>
      <c r="DG59" s="9">
        <v>0</v>
      </c>
      <c r="DH59" s="9">
        <v>0</v>
      </c>
      <c r="DI59" s="9">
        <v>0</v>
      </c>
      <c r="DJ59" s="9">
        <v>0</v>
      </c>
      <c r="DK59" s="9">
        <v>0</v>
      </c>
      <c r="DL59" s="9">
        <v>0</v>
      </c>
      <c r="DM59" s="9">
        <v>0</v>
      </c>
      <c r="DN59" s="9">
        <v>0</v>
      </c>
      <c r="DO59" s="9">
        <v>0</v>
      </c>
      <c r="DP59" s="9">
        <v>0</v>
      </c>
      <c r="DQ59" s="9">
        <v>0</v>
      </c>
      <c r="DR59" s="9">
        <v>0</v>
      </c>
      <c r="DS59" s="9">
        <v>0</v>
      </c>
      <c r="DT59" s="9">
        <v>0</v>
      </c>
      <c r="DU59" s="9">
        <v>0</v>
      </c>
      <c r="DV59" s="9">
        <v>0</v>
      </c>
      <c r="DW59" s="9">
        <v>0</v>
      </c>
      <c r="DX59" s="9">
        <v>6.57</v>
      </c>
      <c r="DY59" s="9">
        <v>4.78</v>
      </c>
      <c r="DZ59" s="9">
        <v>0</v>
      </c>
      <c r="EA59" s="9">
        <v>0</v>
      </c>
      <c r="EB59" s="9">
        <v>11.35</v>
      </c>
    </row>
    <row r="60" spans="1:132" x14ac:dyDescent="0.35">
      <c r="A60" s="5">
        <v>637</v>
      </c>
      <c r="B60" s="5" t="s">
        <v>130</v>
      </c>
      <c r="C60" s="5" t="s">
        <v>131</v>
      </c>
      <c r="D60" s="5" t="s">
        <v>41</v>
      </c>
      <c r="E60" s="5" t="s">
        <v>98</v>
      </c>
      <c r="F60" s="5">
        <v>665</v>
      </c>
      <c r="G60" s="5">
        <v>37</v>
      </c>
      <c r="H60" s="5">
        <v>73551</v>
      </c>
      <c r="I60" s="5" t="s">
        <v>36</v>
      </c>
      <c r="J60" s="5" t="s">
        <v>101</v>
      </c>
      <c r="K60" s="5" t="s">
        <v>100</v>
      </c>
      <c r="L60" s="14">
        <v>1.0137482093000001</v>
      </c>
      <c r="M60" s="9">
        <v>1.91</v>
      </c>
      <c r="N60" s="9">
        <v>5.48</v>
      </c>
      <c r="O60" s="9">
        <v>0</v>
      </c>
      <c r="P60" s="9">
        <v>0</v>
      </c>
      <c r="Q60" s="9">
        <v>7.39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9">
        <v>1.91</v>
      </c>
      <c r="AM60" s="9">
        <v>5.48</v>
      </c>
      <c r="AN60" s="9">
        <v>0</v>
      </c>
      <c r="AO60" s="9">
        <v>0</v>
      </c>
      <c r="AP60" s="9">
        <v>7.39</v>
      </c>
      <c r="AQ60" s="9">
        <v>1.94</v>
      </c>
      <c r="AR60" s="9">
        <v>5.56</v>
      </c>
      <c r="AS60" s="9">
        <v>0</v>
      </c>
      <c r="AT60" s="9">
        <v>0</v>
      </c>
      <c r="AU60" s="9">
        <v>7.5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1.94</v>
      </c>
      <c r="BQ60" s="9">
        <v>5.56</v>
      </c>
      <c r="BR60" s="9">
        <v>0</v>
      </c>
      <c r="BS60" s="9">
        <v>0</v>
      </c>
      <c r="BT60" s="9">
        <v>7.5</v>
      </c>
      <c r="BU60" s="9">
        <v>2.89</v>
      </c>
      <c r="BV60" s="9">
        <v>5.51</v>
      </c>
      <c r="BW60" s="9">
        <v>0</v>
      </c>
      <c r="BX60" s="9">
        <v>0</v>
      </c>
      <c r="BY60" s="9">
        <v>8.4</v>
      </c>
      <c r="BZ60" s="9">
        <v>0</v>
      </c>
      <c r="CA60" s="9">
        <v>0</v>
      </c>
      <c r="CB60" s="9">
        <v>0</v>
      </c>
      <c r="CC60" s="9">
        <v>0</v>
      </c>
      <c r="CD60" s="9">
        <v>0</v>
      </c>
      <c r="CE60" s="9">
        <v>0</v>
      </c>
      <c r="CF60" s="9">
        <v>0</v>
      </c>
      <c r="CG60" s="9">
        <v>0</v>
      </c>
      <c r="CH60" s="9">
        <v>0</v>
      </c>
      <c r="CI60" s="9">
        <v>0</v>
      </c>
      <c r="CJ60" s="9">
        <v>0</v>
      </c>
      <c r="CK60" s="9">
        <v>0</v>
      </c>
      <c r="CL60" s="9">
        <v>0</v>
      </c>
      <c r="CM60" s="9">
        <v>0</v>
      </c>
      <c r="CN60" s="9">
        <v>0</v>
      </c>
      <c r="CO60" s="9">
        <v>0</v>
      </c>
      <c r="CP60" s="9">
        <v>0</v>
      </c>
      <c r="CQ60" s="9">
        <v>0</v>
      </c>
      <c r="CR60" s="9">
        <v>0</v>
      </c>
      <c r="CS60" s="9">
        <v>0</v>
      </c>
      <c r="CT60" s="9">
        <v>2.89</v>
      </c>
      <c r="CU60" s="9">
        <v>5.51</v>
      </c>
      <c r="CV60" s="9">
        <v>0</v>
      </c>
      <c r="CW60" s="9">
        <v>0</v>
      </c>
      <c r="CX60" s="9">
        <v>8.4</v>
      </c>
      <c r="CY60" s="9">
        <v>2.93</v>
      </c>
      <c r="CZ60" s="9">
        <v>5.59</v>
      </c>
      <c r="DA60" s="9">
        <v>0</v>
      </c>
      <c r="DB60" s="9">
        <v>0</v>
      </c>
      <c r="DC60" s="9">
        <v>8.52</v>
      </c>
      <c r="DD60" s="9">
        <v>0</v>
      </c>
      <c r="DE60" s="9">
        <v>0</v>
      </c>
      <c r="DF60" s="9">
        <v>0</v>
      </c>
      <c r="DG60" s="9">
        <v>0</v>
      </c>
      <c r="DH60" s="9">
        <v>0</v>
      </c>
      <c r="DI60" s="9">
        <v>0</v>
      </c>
      <c r="DJ60" s="9">
        <v>0</v>
      </c>
      <c r="DK60" s="9">
        <v>0</v>
      </c>
      <c r="DL60" s="9">
        <v>0</v>
      </c>
      <c r="DM60" s="9">
        <v>0</v>
      </c>
      <c r="DN60" s="9">
        <v>0</v>
      </c>
      <c r="DO60" s="9">
        <v>0</v>
      </c>
      <c r="DP60" s="9">
        <v>0</v>
      </c>
      <c r="DQ60" s="9">
        <v>0</v>
      </c>
      <c r="DR60" s="9">
        <v>0</v>
      </c>
      <c r="DS60" s="9">
        <v>0</v>
      </c>
      <c r="DT60" s="9">
        <v>0</v>
      </c>
      <c r="DU60" s="9">
        <v>0</v>
      </c>
      <c r="DV60" s="9">
        <v>0</v>
      </c>
      <c r="DW60" s="9">
        <v>0</v>
      </c>
      <c r="DX60" s="9">
        <v>2.93</v>
      </c>
      <c r="DY60" s="9">
        <v>5.59</v>
      </c>
      <c r="DZ60" s="9">
        <v>0</v>
      </c>
      <c r="EA60" s="9">
        <v>0</v>
      </c>
      <c r="EB60" s="9">
        <v>8.52</v>
      </c>
    </row>
    <row r="61" spans="1:132" x14ac:dyDescent="0.35">
      <c r="A61" s="5">
        <v>637</v>
      </c>
      <c r="B61" s="5" t="s">
        <v>130</v>
      </c>
      <c r="C61" s="5" t="s">
        <v>131</v>
      </c>
      <c r="D61" s="5" t="s">
        <v>41</v>
      </c>
      <c r="E61" s="5" t="s">
        <v>98</v>
      </c>
      <c r="F61" s="5">
        <v>666</v>
      </c>
      <c r="G61" s="5">
        <v>37</v>
      </c>
      <c r="H61" s="5">
        <v>73569</v>
      </c>
      <c r="I61" s="5" t="s">
        <v>35</v>
      </c>
      <c r="J61" s="5" t="s">
        <v>101</v>
      </c>
      <c r="K61" s="5" t="s">
        <v>100</v>
      </c>
      <c r="L61" s="14">
        <v>1.0137482093000001</v>
      </c>
      <c r="M61" s="9">
        <v>8.4600000000000009</v>
      </c>
      <c r="N61" s="9">
        <v>1.93</v>
      </c>
      <c r="O61" s="9">
        <v>0</v>
      </c>
      <c r="P61" s="9">
        <v>0</v>
      </c>
      <c r="Q61" s="9">
        <v>10.39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8.4600000000000009</v>
      </c>
      <c r="AM61" s="9">
        <v>1.93</v>
      </c>
      <c r="AN61" s="9">
        <v>0</v>
      </c>
      <c r="AO61" s="9">
        <v>0</v>
      </c>
      <c r="AP61" s="9">
        <v>10.39</v>
      </c>
      <c r="AQ61" s="9">
        <v>8.58</v>
      </c>
      <c r="AR61" s="9">
        <v>1.96</v>
      </c>
      <c r="AS61" s="9">
        <v>0</v>
      </c>
      <c r="AT61" s="9">
        <v>0</v>
      </c>
      <c r="AU61" s="9">
        <v>10.54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8.58</v>
      </c>
      <c r="BQ61" s="9">
        <v>1.96</v>
      </c>
      <c r="BR61" s="9">
        <v>0</v>
      </c>
      <c r="BS61" s="9">
        <v>0</v>
      </c>
      <c r="BT61" s="9">
        <v>10.54</v>
      </c>
      <c r="BU61" s="9">
        <v>8.51</v>
      </c>
      <c r="BV61" s="9">
        <v>3.84</v>
      </c>
      <c r="BW61" s="9">
        <v>0</v>
      </c>
      <c r="BX61" s="9">
        <v>0</v>
      </c>
      <c r="BY61" s="9">
        <v>12.35</v>
      </c>
      <c r="BZ61" s="9">
        <v>0</v>
      </c>
      <c r="CA61" s="9">
        <v>0</v>
      </c>
      <c r="CB61" s="9">
        <v>0</v>
      </c>
      <c r="CC61" s="9">
        <v>0</v>
      </c>
      <c r="CD61" s="9">
        <v>0</v>
      </c>
      <c r="CE61" s="9">
        <v>0</v>
      </c>
      <c r="CF61" s="9">
        <v>0</v>
      </c>
      <c r="CG61" s="9">
        <v>0</v>
      </c>
      <c r="CH61" s="9">
        <v>0</v>
      </c>
      <c r="CI61" s="9">
        <v>0</v>
      </c>
      <c r="CJ61" s="9">
        <v>0</v>
      </c>
      <c r="CK61" s="9">
        <v>0</v>
      </c>
      <c r="CL61" s="9">
        <v>0</v>
      </c>
      <c r="CM61" s="9">
        <v>0</v>
      </c>
      <c r="CN61" s="9">
        <v>0</v>
      </c>
      <c r="CO61" s="9">
        <v>0</v>
      </c>
      <c r="CP61" s="9">
        <v>0</v>
      </c>
      <c r="CQ61" s="9">
        <v>0</v>
      </c>
      <c r="CR61" s="9">
        <v>0</v>
      </c>
      <c r="CS61" s="9">
        <v>0</v>
      </c>
      <c r="CT61" s="9">
        <v>8.51</v>
      </c>
      <c r="CU61" s="9">
        <v>3.84</v>
      </c>
      <c r="CV61" s="9">
        <v>0</v>
      </c>
      <c r="CW61" s="9">
        <v>0</v>
      </c>
      <c r="CX61" s="9">
        <v>12.35</v>
      </c>
      <c r="CY61" s="9">
        <v>8.6300000000000008</v>
      </c>
      <c r="CZ61" s="9">
        <v>3.89</v>
      </c>
      <c r="DA61" s="9">
        <v>0</v>
      </c>
      <c r="DB61" s="9">
        <v>0</v>
      </c>
      <c r="DC61" s="9">
        <v>12.52</v>
      </c>
      <c r="DD61" s="9">
        <v>0</v>
      </c>
      <c r="DE61" s="9">
        <v>0</v>
      </c>
      <c r="DF61" s="9">
        <v>0</v>
      </c>
      <c r="DG61" s="9">
        <v>0</v>
      </c>
      <c r="DH61" s="9">
        <v>0</v>
      </c>
      <c r="DI61" s="9">
        <v>0</v>
      </c>
      <c r="DJ61" s="9">
        <v>0</v>
      </c>
      <c r="DK61" s="9">
        <v>0</v>
      </c>
      <c r="DL61" s="9">
        <v>0</v>
      </c>
      <c r="DM61" s="9">
        <v>0</v>
      </c>
      <c r="DN61" s="9">
        <v>0</v>
      </c>
      <c r="DO61" s="9">
        <v>0</v>
      </c>
      <c r="DP61" s="9">
        <v>0</v>
      </c>
      <c r="DQ61" s="9">
        <v>0</v>
      </c>
      <c r="DR61" s="9">
        <v>0</v>
      </c>
      <c r="DS61" s="9">
        <v>0</v>
      </c>
      <c r="DT61" s="9">
        <v>0</v>
      </c>
      <c r="DU61" s="9">
        <v>0</v>
      </c>
      <c r="DV61" s="9">
        <v>0</v>
      </c>
      <c r="DW61" s="9">
        <v>0</v>
      </c>
      <c r="DX61" s="9">
        <v>8.6300000000000008</v>
      </c>
      <c r="DY61" s="9">
        <v>3.89</v>
      </c>
      <c r="DZ61" s="9">
        <v>0</v>
      </c>
      <c r="EA61" s="9">
        <v>0</v>
      </c>
      <c r="EB61" s="9">
        <v>12.52</v>
      </c>
    </row>
    <row r="62" spans="1:132" x14ac:dyDescent="0.35">
      <c r="A62" s="5">
        <v>637</v>
      </c>
      <c r="B62" s="5" t="s">
        <v>130</v>
      </c>
      <c r="C62" s="5" t="s">
        <v>131</v>
      </c>
      <c r="D62" s="5" t="s">
        <v>41</v>
      </c>
      <c r="E62" s="5" t="s">
        <v>98</v>
      </c>
      <c r="F62" s="5">
        <v>667</v>
      </c>
      <c r="G62" s="5">
        <v>37</v>
      </c>
      <c r="H62" s="5">
        <v>73791</v>
      </c>
      <c r="I62" s="5" t="s">
        <v>34</v>
      </c>
      <c r="J62" s="5" t="s">
        <v>101</v>
      </c>
      <c r="K62" s="5" t="s">
        <v>100</v>
      </c>
      <c r="L62" s="14">
        <v>1.0137482093000001</v>
      </c>
      <c r="M62" s="9">
        <v>7.45</v>
      </c>
      <c r="N62" s="9">
        <v>5.43</v>
      </c>
      <c r="O62" s="9">
        <v>0</v>
      </c>
      <c r="P62" s="9">
        <v>0</v>
      </c>
      <c r="Q62" s="9">
        <v>12.88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7.45</v>
      </c>
      <c r="AM62" s="9">
        <v>5.43</v>
      </c>
      <c r="AN62" s="9">
        <v>0</v>
      </c>
      <c r="AO62" s="9">
        <v>0</v>
      </c>
      <c r="AP62" s="9">
        <v>12.88</v>
      </c>
      <c r="AQ62" s="9">
        <v>7.55</v>
      </c>
      <c r="AR62" s="9">
        <v>5.5</v>
      </c>
      <c r="AS62" s="9">
        <v>0</v>
      </c>
      <c r="AT62" s="9">
        <v>0</v>
      </c>
      <c r="AU62" s="9">
        <v>13.05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7.55</v>
      </c>
      <c r="BQ62" s="9">
        <v>5.5</v>
      </c>
      <c r="BR62" s="9">
        <v>0</v>
      </c>
      <c r="BS62" s="9">
        <v>0</v>
      </c>
      <c r="BT62" s="9">
        <v>13.05</v>
      </c>
      <c r="BU62" s="9">
        <v>7.53</v>
      </c>
      <c r="BV62" s="9">
        <v>5.41</v>
      </c>
      <c r="BW62" s="9">
        <v>0</v>
      </c>
      <c r="BX62" s="9">
        <v>0</v>
      </c>
      <c r="BY62" s="9">
        <v>12.94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0</v>
      </c>
      <c r="CF62" s="9">
        <v>0</v>
      </c>
      <c r="CG62" s="9">
        <v>0</v>
      </c>
      <c r="CH62" s="9">
        <v>0</v>
      </c>
      <c r="CI62" s="9">
        <v>0</v>
      </c>
      <c r="CJ62" s="9">
        <v>0</v>
      </c>
      <c r="CK62" s="9">
        <v>0</v>
      </c>
      <c r="CL62" s="9">
        <v>0</v>
      </c>
      <c r="CM62" s="9">
        <v>0</v>
      </c>
      <c r="CN62" s="9">
        <v>0</v>
      </c>
      <c r="CO62" s="9">
        <v>0</v>
      </c>
      <c r="CP62" s="9">
        <v>0</v>
      </c>
      <c r="CQ62" s="9">
        <v>0</v>
      </c>
      <c r="CR62" s="9">
        <v>0</v>
      </c>
      <c r="CS62" s="9">
        <v>0</v>
      </c>
      <c r="CT62" s="9">
        <v>7.53</v>
      </c>
      <c r="CU62" s="9">
        <v>5.41</v>
      </c>
      <c r="CV62" s="9">
        <v>0</v>
      </c>
      <c r="CW62" s="9">
        <v>0</v>
      </c>
      <c r="CX62" s="9">
        <v>12.94</v>
      </c>
      <c r="CY62" s="9">
        <v>7.63</v>
      </c>
      <c r="CZ62" s="9">
        <v>5.48</v>
      </c>
      <c r="DA62" s="9">
        <v>0</v>
      </c>
      <c r="DB62" s="9">
        <v>0</v>
      </c>
      <c r="DC62" s="9">
        <v>13.11</v>
      </c>
      <c r="DD62" s="9">
        <v>0</v>
      </c>
      <c r="DE62" s="9">
        <v>0</v>
      </c>
      <c r="DF62" s="9">
        <v>0</v>
      </c>
      <c r="DG62" s="9">
        <v>0</v>
      </c>
      <c r="DH62" s="9">
        <v>0</v>
      </c>
      <c r="DI62" s="9">
        <v>0</v>
      </c>
      <c r="DJ62" s="9">
        <v>0</v>
      </c>
      <c r="DK62" s="9">
        <v>0</v>
      </c>
      <c r="DL62" s="9">
        <v>0</v>
      </c>
      <c r="DM62" s="9">
        <v>0</v>
      </c>
      <c r="DN62" s="9">
        <v>0</v>
      </c>
      <c r="DO62" s="9">
        <v>0</v>
      </c>
      <c r="DP62" s="9">
        <v>0</v>
      </c>
      <c r="DQ62" s="9">
        <v>0</v>
      </c>
      <c r="DR62" s="9">
        <v>0</v>
      </c>
      <c r="DS62" s="9">
        <v>0</v>
      </c>
      <c r="DT62" s="9">
        <v>0</v>
      </c>
      <c r="DU62" s="9">
        <v>0</v>
      </c>
      <c r="DV62" s="9">
        <v>0</v>
      </c>
      <c r="DW62" s="9">
        <v>0</v>
      </c>
      <c r="DX62" s="9">
        <v>7.63</v>
      </c>
      <c r="DY62" s="9">
        <v>5.48</v>
      </c>
      <c r="DZ62" s="9">
        <v>0</v>
      </c>
      <c r="EA62" s="9">
        <v>0</v>
      </c>
      <c r="EB62" s="9">
        <v>13.11</v>
      </c>
    </row>
    <row r="63" spans="1:132" x14ac:dyDescent="0.35">
      <c r="A63" s="5">
        <v>637</v>
      </c>
      <c r="B63" s="5" t="s">
        <v>130</v>
      </c>
      <c r="C63" s="5" t="s">
        <v>131</v>
      </c>
      <c r="D63" s="5" t="s">
        <v>41</v>
      </c>
      <c r="E63" s="5" t="s">
        <v>98</v>
      </c>
      <c r="F63" s="5">
        <v>14054</v>
      </c>
      <c r="G63" s="5">
        <v>37</v>
      </c>
      <c r="H63" s="5">
        <v>76851</v>
      </c>
      <c r="I63" s="5" t="s">
        <v>33</v>
      </c>
      <c r="J63" s="5" t="s">
        <v>101</v>
      </c>
      <c r="K63" s="5" t="s">
        <v>100</v>
      </c>
      <c r="L63" s="14">
        <v>1.0137482093000001</v>
      </c>
      <c r="M63" s="9">
        <v>1.82</v>
      </c>
      <c r="N63" s="9">
        <v>0.98</v>
      </c>
      <c r="O63" s="9">
        <v>0</v>
      </c>
      <c r="P63" s="9">
        <v>0</v>
      </c>
      <c r="Q63" s="9">
        <v>2.8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1.82</v>
      </c>
      <c r="AM63" s="9">
        <v>0.98</v>
      </c>
      <c r="AN63" s="9">
        <v>0</v>
      </c>
      <c r="AO63" s="9">
        <v>0</v>
      </c>
      <c r="AP63" s="9">
        <v>2.8</v>
      </c>
      <c r="AQ63" s="9">
        <v>1.85</v>
      </c>
      <c r="AR63" s="9">
        <v>0.99</v>
      </c>
      <c r="AS63" s="9">
        <v>0</v>
      </c>
      <c r="AT63" s="9">
        <v>0</v>
      </c>
      <c r="AU63" s="9">
        <v>2.84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0</v>
      </c>
      <c r="BP63" s="9">
        <v>1.85</v>
      </c>
      <c r="BQ63" s="9">
        <v>0.99</v>
      </c>
      <c r="BR63" s="9">
        <v>0</v>
      </c>
      <c r="BS63" s="9">
        <v>0</v>
      </c>
      <c r="BT63" s="9">
        <v>2.84</v>
      </c>
      <c r="BU63" s="9">
        <v>1.85</v>
      </c>
      <c r="BV63" s="9">
        <v>0.92</v>
      </c>
      <c r="BW63" s="9">
        <v>0</v>
      </c>
      <c r="BX63" s="9">
        <v>0</v>
      </c>
      <c r="BY63" s="9">
        <v>2.77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9">
        <v>0</v>
      </c>
      <c r="CJ63" s="9">
        <v>0</v>
      </c>
      <c r="CK63" s="9">
        <v>0</v>
      </c>
      <c r="CL63" s="9">
        <v>0</v>
      </c>
      <c r="CM63" s="9">
        <v>0</v>
      </c>
      <c r="CN63" s="9">
        <v>0</v>
      </c>
      <c r="CO63" s="9">
        <v>0</v>
      </c>
      <c r="CP63" s="9">
        <v>0</v>
      </c>
      <c r="CQ63" s="9">
        <v>0</v>
      </c>
      <c r="CR63" s="9">
        <v>0</v>
      </c>
      <c r="CS63" s="9">
        <v>0</v>
      </c>
      <c r="CT63" s="9">
        <v>1.85</v>
      </c>
      <c r="CU63" s="9">
        <v>0.92</v>
      </c>
      <c r="CV63" s="9">
        <v>0</v>
      </c>
      <c r="CW63" s="9">
        <v>0</v>
      </c>
      <c r="CX63" s="9">
        <v>2.77</v>
      </c>
      <c r="CY63" s="9">
        <v>1.88</v>
      </c>
      <c r="CZ63" s="9">
        <v>0.93</v>
      </c>
      <c r="DA63" s="9">
        <v>0</v>
      </c>
      <c r="DB63" s="9">
        <v>0</v>
      </c>
      <c r="DC63" s="9">
        <v>2.81</v>
      </c>
      <c r="DD63" s="9">
        <v>0</v>
      </c>
      <c r="DE63" s="9">
        <v>0</v>
      </c>
      <c r="DF63" s="9">
        <v>0</v>
      </c>
      <c r="DG63" s="9">
        <v>0</v>
      </c>
      <c r="DH63" s="9">
        <v>0</v>
      </c>
      <c r="DI63" s="9">
        <v>0</v>
      </c>
      <c r="DJ63" s="9">
        <v>0</v>
      </c>
      <c r="DK63" s="9">
        <v>0</v>
      </c>
      <c r="DL63" s="9">
        <v>0</v>
      </c>
      <c r="DM63" s="9">
        <v>0</v>
      </c>
      <c r="DN63" s="9">
        <v>0</v>
      </c>
      <c r="DO63" s="9">
        <v>0</v>
      </c>
      <c r="DP63" s="9">
        <v>0</v>
      </c>
      <c r="DQ63" s="9">
        <v>0</v>
      </c>
      <c r="DR63" s="9">
        <v>0</v>
      </c>
      <c r="DS63" s="9">
        <v>0</v>
      </c>
      <c r="DT63" s="9">
        <v>0</v>
      </c>
      <c r="DU63" s="9">
        <v>0</v>
      </c>
      <c r="DV63" s="9">
        <v>0</v>
      </c>
      <c r="DW63" s="9">
        <v>0</v>
      </c>
      <c r="DX63" s="9">
        <v>1.88</v>
      </c>
      <c r="DY63" s="9">
        <v>0.93</v>
      </c>
      <c r="DZ63" s="9">
        <v>0</v>
      </c>
      <c r="EA63" s="9">
        <v>0</v>
      </c>
      <c r="EB63" s="9">
        <v>2.81</v>
      </c>
    </row>
    <row r="64" spans="1:132" x14ac:dyDescent="0.35">
      <c r="A64" s="5">
        <v>706</v>
      </c>
      <c r="B64" s="5" t="s">
        <v>132</v>
      </c>
      <c r="C64" s="5" t="s">
        <v>133</v>
      </c>
      <c r="D64" s="5" t="s">
        <v>134</v>
      </c>
      <c r="E64" s="5" t="s">
        <v>98</v>
      </c>
      <c r="F64" s="5">
        <v>710</v>
      </c>
      <c r="G64" s="5">
        <v>41</v>
      </c>
      <c r="H64" s="5">
        <v>68999</v>
      </c>
      <c r="I64" s="5" t="s">
        <v>27</v>
      </c>
      <c r="J64" s="5" t="s">
        <v>98</v>
      </c>
      <c r="K64" s="5" t="s">
        <v>135</v>
      </c>
      <c r="L64" s="14">
        <v>1.0141171828</v>
      </c>
      <c r="M64" s="9">
        <v>42.86</v>
      </c>
      <c r="N64" s="9">
        <v>20.91</v>
      </c>
      <c r="O64" s="9">
        <v>16.3</v>
      </c>
      <c r="P64" s="9">
        <v>0</v>
      </c>
      <c r="Q64" s="9">
        <v>80.069999999999993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42.86</v>
      </c>
      <c r="AM64" s="9">
        <v>20.91</v>
      </c>
      <c r="AN64" s="9">
        <v>16.3</v>
      </c>
      <c r="AO64" s="9">
        <v>0</v>
      </c>
      <c r="AP64" s="9">
        <v>80.069999999999993</v>
      </c>
      <c r="AQ64" s="9">
        <v>43.47</v>
      </c>
      <c r="AR64" s="9">
        <v>21.21</v>
      </c>
      <c r="AS64" s="9">
        <v>16.53</v>
      </c>
      <c r="AT64" s="9">
        <v>0</v>
      </c>
      <c r="AU64" s="9">
        <v>81.209999999999994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0</v>
      </c>
      <c r="BP64" s="9">
        <v>43.47</v>
      </c>
      <c r="BQ64" s="9">
        <v>21.21</v>
      </c>
      <c r="BR64" s="9">
        <v>16.53</v>
      </c>
      <c r="BS64" s="9">
        <v>0</v>
      </c>
      <c r="BT64" s="9">
        <v>81.209999999999994</v>
      </c>
      <c r="BU64" s="9">
        <v>42.73</v>
      </c>
      <c r="BV64" s="9">
        <v>20.72</v>
      </c>
      <c r="BW64" s="9">
        <v>16.34</v>
      </c>
      <c r="BX64" s="9">
        <v>0</v>
      </c>
      <c r="BY64" s="9">
        <v>79.790000000000006</v>
      </c>
      <c r="BZ64" s="9">
        <v>0</v>
      </c>
      <c r="CA64" s="9">
        <v>0</v>
      </c>
      <c r="CB64" s="9">
        <v>0</v>
      </c>
      <c r="CC64" s="9">
        <v>0</v>
      </c>
      <c r="CD64" s="9">
        <v>0</v>
      </c>
      <c r="CE64" s="9">
        <v>0</v>
      </c>
      <c r="CF64" s="9">
        <v>0</v>
      </c>
      <c r="CG64" s="9">
        <v>0</v>
      </c>
      <c r="CH64" s="9">
        <v>0</v>
      </c>
      <c r="CI64" s="9">
        <v>0</v>
      </c>
      <c r="CJ64" s="9">
        <v>0</v>
      </c>
      <c r="CK64" s="9">
        <v>0</v>
      </c>
      <c r="CL64" s="9">
        <v>0</v>
      </c>
      <c r="CM64" s="9">
        <v>0</v>
      </c>
      <c r="CN64" s="9">
        <v>0</v>
      </c>
      <c r="CO64" s="9">
        <v>0</v>
      </c>
      <c r="CP64" s="9">
        <v>0</v>
      </c>
      <c r="CQ64" s="9">
        <v>0</v>
      </c>
      <c r="CR64" s="9">
        <v>0</v>
      </c>
      <c r="CS64" s="9">
        <v>0</v>
      </c>
      <c r="CT64" s="9">
        <v>42.73</v>
      </c>
      <c r="CU64" s="9">
        <v>20.72</v>
      </c>
      <c r="CV64" s="9">
        <v>16.34</v>
      </c>
      <c r="CW64" s="9">
        <v>0</v>
      </c>
      <c r="CX64" s="9">
        <v>79.790000000000006</v>
      </c>
      <c r="CY64" s="9">
        <v>43.33</v>
      </c>
      <c r="CZ64" s="9">
        <v>21.01</v>
      </c>
      <c r="DA64" s="9">
        <v>16.57</v>
      </c>
      <c r="DB64" s="9">
        <v>0</v>
      </c>
      <c r="DC64" s="9">
        <v>80.91</v>
      </c>
      <c r="DD64" s="9">
        <v>0</v>
      </c>
      <c r="DE64" s="9">
        <v>0</v>
      </c>
      <c r="DF64" s="9">
        <v>0</v>
      </c>
      <c r="DG64" s="9">
        <v>0</v>
      </c>
      <c r="DH64" s="9">
        <v>0</v>
      </c>
      <c r="DI64" s="9">
        <v>0</v>
      </c>
      <c r="DJ64" s="9">
        <v>0</v>
      </c>
      <c r="DK64" s="9">
        <v>0</v>
      </c>
      <c r="DL64" s="9">
        <v>0</v>
      </c>
      <c r="DM64" s="9">
        <v>0</v>
      </c>
      <c r="DN64" s="9">
        <v>0</v>
      </c>
      <c r="DO64" s="9">
        <v>0</v>
      </c>
      <c r="DP64" s="9">
        <v>0</v>
      </c>
      <c r="DQ64" s="9">
        <v>0</v>
      </c>
      <c r="DR64" s="9">
        <v>0</v>
      </c>
      <c r="DS64" s="9">
        <v>0</v>
      </c>
      <c r="DT64" s="9">
        <v>0</v>
      </c>
      <c r="DU64" s="9">
        <v>0</v>
      </c>
      <c r="DV64" s="9">
        <v>0</v>
      </c>
      <c r="DW64" s="9">
        <v>0</v>
      </c>
      <c r="DX64" s="9">
        <v>43.33</v>
      </c>
      <c r="DY64" s="9">
        <v>21.01</v>
      </c>
      <c r="DZ64" s="9">
        <v>16.57</v>
      </c>
      <c r="EA64" s="9">
        <v>0</v>
      </c>
      <c r="EB64" s="9">
        <v>80.91</v>
      </c>
    </row>
    <row r="65" spans="1:132" x14ac:dyDescent="0.35">
      <c r="A65" s="5">
        <v>707</v>
      </c>
      <c r="B65" s="5" t="s">
        <v>132</v>
      </c>
      <c r="C65" s="5" t="s">
        <v>136</v>
      </c>
      <c r="D65" s="5" t="s">
        <v>137</v>
      </c>
      <c r="E65" s="5" t="s">
        <v>98</v>
      </c>
      <c r="F65" s="5">
        <v>710</v>
      </c>
      <c r="G65" s="5">
        <v>41</v>
      </c>
      <c r="H65" s="5">
        <v>68999</v>
      </c>
      <c r="I65" s="5" t="s">
        <v>27</v>
      </c>
      <c r="J65" s="5" t="s">
        <v>98</v>
      </c>
      <c r="K65" s="5" t="s">
        <v>135</v>
      </c>
      <c r="L65" s="14">
        <v>1</v>
      </c>
      <c r="M65" s="9">
        <v>77.08</v>
      </c>
      <c r="N65" s="9">
        <v>60.69</v>
      </c>
      <c r="O65" s="9">
        <v>33.65</v>
      </c>
      <c r="P65" s="9">
        <v>0</v>
      </c>
      <c r="Q65" s="9">
        <v>171.42</v>
      </c>
      <c r="R65" s="9">
        <v>1</v>
      </c>
      <c r="S65" s="9">
        <v>0</v>
      </c>
      <c r="T65" s="9">
        <v>0.8</v>
      </c>
      <c r="U65" s="9">
        <v>0</v>
      </c>
      <c r="V65" s="9">
        <v>1.8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78.08</v>
      </c>
      <c r="AM65" s="9">
        <v>60.69</v>
      </c>
      <c r="AN65" s="9">
        <v>34.450000000000003</v>
      </c>
      <c r="AO65" s="9">
        <v>0</v>
      </c>
      <c r="AP65" s="9">
        <v>173.22</v>
      </c>
      <c r="AQ65" s="9">
        <v>77.08</v>
      </c>
      <c r="AR65" s="9">
        <v>60.69</v>
      </c>
      <c r="AS65" s="9">
        <v>33.65</v>
      </c>
      <c r="AT65" s="9">
        <v>0</v>
      </c>
      <c r="AU65" s="9">
        <v>171.42</v>
      </c>
      <c r="AV65" s="9">
        <v>1</v>
      </c>
      <c r="AW65" s="9">
        <v>0</v>
      </c>
      <c r="AX65" s="9">
        <v>0.8</v>
      </c>
      <c r="AY65" s="9">
        <v>0</v>
      </c>
      <c r="AZ65" s="9">
        <v>1.8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0</v>
      </c>
      <c r="BP65" s="9">
        <v>78.08</v>
      </c>
      <c r="BQ65" s="9">
        <v>60.69</v>
      </c>
      <c r="BR65" s="9">
        <v>34.450000000000003</v>
      </c>
      <c r="BS65" s="9">
        <v>0</v>
      </c>
      <c r="BT65" s="9">
        <v>173.22</v>
      </c>
      <c r="BU65" s="9">
        <v>77.02</v>
      </c>
      <c r="BV65" s="9">
        <v>60.97</v>
      </c>
      <c r="BW65" s="9">
        <v>33.65</v>
      </c>
      <c r="BX65" s="9">
        <v>0</v>
      </c>
      <c r="BY65" s="9">
        <v>171.64</v>
      </c>
      <c r="BZ65" s="9">
        <v>1</v>
      </c>
      <c r="CA65" s="9">
        <v>0</v>
      </c>
      <c r="CB65" s="9">
        <v>0.8</v>
      </c>
      <c r="CC65" s="9">
        <v>0</v>
      </c>
      <c r="CD65" s="9">
        <v>1.8</v>
      </c>
      <c r="CE65" s="9">
        <v>0</v>
      </c>
      <c r="CF65" s="9">
        <v>0</v>
      </c>
      <c r="CG65" s="9">
        <v>0</v>
      </c>
      <c r="CH65" s="9">
        <v>0</v>
      </c>
      <c r="CI65" s="9">
        <v>0</v>
      </c>
      <c r="CJ65" s="9">
        <v>0</v>
      </c>
      <c r="CK65" s="9">
        <v>0</v>
      </c>
      <c r="CL65" s="9">
        <v>0</v>
      </c>
      <c r="CM65" s="9">
        <v>0</v>
      </c>
      <c r="CN65" s="9">
        <v>0</v>
      </c>
      <c r="CO65" s="9">
        <v>0</v>
      </c>
      <c r="CP65" s="9">
        <v>0</v>
      </c>
      <c r="CQ65" s="9">
        <v>0</v>
      </c>
      <c r="CR65" s="9">
        <v>0</v>
      </c>
      <c r="CS65" s="9">
        <v>0</v>
      </c>
      <c r="CT65" s="9">
        <v>78.02</v>
      </c>
      <c r="CU65" s="9">
        <v>60.97</v>
      </c>
      <c r="CV65" s="9">
        <v>34.450000000000003</v>
      </c>
      <c r="CW65" s="9">
        <v>0</v>
      </c>
      <c r="CX65" s="9">
        <v>173.44</v>
      </c>
      <c r="CY65" s="9">
        <v>77.02</v>
      </c>
      <c r="CZ65" s="9">
        <v>60.97</v>
      </c>
      <c r="DA65" s="9">
        <v>33.65</v>
      </c>
      <c r="DB65" s="9">
        <v>0</v>
      </c>
      <c r="DC65" s="9">
        <v>171.64</v>
      </c>
      <c r="DD65" s="9">
        <v>1</v>
      </c>
      <c r="DE65" s="9">
        <v>0</v>
      </c>
      <c r="DF65" s="9">
        <v>0.8</v>
      </c>
      <c r="DG65" s="9">
        <v>0</v>
      </c>
      <c r="DH65" s="9">
        <v>1.8</v>
      </c>
      <c r="DI65" s="9">
        <v>0</v>
      </c>
      <c r="DJ65" s="9">
        <v>0</v>
      </c>
      <c r="DK65" s="9">
        <v>0</v>
      </c>
      <c r="DL65" s="9">
        <v>0</v>
      </c>
      <c r="DM65" s="9">
        <v>0</v>
      </c>
      <c r="DN65" s="9">
        <v>0</v>
      </c>
      <c r="DO65" s="9">
        <v>0</v>
      </c>
      <c r="DP65" s="9">
        <v>0</v>
      </c>
      <c r="DQ65" s="9">
        <v>0</v>
      </c>
      <c r="DR65" s="9">
        <v>0</v>
      </c>
      <c r="DS65" s="9">
        <v>0</v>
      </c>
      <c r="DT65" s="9">
        <v>0</v>
      </c>
      <c r="DU65" s="9">
        <v>0</v>
      </c>
      <c r="DV65" s="9">
        <v>0</v>
      </c>
      <c r="DW65" s="9">
        <v>0</v>
      </c>
      <c r="DX65" s="9">
        <v>78.02</v>
      </c>
      <c r="DY65" s="9">
        <v>60.97</v>
      </c>
      <c r="DZ65" s="9">
        <v>34.450000000000003</v>
      </c>
      <c r="EA65" s="9">
        <v>0</v>
      </c>
      <c r="EB65" s="9">
        <v>173.44</v>
      </c>
    </row>
    <row r="66" spans="1:132" x14ac:dyDescent="0.35">
      <c r="A66" s="5">
        <v>709</v>
      </c>
      <c r="B66" s="5" t="s">
        <v>132</v>
      </c>
      <c r="C66" s="5" t="s">
        <v>138</v>
      </c>
      <c r="D66" s="5" t="s">
        <v>139</v>
      </c>
      <c r="E66" s="5" t="s">
        <v>98</v>
      </c>
      <c r="F66" s="5">
        <v>710</v>
      </c>
      <c r="G66" s="5">
        <v>41</v>
      </c>
      <c r="H66" s="5">
        <v>68999</v>
      </c>
      <c r="I66" s="5" t="s">
        <v>27</v>
      </c>
      <c r="J66" s="5" t="s">
        <v>98</v>
      </c>
      <c r="K66" s="5" t="s">
        <v>135</v>
      </c>
      <c r="L66" s="14">
        <v>1</v>
      </c>
      <c r="M66" s="9">
        <v>19.59</v>
      </c>
      <c r="N66" s="9">
        <v>11.22</v>
      </c>
      <c r="O66" s="9">
        <v>7.65</v>
      </c>
      <c r="P66" s="9">
        <v>0</v>
      </c>
      <c r="Q66" s="9">
        <v>38.46</v>
      </c>
      <c r="R66" s="9">
        <v>0</v>
      </c>
      <c r="S66" s="9">
        <v>7.0000000000000007E-2</v>
      </c>
      <c r="T66" s="9">
        <v>0.21</v>
      </c>
      <c r="U66" s="9">
        <v>0</v>
      </c>
      <c r="V66" s="9">
        <v>0.28000000000000003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19.59</v>
      </c>
      <c r="AM66" s="9">
        <v>11.29</v>
      </c>
      <c r="AN66" s="9">
        <v>7.86</v>
      </c>
      <c r="AO66" s="9">
        <v>0</v>
      </c>
      <c r="AP66" s="9">
        <v>38.74</v>
      </c>
      <c r="AQ66" s="9">
        <v>19.59</v>
      </c>
      <c r="AR66" s="9">
        <v>11.22</v>
      </c>
      <c r="AS66" s="9">
        <v>7.65</v>
      </c>
      <c r="AT66" s="9">
        <v>0</v>
      </c>
      <c r="AU66" s="9">
        <v>38.46</v>
      </c>
      <c r="AV66" s="9">
        <v>0</v>
      </c>
      <c r="AW66" s="9">
        <v>7.0000000000000007E-2</v>
      </c>
      <c r="AX66" s="9">
        <v>0.21</v>
      </c>
      <c r="AY66" s="9">
        <v>0</v>
      </c>
      <c r="AZ66" s="9">
        <v>0.28000000000000003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9">
        <v>19.59</v>
      </c>
      <c r="BQ66" s="9">
        <v>11.29</v>
      </c>
      <c r="BR66" s="9">
        <v>7.86</v>
      </c>
      <c r="BS66" s="9">
        <v>0</v>
      </c>
      <c r="BT66" s="9">
        <v>38.74</v>
      </c>
      <c r="BU66" s="9">
        <v>19.59</v>
      </c>
      <c r="BV66" s="9">
        <v>11.24</v>
      </c>
      <c r="BW66" s="9">
        <v>7.57</v>
      </c>
      <c r="BX66" s="9">
        <v>0</v>
      </c>
      <c r="BY66" s="9">
        <v>38.4</v>
      </c>
      <c r="BZ66" s="9">
        <v>0.16</v>
      </c>
      <c r="CA66" s="9">
        <v>0.1</v>
      </c>
      <c r="CB66" s="9">
        <v>0.23</v>
      </c>
      <c r="CC66" s="9">
        <v>0</v>
      </c>
      <c r="CD66" s="9">
        <v>0.49</v>
      </c>
      <c r="CE66" s="9">
        <v>0</v>
      </c>
      <c r="CF66" s="9">
        <v>0</v>
      </c>
      <c r="CG66" s="9">
        <v>0</v>
      </c>
      <c r="CH66" s="9">
        <v>0</v>
      </c>
      <c r="CI66" s="9">
        <v>0</v>
      </c>
      <c r="CJ66" s="9">
        <v>0</v>
      </c>
      <c r="CK66" s="9">
        <v>0</v>
      </c>
      <c r="CL66" s="9">
        <v>0</v>
      </c>
      <c r="CM66" s="9">
        <v>0</v>
      </c>
      <c r="CN66" s="9">
        <v>0</v>
      </c>
      <c r="CO66" s="9">
        <v>0</v>
      </c>
      <c r="CP66" s="9">
        <v>0</v>
      </c>
      <c r="CQ66" s="9">
        <v>0</v>
      </c>
      <c r="CR66" s="9">
        <v>0</v>
      </c>
      <c r="CS66" s="9">
        <v>0</v>
      </c>
      <c r="CT66" s="9">
        <v>19.75</v>
      </c>
      <c r="CU66" s="9">
        <v>11.34</v>
      </c>
      <c r="CV66" s="9">
        <v>7.8</v>
      </c>
      <c r="CW66" s="9">
        <v>0</v>
      </c>
      <c r="CX66" s="9">
        <v>38.89</v>
      </c>
      <c r="CY66" s="9">
        <v>19.59</v>
      </c>
      <c r="CZ66" s="9">
        <v>11.24</v>
      </c>
      <c r="DA66" s="9">
        <v>7.57</v>
      </c>
      <c r="DB66" s="9">
        <v>0</v>
      </c>
      <c r="DC66" s="9">
        <v>38.4</v>
      </c>
      <c r="DD66" s="9">
        <v>0.16</v>
      </c>
      <c r="DE66" s="9">
        <v>0.1</v>
      </c>
      <c r="DF66" s="9">
        <v>0.23</v>
      </c>
      <c r="DG66" s="9">
        <v>0</v>
      </c>
      <c r="DH66" s="9">
        <v>0.49</v>
      </c>
      <c r="DI66" s="9">
        <v>0</v>
      </c>
      <c r="DJ66" s="9">
        <v>0</v>
      </c>
      <c r="DK66" s="9">
        <v>0</v>
      </c>
      <c r="DL66" s="9">
        <v>0</v>
      </c>
      <c r="DM66" s="9">
        <v>0</v>
      </c>
      <c r="DN66" s="9">
        <v>0</v>
      </c>
      <c r="DO66" s="9">
        <v>0</v>
      </c>
      <c r="DP66" s="9">
        <v>0</v>
      </c>
      <c r="DQ66" s="9">
        <v>0</v>
      </c>
      <c r="DR66" s="9">
        <v>0</v>
      </c>
      <c r="DS66" s="9">
        <v>0</v>
      </c>
      <c r="DT66" s="9">
        <v>0</v>
      </c>
      <c r="DU66" s="9">
        <v>0</v>
      </c>
      <c r="DV66" s="9">
        <v>0</v>
      </c>
      <c r="DW66" s="9">
        <v>0</v>
      </c>
      <c r="DX66" s="9">
        <v>19.75</v>
      </c>
      <c r="DY66" s="9">
        <v>11.34</v>
      </c>
      <c r="DZ66" s="9">
        <v>7.8</v>
      </c>
      <c r="EA66" s="9">
        <v>0</v>
      </c>
      <c r="EB66" s="9">
        <v>38.89</v>
      </c>
    </row>
    <row r="67" spans="1:132" x14ac:dyDescent="0.35">
      <c r="A67" s="5">
        <v>718</v>
      </c>
      <c r="B67" s="5" t="s">
        <v>132</v>
      </c>
      <c r="C67" s="5" t="s">
        <v>140</v>
      </c>
      <c r="D67" s="5" t="s">
        <v>141</v>
      </c>
      <c r="E67" s="5" t="s">
        <v>98</v>
      </c>
      <c r="F67" s="5">
        <v>710</v>
      </c>
      <c r="G67" s="5">
        <v>41</v>
      </c>
      <c r="H67" s="5">
        <v>68999</v>
      </c>
      <c r="I67" s="5" t="s">
        <v>27</v>
      </c>
      <c r="J67" s="5" t="s">
        <v>98</v>
      </c>
      <c r="K67" s="5" t="s">
        <v>135</v>
      </c>
      <c r="L67" s="14">
        <v>1</v>
      </c>
      <c r="M67" s="9">
        <v>19.600000000000001</v>
      </c>
      <c r="N67" s="9">
        <v>11.15</v>
      </c>
      <c r="O67" s="9">
        <v>5.54</v>
      </c>
      <c r="P67" s="9">
        <v>0</v>
      </c>
      <c r="Q67" s="9">
        <v>36.29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19.600000000000001</v>
      </c>
      <c r="AM67" s="9">
        <v>11.15</v>
      </c>
      <c r="AN67" s="9">
        <v>5.54</v>
      </c>
      <c r="AO67" s="9">
        <v>0</v>
      </c>
      <c r="AP67" s="9">
        <v>36.29</v>
      </c>
      <c r="AQ67" s="9">
        <v>19.600000000000001</v>
      </c>
      <c r="AR67" s="9">
        <v>11.15</v>
      </c>
      <c r="AS67" s="9">
        <v>5.54</v>
      </c>
      <c r="AT67" s="9">
        <v>0</v>
      </c>
      <c r="AU67" s="9">
        <v>36.29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9">
        <v>0</v>
      </c>
      <c r="BJ67" s="9">
        <v>0</v>
      </c>
      <c r="BK67" s="9">
        <v>0</v>
      </c>
      <c r="BL67" s="9">
        <v>0</v>
      </c>
      <c r="BM67" s="9">
        <v>0</v>
      </c>
      <c r="BN67" s="9">
        <v>0</v>
      </c>
      <c r="BO67" s="9">
        <v>0</v>
      </c>
      <c r="BP67" s="9">
        <v>19.600000000000001</v>
      </c>
      <c r="BQ67" s="9">
        <v>11.15</v>
      </c>
      <c r="BR67" s="9">
        <v>5.54</v>
      </c>
      <c r="BS67" s="9">
        <v>0</v>
      </c>
      <c r="BT67" s="9">
        <v>36.29</v>
      </c>
      <c r="BU67" s="9">
        <v>19.579999999999998</v>
      </c>
      <c r="BV67" s="9">
        <v>11.09</v>
      </c>
      <c r="BW67" s="9">
        <v>5.51</v>
      </c>
      <c r="BX67" s="9">
        <v>0</v>
      </c>
      <c r="BY67" s="9">
        <v>36.18</v>
      </c>
      <c r="BZ67" s="9">
        <v>0</v>
      </c>
      <c r="CA67" s="9">
        <v>0</v>
      </c>
      <c r="CB67" s="9">
        <v>0</v>
      </c>
      <c r="CC67" s="9">
        <v>0</v>
      </c>
      <c r="CD67" s="9">
        <v>0</v>
      </c>
      <c r="CE67" s="9">
        <v>0</v>
      </c>
      <c r="CF67" s="9">
        <v>0</v>
      </c>
      <c r="CG67" s="9">
        <v>0</v>
      </c>
      <c r="CH67" s="9">
        <v>0</v>
      </c>
      <c r="CI67" s="9">
        <v>0</v>
      </c>
      <c r="CJ67" s="9">
        <v>0</v>
      </c>
      <c r="CK67" s="9">
        <v>0</v>
      </c>
      <c r="CL67" s="9">
        <v>0</v>
      </c>
      <c r="CM67" s="9">
        <v>0</v>
      </c>
      <c r="CN67" s="9">
        <v>0</v>
      </c>
      <c r="CO67" s="9">
        <v>0</v>
      </c>
      <c r="CP67" s="9">
        <v>0</v>
      </c>
      <c r="CQ67" s="9">
        <v>0</v>
      </c>
      <c r="CR67" s="9">
        <v>0</v>
      </c>
      <c r="CS67" s="9">
        <v>0</v>
      </c>
      <c r="CT67" s="9">
        <v>19.579999999999998</v>
      </c>
      <c r="CU67" s="9">
        <v>11.09</v>
      </c>
      <c r="CV67" s="9">
        <v>5.51</v>
      </c>
      <c r="CW67" s="9">
        <v>0</v>
      </c>
      <c r="CX67" s="9">
        <v>36.18</v>
      </c>
      <c r="CY67" s="9">
        <v>19.579999999999998</v>
      </c>
      <c r="CZ67" s="9">
        <v>11.09</v>
      </c>
      <c r="DA67" s="9">
        <v>5.51</v>
      </c>
      <c r="DB67" s="9">
        <v>0</v>
      </c>
      <c r="DC67" s="9">
        <v>36.18</v>
      </c>
      <c r="DD67" s="9">
        <v>0</v>
      </c>
      <c r="DE67" s="9">
        <v>0</v>
      </c>
      <c r="DF67" s="9">
        <v>0</v>
      </c>
      <c r="DG67" s="9">
        <v>0</v>
      </c>
      <c r="DH67" s="9">
        <v>0</v>
      </c>
      <c r="DI67" s="9">
        <v>0</v>
      </c>
      <c r="DJ67" s="9">
        <v>0</v>
      </c>
      <c r="DK67" s="9">
        <v>0</v>
      </c>
      <c r="DL67" s="9">
        <v>0</v>
      </c>
      <c r="DM67" s="9">
        <v>0</v>
      </c>
      <c r="DN67" s="9">
        <v>0</v>
      </c>
      <c r="DO67" s="9">
        <v>0</v>
      </c>
      <c r="DP67" s="9">
        <v>0</v>
      </c>
      <c r="DQ67" s="9">
        <v>0</v>
      </c>
      <c r="DR67" s="9">
        <v>0</v>
      </c>
      <c r="DS67" s="9">
        <v>0</v>
      </c>
      <c r="DT67" s="9">
        <v>0</v>
      </c>
      <c r="DU67" s="9">
        <v>0</v>
      </c>
      <c r="DV67" s="9">
        <v>0</v>
      </c>
      <c r="DW67" s="9">
        <v>0</v>
      </c>
      <c r="DX67" s="9">
        <v>19.579999999999998</v>
      </c>
      <c r="DY67" s="9">
        <v>11.09</v>
      </c>
      <c r="DZ67" s="9">
        <v>5.51</v>
      </c>
      <c r="EA67" s="9">
        <v>0</v>
      </c>
      <c r="EB67" s="9">
        <v>36.18</v>
      </c>
    </row>
    <row r="68" spans="1:132" x14ac:dyDescent="0.35">
      <c r="A68" s="5">
        <v>726</v>
      </c>
      <c r="B68" s="5" t="s">
        <v>144</v>
      </c>
      <c r="C68" s="5" t="s">
        <v>145</v>
      </c>
      <c r="D68" s="5" t="s">
        <v>146</v>
      </c>
      <c r="E68" s="5" t="s">
        <v>98</v>
      </c>
      <c r="F68" s="5">
        <v>722</v>
      </c>
      <c r="G68" s="5">
        <v>42</v>
      </c>
      <c r="H68" s="5">
        <v>69138</v>
      </c>
      <c r="I68" s="5" t="s">
        <v>147</v>
      </c>
      <c r="J68" s="5" t="s">
        <v>98</v>
      </c>
      <c r="K68" s="5" t="s">
        <v>100</v>
      </c>
      <c r="L68" s="14">
        <v>1.0247980517999999</v>
      </c>
      <c r="M68" s="9">
        <v>0</v>
      </c>
      <c r="N68" s="9">
        <v>0.97</v>
      </c>
      <c r="O68" s="9">
        <v>0.88</v>
      </c>
      <c r="P68" s="9">
        <v>0</v>
      </c>
      <c r="Q68" s="9">
        <v>1.85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0.97</v>
      </c>
      <c r="AN68" s="9">
        <v>0.88</v>
      </c>
      <c r="AO68" s="9">
        <v>0</v>
      </c>
      <c r="AP68" s="9">
        <v>1.85</v>
      </c>
      <c r="AQ68" s="9">
        <v>0</v>
      </c>
      <c r="AR68" s="9">
        <v>0.99</v>
      </c>
      <c r="AS68" s="9">
        <v>0.9</v>
      </c>
      <c r="AT68" s="9">
        <v>0</v>
      </c>
      <c r="AU68" s="9">
        <v>1.89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9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9">
        <v>0</v>
      </c>
      <c r="BJ68" s="9">
        <v>0</v>
      </c>
      <c r="BK68" s="9">
        <v>0</v>
      </c>
      <c r="BL68" s="9">
        <v>0</v>
      </c>
      <c r="BM68" s="9">
        <v>0</v>
      </c>
      <c r="BN68" s="9">
        <v>0</v>
      </c>
      <c r="BO68" s="9">
        <v>0</v>
      </c>
      <c r="BP68" s="9">
        <v>0</v>
      </c>
      <c r="BQ68" s="9">
        <v>0.99</v>
      </c>
      <c r="BR68" s="9">
        <v>0.9</v>
      </c>
      <c r="BS68" s="9">
        <v>0</v>
      </c>
      <c r="BT68" s="9">
        <v>1.89</v>
      </c>
      <c r="BU68" s="9">
        <v>0</v>
      </c>
      <c r="BV68" s="9">
        <v>0.98</v>
      </c>
      <c r="BW68" s="9">
        <v>0.88</v>
      </c>
      <c r="BX68" s="9">
        <v>0</v>
      </c>
      <c r="BY68" s="9">
        <v>1.86</v>
      </c>
      <c r="BZ68" s="9">
        <v>0</v>
      </c>
      <c r="CA68" s="9">
        <v>0</v>
      </c>
      <c r="CB68" s="9">
        <v>0</v>
      </c>
      <c r="CC68" s="9">
        <v>0</v>
      </c>
      <c r="CD68" s="9">
        <v>0</v>
      </c>
      <c r="CE68" s="9">
        <v>0</v>
      </c>
      <c r="CF68" s="9">
        <v>0</v>
      </c>
      <c r="CG68" s="9">
        <v>0</v>
      </c>
      <c r="CH68" s="9">
        <v>0</v>
      </c>
      <c r="CI68" s="9">
        <v>0</v>
      </c>
      <c r="CJ68" s="9">
        <v>0</v>
      </c>
      <c r="CK68" s="9">
        <v>0</v>
      </c>
      <c r="CL68" s="9">
        <v>0</v>
      </c>
      <c r="CM68" s="9">
        <v>0</v>
      </c>
      <c r="CN68" s="9">
        <v>0</v>
      </c>
      <c r="CO68" s="9">
        <v>0</v>
      </c>
      <c r="CP68" s="9">
        <v>0</v>
      </c>
      <c r="CQ68" s="9">
        <v>0</v>
      </c>
      <c r="CR68" s="9">
        <v>0</v>
      </c>
      <c r="CS68" s="9">
        <v>0</v>
      </c>
      <c r="CT68" s="9">
        <v>0</v>
      </c>
      <c r="CU68" s="9">
        <v>0.98</v>
      </c>
      <c r="CV68" s="9">
        <v>0.88</v>
      </c>
      <c r="CW68" s="9">
        <v>0</v>
      </c>
      <c r="CX68" s="9">
        <v>1.86</v>
      </c>
      <c r="CY68" s="9">
        <v>0</v>
      </c>
      <c r="CZ68" s="9">
        <v>1</v>
      </c>
      <c r="DA68" s="9">
        <v>0.9</v>
      </c>
      <c r="DB68" s="9">
        <v>0</v>
      </c>
      <c r="DC68" s="9">
        <v>1.9</v>
      </c>
      <c r="DD68" s="9">
        <v>0</v>
      </c>
      <c r="DE68" s="9">
        <v>0</v>
      </c>
      <c r="DF68" s="9">
        <v>0</v>
      </c>
      <c r="DG68" s="9">
        <v>0</v>
      </c>
      <c r="DH68" s="9">
        <v>0</v>
      </c>
      <c r="DI68" s="9">
        <v>0</v>
      </c>
      <c r="DJ68" s="9">
        <v>0</v>
      </c>
      <c r="DK68" s="9">
        <v>0</v>
      </c>
      <c r="DL68" s="9">
        <v>0</v>
      </c>
      <c r="DM68" s="9">
        <v>0</v>
      </c>
      <c r="DN68" s="9">
        <v>0</v>
      </c>
      <c r="DO68" s="9">
        <v>0</v>
      </c>
      <c r="DP68" s="9">
        <v>0</v>
      </c>
      <c r="DQ68" s="9">
        <v>0</v>
      </c>
      <c r="DR68" s="9">
        <v>0</v>
      </c>
      <c r="DS68" s="9">
        <v>0</v>
      </c>
      <c r="DT68" s="9">
        <v>0</v>
      </c>
      <c r="DU68" s="9">
        <v>0</v>
      </c>
      <c r="DV68" s="9">
        <v>0</v>
      </c>
      <c r="DW68" s="9">
        <v>0</v>
      </c>
      <c r="DX68" s="9">
        <v>0</v>
      </c>
      <c r="DY68" s="9">
        <v>1</v>
      </c>
      <c r="DZ68" s="9">
        <v>0.9</v>
      </c>
      <c r="EA68" s="9">
        <v>0</v>
      </c>
      <c r="EB68" s="9">
        <v>1.9</v>
      </c>
    </row>
    <row r="69" spans="1:132" x14ac:dyDescent="0.35">
      <c r="A69" s="5">
        <v>726</v>
      </c>
      <c r="B69" s="5" t="s">
        <v>144</v>
      </c>
      <c r="C69" s="5" t="s">
        <v>145</v>
      </c>
      <c r="D69" s="5" t="s">
        <v>146</v>
      </c>
      <c r="E69" s="5" t="s">
        <v>98</v>
      </c>
      <c r="F69" s="5">
        <v>730</v>
      </c>
      <c r="G69" s="5">
        <v>42</v>
      </c>
      <c r="H69" s="5">
        <v>69229</v>
      </c>
      <c r="I69" s="5" t="s">
        <v>29</v>
      </c>
      <c r="J69" s="5" t="s">
        <v>101</v>
      </c>
      <c r="K69" s="5" t="s">
        <v>100</v>
      </c>
      <c r="L69" s="14">
        <v>1.0247980517999999</v>
      </c>
      <c r="M69" s="9">
        <v>2.72</v>
      </c>
      <c r="N69" s="9">
        <v>1.08</v>
      </c>
      <c r="O69" s="9">
        <v>1.48</v>
      </c>
      <c r="P69" s="9">
        <v>0</v>
      </c>
      <c r="Q69" s="9">
        <v>5.28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2.72</v>
      </c>
      <c r="AM69" s="9">
        <v>1.08</v>
      </c>
      <c r="AN69" s="9">
        <v>1.48</v>
      </c>
      <c r="AO69" s="9">
        <v>0</v>
      </c>
      <c r="AP69" s="9">
        <v>5.28</v>
      </c>
      <c r="AQ69" s="9">
        <v>2.79</v>
      </c>
      <c r="AR69" s="9">
        <v>1.1100000000000001</v>
      </c>
      <c r="AS69" s="9">
        <v>1.52</v>
      </c>
      <c r="AT69" s="9">
        <v>0</v>
      </c>
      <c r="AU69" s="9">
        <v>5.42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9">
        <v>0</v>
      </c>
      <c r="BJ69" s="9">
        <v>0</v>
      </c>
      <c r="BK69" s="9">
        <v>0</v>
      </c>
      <c r="BL69" s="9">
        <v>0</v>
      </c>
      <c r="BM69" s="9">
        <v>0</v>
      </c>
      <c r="BN69" s="9">
        <v>0</v>
      </c>
      <c r="BO69" s="9">
        <v>0</v>
      </c>
      <c r="BP69" s="9">
        <v>2.79</v>
      </c>
      <c r="BQ69" s="9">
        <v>1.1100000000000001</v>
      </c>
      <c r="BR69" s="9">
        <v>1.52</v>
      </c>
      <c r="BS69" s="9">
        <v>0</v>
      </c>
      <c r="BT69" s="9">
        <v>5.42</v>
      </c>
      <c r="BU69" s="9">
        <v>1.76</v>
      </c>
      <c r="BV69" s="9">
        <v>1.32</v>
      </c>
      <c r="BW69" s="9">
        <v>1.6</v>
      </c>
      <c r="BX69" s="9">
        <v>0</v>
      </c>
      <c r="BY69" s="9">
        <v>4.68</v>
      </c>
      <c r="BZ69" s="9">
        <v>0</v>
      </c>
      <c r="CA69" s="9">
        <v>0</v>
      </c>
      <c r="CB69" s="9">
        <v>0</v>
      </c>
      <c r="CC69" s="9">
        <v>0</v>
      </c>
      <c r="CD69" s="9">
        <v>0</v>
      </c>
      <c r="CE69" s="9">
        <v>0</v>
      </c>
      <c r="CF69" s="9">
        <v>0</v>
      </c>
      <c r="CG69" s="9">
        <v>0</v>
      </c>
      <c r="CH69" s="9">
        <v>0</v>
      </c>
      <c r="CI69" s="9">
        <v>0</v>
      </c>
      <c r="CJ69" s="9">
        <v>0</v>
      </c>
      <c r="CK69" s="9">
        <v>0</v>
      </c>
      <c r="CL69" s="9">
        <v>0</v>
      </c>
      <c r="CM69" s="9">
        <v>0</v>
      </c>
      <c r="CN69" s="9">
        <v>0</v>
      </c>
      <c r="CO69" s="9">
        <v>0</v>
      </c>
      <c r="CP69" s="9">
        <v>0</v>
      </c>
      <c r="CQ69" s="9">
        <v>0</v>
      </c>
      <c r="CR69" s="9">
        <v>0</v>
      </c>
      <c r="CS69" s="9">
        <v>0</v>
      </c>
      <c r="CT69" s="9">
        <v>1.76</v>
      </c>
      <c r="CU69" s="9">
        <v>1.32</v>
      </c>
      <c r="CV69" s="9">
        <v>1.6</v>
      </c>
      <c r="CW69" s="9">
        <v>0</v>
      </c>
      <c r="CX69" s="9">
        <v>4.68</v>
      </c>
      <c r="CY69" s="9">
        <v>1.8</v>
      </c>
      <c r="CZ69" s="9">
        <v>1.35</v>
      </c>
      <c r="DA69" s="9">
        <v>1.64</v>
      </c>
      <c r="DB69" s="9">
        <v>0</v>
      </c>
      <c r="DC69" s="9">
        <v>4.79</v>
      </c>
      <c r="DD69" s="9">
        <v>0</v>
      </c>
      <c r="DE69" s="9">
        <v>0</v>
      </c>
      <c r="DF69" s="9">
        <v>0</v>
      </c>
      <c r="DG69" s="9">
        <v>0</v>
      </c>
      <c r="DH69" s="9">
        <v>0</v>
      </c>
      <c r="DI69" s="9">
        <v>0</v>
      </c>
      <c r="DJ69" s="9">
        <v>0</v>
      </c>
      <c r="DK69" s="9">
        <v>0</v>
      </c>
      <c r="DL69" s="9">
        <v>0</v>
      </c>
      <c r="DM69" s="9">
        <v>0</v>
      </c>
      <c r="DN69" s="9">
        <v>0</v>
      </c>
      <c r="DO69" s="9">
        <v>0</v>
      </c>
      <c r="DP69" s="9">
        <v>0</v>
      </c>
      <c r="DQ69" s="9">
        <v>0</v>
      </c>
      <c r="DR69" s="9">
        <v>0</v>
      </c>
      <c r="DS69" s="9">
        <v>0</v>
      </c>
      <c r="DT69" s="9">
        <v>0</v>
      </c>
      <c r="DU69" s="9">
        <v>0</v>
      </c>
      <c r="DV69" s="9">
        <v>0</v>
      </c>
      <c r="DW69" s="9">
        <v>0</v>
      </c>
      <c r="DX69" s="9">
        <v>1.8</v>
      </c>
      <c r="DY69" s="9">
        <v>1.35</v>
      </c>
      <c r="DZ69" s="9">
        <v>1.64</v>
      </c>
      <c r="EA69" s="9">
        <v>0</v>
      </c>
      <c r="EB69" s="9">
        <v>4.79</v>
      </c>
    </row>
    <row r="70" spans="1:132" x14ac:dyDescent="0.35">
      <c r="A70" s="5">
        <v>726</v>
      </c>
      <c r="B70" s="5" t="s">
        <v>144</v>
      </c>
      <c r="C70" s="5" t="s">
        <v>145</v>
      </c>
      <c r="D70" s="5" t="s">
        <v>146</v>
      </c>
      <c r="E70" s="5" t="s">
        <v>98</v>
      </c>
      <c r="F70" s="5">
        <v>734</v>
      </c>
      <c r="G70" s="5">
        <v>42</v>
      </c>
      <c r="H70" s="5">
        <v>69260</v>
      </c>
      <c r="I70" s="5" t="s">
        <v>28</v>
      </c>
      <c r="J70" s="5" t="s">
        <v>98</v>
      </c>
      <c r="K70" s="5" t="s">
        <v>100</v>
      </c>
      <c r="L70" s="14">
        <v>1.0247980517999999</v>
      </c>
      <c r="M70" s="9">
        <v>0.76</v>
      </c>
      <c r="N70" s="9">
        <v>0.95</v>
      </c>
      <c r="O70" s="9">
        <v>0</v>
      </c>
      <c r="P70" s="9">
        <v>0</v>
      </c>
      <c r="Q70" s="9">
        <v>1.71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9">
        <v>0.76</v>
      </c>
      <c r="AM70" s="9">
        <v>0.95</v>
      </c>
      <c r="AN70" s="9">
        <v>0</v>
      </c>
      <c r="AO70" s="9">
        <v>0</v>
      </c>
      <c r="AP70" s="9">
        <v>1.71</v>
      </c>
      <c r="AQ70" s="9">
        <v>0.78</v>
      </c>
      <c r="AR70" s="9">
        <v>0.97</v>
      </c>
      <c r="AS70" s="9">
        <v>0</v>
      </c>
      <c r="AT70" s="9">
        <v>0</v>
      </c>
      <c r="AU70" s="9">
        <v>1.75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9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9">
        <v>0</v>
      </c>
      <c r="BJ70" s="9">
        <v>0</v>
      </c>
      <c r="BK70" s="9">
        <v>0</v>
      </c>
      <c r="BL70" s="9">
        <v>0</v>
      </c>
      <c r="BM70" s="9">
        <v>0</v>
      </c>
      <c r="BN70" s="9">
        <v>0</v>
      </c>
      <c r="BO70" s="9">
        <v>0</v>
      </c>
      <c r="BP70" s="9">
        <v>0.78</v>
      </c>
      <c r="BQ70" s="9">
        <v>0.97</v>
      </c>
      <c r="BR70" s="9">
        <v>0</v>
      </c>
      <c r="BS70" s="9">
        <v>0</v>
      </c>
      <c r="BT70" s="9">
        <v>1.75</v>
      </c>
      <c r="BU70" s="9">
        <v>0.73</v>
      </c>
      <c r="BV70" s="9">
        <v>0.94</v>
      </c>
      <c r="BW70" s="9">
        <v>0</v>
      </c>
      <c r="BX70" s="9">
        <v>0</v>
      </c>
      <c r="BY70" s="9">
        <v>1.67</v>
      </c>
      <c r="BZ70" s="9">
        <v>0</v>
      </c>
      <c r="CA70" s="9">
        <v>0</v>
      </c>
      <c r="CB70" s="9">
        <v>0</v>
      </c>
      <c r="CC70" s="9">
        <v>0</v>
      </c>
      <c r="CD70" s="9">
        <v>0</v>
      </c>
      <c r="CE70" s="9">
        <v>0</v>
      </c>
      <c r="CF70" s="9">
        <v>0</v>
      </c>
      <c r="CG70" s="9">
        <v>0</v>
      </c>
      <c r="CH70" s="9">
        <v>0</v>
      </c>
      <c r="CI70" s="9">
        <v>0</v>
      </c>
      <c r="CJ70" s="9">
        <v>0</v>
      </c>
      <c r="CK70" s="9">
        <v>0</v>
      </c>
      <c r="CL70" s="9">
        <v>0</v>
      </c>
      <c r="CM70" s="9">
        <v>0</v>
      </c>
      <c r="CN70" s="9">
        <v>0</v>
      </c>
      <c r="CO70" s="9">
        <v>0</v>
      </c>
      <c r="CP70" s="9">
        <v>0</v>
      </c>
      <c r="CQ70" s="9">
        <v>0</v>
      </c>
      <c r="CR70" s="9">
        <v>0</v>
      </c>
      <c r="CS70" s="9">
        <v>0</v>
      </c>
      <c r="CT70" s="9">
        <v>0.73</v>
      </c>
      <c r="CU70" s="9">
        <v>0.94</v>
      </c>
      <c r="CV70" s="9">
        <v>0</v>
      </c>
      <c r="CW70" s="9">
        <v>0</v>
      </c>
      <c r="CX70" s="9">
        <v>1.67</v>
      </c>
      <c r="CY70" s="9">
        <v>0.75</v>
      </c>
      <c r="CZ70" s="9">
        <v>0.96</v>
      </c>
      <c r="DA70" s="9">
        <v>0</v>
      </c>
      <c r="DB70" s="9">
        <v>0</v>
      </c>
      <c r="DC70" s="9">
        <v>1.71</v>
      </c>
      <c r="DD70" s="9">
        <v>0</v>
      </c>
      <c r="DE70" s="9">
        <v>0</v>
      </c>
      <c r="DF70" s="9">
        <v>0</v>
      </c>
      <c r="DG70" s="9">
        <v>0</v>
      </c>
      <c r="DH70" s="9">
        <v>0</v>
      </c>
      <c r="DI70" s="9">
        <v>0</v>
      </c>
      <c r="DJ70" s="9">
        <v>0</v>
      </c>
      <c r="DK70" s="9">
        <v>0</v>
      </c>
      <c r="DL70" s="9">
        <v>0</v>
      </c>
      <c r="DM70" s="9">
        <v>0</v>
      </c>
      <c r="DN70" s="9">
        <v>0</v>
      </c>
      <c r="DO70" s="9">
        <v>0</v>
      </c>
      <c r="DP70" s="9">
        <v>0</v>
      </c>
      <c r="DQ70" s="9">
        <v>0</v>
      </c>
      <c r="DR70" s="9">
        <v>0</v>
      </c>
      <c r="DS70" s="9">
        <v>0</v>
      </c>
      <c r="DT70" s="9">
        <v>0</v>
      </c>
      <c r="DU70" s="9">
        <v>0</v>
      </c>
      <c r="DV70" s="9">
        <v>0</v>
      </c>
      <c r="DW70" s="9">
        <v>0</v>
      </c>
      <c r="DX70" s="9">
        <v>0.75</v>
      </c>
      <c r="DY70" s="9">
        <v>0.96</v>
      </c>
      <c r="DZ70" s="9">
        <v>0</v>
      </c>
      <c r="EA70" s="9">
        <v>0</v>
      </c>
      <c r="EB70" s="9">
        <v>1.71</v>
      </c>
    </row>
    <row r="71" spans="1:132" x14ac:dyDescent="0.35">
      <c r="A71" s="5">
        <v>726</v>
      </c>
      <c r="B71" s="5" t="s">
        <v>144</v>
      </c>
      <c r="C71" s="5" t="s">
        <v>145</v>
      </c>
      <c r="D71" s="5" t="s">
        <v>146</v>
      </c>
      <c r="E71" s="5" t="s">
        <v>98</v>
      </c>
      <c r="F71" s="5">
        <v>739</v>
      </c>
      <c r="G71" s="5">
        <v>42</v>
      </c>
      <c r="H71" s="5">
        <v>69336</v>
      </c>
      <c r="I71" s="5" t="s">
        <v>148</v>
      </c>
      <c r="J71" s="5" t="s">
        <v>98</v>
      </c>
      <c r="K71" s="5" t="s">
        <v>100</v>
      </c>
      <c r="L71" s="14">
        <v>1.0247980517999999</v>
      </c>
      <c r="M71" s="9">
        <v>2.34</v>
      </c>
      <c r="N71" s="9">
        <v>1.85</v>
      </c>
      <c r="O71" s="9">
        <v>3.29</v>
      </c>
      <c r="P71" s="9">
        <v>0</v>
      </c>
      <c r="Q71" s="9">
        <v>7.48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2.34</v>
      </c>
      <c r="AM71" s="9">
        <v>1.85</v>
      </c>
      <c r="AN71" s="9">
        <v>3.29</v>
      </c>
      <c r="AO71" s="9">
        <v>0</v>
      </c>
      <c r="AP71" s="9">
        <v>7.48</v>
      </c>
      <c r="AQ71" s="9">
        <v>2.4</v>
      </c>
      <c r="AR71" s="9">
        <v>1.9</v>
      </c>
      <c r="AS71" s="9">
        <v>3.37</v>
      </c>
      <c r="AT71" s="9">
        <v>0</v>
      </c>
      <c r="AU71" s="9">
        <v>7.67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9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9">
        <v>0</v>
      </c>
      <c r="BJ71" s="9">
        <v>0</v>
      </c>
      <c r="BK71" s="9">
        <v>0</v>
      </c>
      <c r="BL71" s="9">
        <v>0</v>
      </c>
      <c r="BM71" s="9">
        <v>0</v>
      </c>
      <c r="BN71" s="9">
        <v>0</v>
      </c>
      <c r="BO71" s="9">
        <v>0</v>
      </c>
      <c r="BP71" s="9">
        <v>2.4</v>
      </c>
      <c r="BQ71" s="9">
        <v>1.9</v>
      </c>
      <c r="BR71" s="9">
        <v>3.37</v>
      </c>
      <c r="BS71" s="9">
        <v>0</v>
      </c>
      <c r="BT71" s="9">
        <v>7.67</v>
      </c>
      <c r="BU71" s="9">
        <v>2.46</v>
      </c>
      <c r="BV71" s="9">
        <v>1.86</v>
      </c>
      <c r="BW71" s="9">
        <v>3.41</v>
      </c>
      <c r="BX71" s="9">
        <v>0</v>
      </c>
      <c r="BY71" s="9">
        <v>7.73</v>
      </c>
      <c r="BZ71" s="9">
        <v>0</v>
      </c>
      <c r="CA71" s="9">
        <v>0</v>
      </c>
      <c r="CB71" s="9">
        <v>0</v>
      </c>
      <c r="CC71" s="9">
        <v>0</v>
      </c>
      <c r="CD71" s="9">
        <v>0</v>
      </c>
      <c r="CE71" s="9">
        <v>0</v>
      </c>
      <c r="CF71" s="9">
        <v>0</v>
      </c>
      <c r="CG71" s="9">
        <v>0</v>
      </c>
      <c r="CH71" s="9">
        <v>0</v>
      </c>
      <c r="CI71" s="9">
        <v>0</v>
      </c>
      <c r="CJ71" s="9">
        <v>0</v>
      </c>
      <c r="CK71" s="9">
        <v>0</v>
      </c>
      <c r="CL71" s="9">
        <v>0</v>
      </c>
      <c r="CM71" s="9">
        <v>0</v>
      </c>
      <c r="CN71" s="9">
        <v>0</v>
      </c>
      <c r="CO71" s="9">
        <v>0</v>
      </c>
      <c r="CP71" s="9">
        <v>0</v>
      </c>
      <c r="CQ71" s="9">
        <v>0</v>
      </c>
      <c r="CR71" s="9">
        <v>0</v>
      </c>
      <c r="CS71" s="9">
        <v>0</v>
      </c>
      <c r="CT71" s="9">
        <v>2.46</v>
      </c>
      <c r="CU71" s="9">
        <v>1.86</v>
      </c>
      <c r="CV71" s="9">
        <v>3.41</v>
      </c>
      <c r="CW71" s="9">
        <v>0</v>
      </c>
      <c r="CX71" s="9">
        <v>7.73</v>
      </c>
      <c r="CY71" s="9">
        <v>2.52</v>
      </c>
      <c r="CZ71" s="9">
        <v>1.91</v>
      </c>
      <c r="DA71" s="9">
        <v>3.49</v>
      </c>
      <c r="DB71" s="9">
        <v>0</v>
      </c>
      <c r="DC71" s="9">
        <v>7.92</v>
      </c>
      <c r="DD71" s="9">
        <v>0</v>
      </c>
      <c r="DE71" s="9">
        <v>0</v>
      </c>
      <c r="DF71" s="9">
        <v>0</v>
      </c>
      <c r="DG71" s="9">
        <v>0</v>
      </c>
      <c r="DH71" s="9">
        <v>0</v>
      </c>
      <c r="DI71" s="9">
        <v>0</v>
      </c>
      <c r="DJ71" s="9">
        <v>0</v>
      </c>
      <c r="DK71" s="9">
        <v>0</v>
      </c>
      <c r="DL71" s="9">
        <v>0</v>
      </c>
      <c r="DM71" s="9">
        <v>0</v>
      </c>
      <c r="DN71" s="9">
        <v>0</v>
      </c>
      <c r="DO71" s="9">
        <v>0</v>
      </c>
      <c r="DP71" s="9">
        <v>0</v>
      </c>
      <c r="DQ71" s="9">
        <v>0</v>
      </c>
      <c r="DR71" s="9">
        <v>0</v>
      </c>
      <c r="DS71" s="9">
        <v>0</v>
      </c>
      <c r="DT71" s="9">
        <v>0</v>
      </c>
      <c r="DU71" s="9">
        <v>0</v>
      </c>
      <c r="DV71" s="9">
        <v>0</v>
      </c>
      <c r="DW71" s="9">
        <v>0</v>
      </c>
      <c r="DX71" s="9">
        <v>2.52</v>
      </c>
      <c r="DY71" s="9">
        <v>1.91</v>
      </c>
      <c r="DZ71" s="9">
        <v>3.49</v>
      </c>
      <c r="EA71" s="9">
        <v>0</v>
      </c>
      <c r="EB71" s="9">
        <v>7.92</v>
      </c>
    </row>
    <row r="72" spans="1:132" x14ac:dyDescent="0.35">
      <c r="A72" s="5">
        <v>740</v>
      </c>
      <c r="B72" s="5" t="s">
        <v>144</v>
      </c>
      <c r="C72" s="5" t="s">
        <v>149</v>
      </c>
      <c r="D72" s="5" t="s">
        <v>150</v>
      </c>
      <c r="E72" s="5" t="s">
        <v>98</v>
      </c>
      <c r="F72" s="5">
        <v>722</v>
      </c>
      <c r="G72" s="5">
        <v>42</v>
      </c>
      <c r="H72" s="5">
        <v>69138</v>
      </c>
      <c r="I72" s="5" t="s">
        <v>147</v>
      </c>
      <c r="J72" s="5" t="s">
        <v>98</v>
      </c>
      <c r="K72" s="5" t="s">
        <v>100</v>
      </c>
      <c r="L72" s="14">
        <v>1</v>
      </c>
      <c r="M72" s="9">
        <v>2.59</v>
      </c>
      <c r="N72" s="9">
        <v>0</v>
      </c>
      <c r="O72" s="9">
        <v>0</v>
      </c>
      <c r="P72" s="9">
        <v>0</v>
      </c>
      <c r="Q72" s="9">
        <v>2.59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2.59</v>
      </c>
      <c r="AM72" s="9">
        <v>0</v>
      </c>
      <c r="AN72" s="9">
        <v>0</v>
      </c>
      <c r="AO72" s="9">
        <v>0</v>
      </c>
      <c r="AP72" s="9">
        <v>2.59</v>
      </c>
      <c r="AQ72" s="9">
        <v>2.59</v>
      </c>
      <c r="AR72" s="9">
        <v>0</v>
      </c>
      <c r="AS72" s="9">
        <v>0</v>
      </c>
      <c r="AT72" s="9">
        <v>0</v>
      </c>
      <c r="AU72" s="9">
        <v>2.59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9">
        <v>0</v>
      </c>
      <c r="BJ72" s="9">
        <v>0</v>
      </c>
      <c r="BK72" s="9">
        <v>0</v>
      </c>
      <c r="BL72" s="9">
        <v>0</v>
      </c>
      <c r="BM72" s="9">
        <v>0</v>
      </c>
      <c r="BN72" s="9">
        <v>0</v>
      </c>
      <c r="BO72" s="9">
        <v>0</v>
      </c>
      <c r="BP72" s="9">
        <v>2.59</v>
      </c>
      <c r="BQ72" s="9">
        <v>0</v>
      </c>
      <c r="BR72" s="9">
        <v>0</v>
      </c>
      <c r="BS72" s="9">
        <v>0</v>
      </c>
      <c r="BT72" s="9">
        <v>2.59</v>
      </c>
      <c r="BU72" s="9">
        <v>2.57</v>
      </c>
      <c r="BV72" s="9">
        <v>0</v>
      </c>
      <c r="BW72" s="9">
        <v>0</v>
      </c>
      <c r="BX72" s="9">
        <v>0</v>
      </c>
      <c r="BY72" s="9">
        <v>2.57</v>
      </c>
      <c r="BZ72" s="9">
        <v>0</v>
      </c>
      <c r="CA72" s="9">
        <v>0</v>
      </c>
      <c r="CB72" s="9">
        <v>0</v>
      </c>
      <c r="CC72" s="9">
        <v>0</v>
      </c>
      <c r="CD72" s="9">
        <v>0</v>
      </c>
      <c r="CE72" s="9">
        <v>0</v>
      </c>
      <c r="CF72" s="9">
        <v>0</v>
      </c>
      <c r="CG72" s="9">
        <v>0</v>
      </c>
      <c r="CH72" s="9">
        <v>0</v>
      </c>
      <c r="CI72" s="9">
        <v>0</v>
      </c>
      <c r="CJ72" s="9">
        <v>0</v>
      </c>
      <c r="CK72" s="9">
        <v>0</v>
      </c>
      <c r="CL72" s="9">
        <v>0</v>
      </c>
      <c r="CM72" s="9">
        <v>0</v>
      </c>
      <c r="CN72" s="9">
        <v>0</v>
      </c>
      <c r="CO72" s="9">
        <v>0</v>
      </c>
      <c r="CP72" s="9">
        <v>0</v>
      </c>
      <c r="CQ72" s="9">
        <v>0</v>
      </c>
      <c r="CR72" s="9">
        <v>0</v>
      </c>
      <c r="CS72" s="9">
        <v>0</v>
      </c>
      <c r="CT72" s="9">
        <v>2.57</v>
      </c>
      <c r="CU72" s="9">
        <v>0</v>
      </c>
      <c r="CV72" s="9">
        <v>0</v>
      </c>
      <c r="CW72" s="9">
        <v>0</v>
      </c>
      <c r="CX72" s="9">
        <v>2.57</v>
      </c>
      <c r="CY72" s="9">
        <v>2.57</v>
      </c>
      <c r="CZ72" s="9">
        <v>0</v>
      </c>
      <c r="DA72" s="9">
        <v>0</v>
      </c>
      <c r="DB72" s="9">
        <v>0</v>
      </c>
      <c r="DC72" s="9">
        <v>2.57</v>
      </c>
      <c r="DD72" s="9">
        <v>0</v>
      </c>
      <c r="DE72" s="9">
        <v>0</v>
      </c>
      <c r="DF72" s="9">
        <v>0</v>
      </c>
      <c r="DG72" s="9">
        <v>0</v>
      </c>
      <c r="DH72" s="9">
        <v>0</v>
      </c>
      <c r="DI72" s="9">
        <v>0</v>
      </c>
      <c r="DJ72" s="9">
        <v>0</v>
      </c>
      <c r="DK72" s="9">
        <v>0</v>
      </c>
      <c r="DL72" s="9">
        <v>0</v>
      </c>
      <c r="DM72" s="9">
        <v>0</v>
      </c>
      <c r="DN72" s="9">
        <v>0</v>
      </c>
      <c r="DO72" s="9">
        <v>0</v>
      </c>
      <c r="DP72" s="9">
        <v>0</v>
      </c>
      <c r="DQ72" s="9">
        <v>0</v>
      </c>
      <c r="DR72" s="9">
        <v>0</v>
      </c>
      <c r="DS72" s="9">
        <v>0</v>
      </c>
      <c r="DT72" s="9">
        <v>0</v>
      </c>
      <c r="DU72" s="9">
        <v>0</v>
      </c>
      <c r="DV72" s="9">
        <v>0</v>
      </c>
      <c r="DW72" s="9">
        <v>0</v>
      </c>
      <c r="DX72" s="9">
        <v>2.57</v>
      </c>
      <c r="DY72" s="9">
        <v>0</v>
      </c>
      <c r="DZ72" s="9">
        <v>0</v>
      </c>
      <c r="EA72" s="9">
        <v>0</v>
      </c>
      <c r="EB72" s="9">
        <v>2.57</v>
      </c>
    </row>
    <row r="73" spans="1:132" x14ac:dyDescent="0.35">
      <c r="A73" s="5">
        <v>740</v>
      </c>
      <c r="B73" s="5" t="s">
        <v>144</v>
      </c>
      <c r="C73" s="5" t="s">
        <v>149</v>
      </c>
      <c r="D73" s="5" t="s">
        <v>150</v>
      </c>
      <c r="E73" s="5" t="s">
        <v>98</v>
      </c>
      <c r="F73" s="5">
        <v>727</v>
      </c>
      <c r="G73" s="5">
        <v>42</v>
      </c>
      <c r="H73" s="5">
        <v>69195</v>
      </c>
      <c r="I73" s="5" t="s">
        <v>30</v>
      </c>
      <c r="J73" s="5" t="s">
        <v>98</v>
      </c>
      <c r="K73" s="5" t="s">
        <v>100</v>
      </c>
      <c r="L73" s="14">
        <v>1</v>
      </c>
      <c r="M73" s="9">
        <v>0.95</v>
      </c>
      <c r="N73" s="9">
        <v>0</v>
      </c>
      <c r="O73" s="9">
        <v>0</v>
      </c>
      <c r="P73" s="9">
        <v>0</v>
      </c>
      <c r="Q73" s="9">
        <v>0.95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0.95</v>
      </c>
      <c r="AM73" s="9">
        <v>0</v>
      </c>
      <c r="AN73" s="9">
        <v>0</v>
      </c>
      <c r="AO73" s="9">
        <v>0</v>
      </c>
      <c r="AP73" s="9">
        <v>0.95</v>
      </c>
      <c r="AQ73" s="9">
        <v>0.95</v>
      </c>
      <c r="AR73" s="9">
        <v>0</v>
      </c>
      <c r="AS73" s="9">
        <v>0</v>
      </c>
      <c r="AT73" s="9">
        <v>0</v>
      </c>
      <c r="AU73" s="9">
        <v>0.95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9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9">
        <v>0</v>
      </c>
      <c r="BJ73" s="9">
        <v>0</v>
      </c>
      <c r="BK73" s="9">
        <v>0</v>
      </c>
      <c r="BL73" s="9">
        <v>0</v>
      </c>
      <c r="BM73" s="9">
        <v>0</v>
      </c>
      <c r="BN73" s="9">
        <v>0</v>
      </c>
      <c r="BO73" s="9">
        <v>0</v>
      </c>
      <c r="BP73" s="9">
        <v>0.95</v>
      </c>
      <c r="BQ73" s="9">
        <v>0</v>
      </c>
      <c r="BR73" s="9">
        <v>0</v>
      </c>
      <c r="BS73" s="9">
        <v>0</v>
      </c>
      <c r="BT73" s="9">
        <v>0.95</v>
      </c>
      <c r="BU73" s="9">
        <v>0.93</v>
      </c>
      <c r="BV73" s="9">
        <v>0</v>
      </c>
      <c r="BW73" s="9">
        <v>0</v>
      </c>
      <c r="BX73" s="9">
        <v>0</v>
      </c>
      <c r="BY73" s="9">
        <v>0.93</v>
      </c>
      <c r="BZ73" s="9">
        <v>0</v>
      </c>
      <c r="CA73" s="9">
        <v>0</v>
      </c>
      <c r="CB73" s="9">
        <v>0</v>
      </c>
      <c r="CC73" s="9">
        <v>0</v>
      </c>
      <c r="CD73" s="9">
        <v>0</v>
      </c>
      <c r="CE73" s="9">
        <v>0</v>
      </c>
      <c r="CF73" s="9">
        <v>0</v>
      </c>
      <c r="CG73" s="9">
        <v>0</v>
      </c>
      <c r="CH73" s="9">
        <v>0</v>
      </c>
      <c r="CI73" s="9">
        <v>0</v>
      </c>
      <c r="CJ73" s="9">
        <v>0</v>
      </c>
      <c r="CK73" s="9">
        <v>0</v>
      </c>
      <c r="CL73" s="9">
        <v>0</v>
      </c>
      <c r="CM73" s="9">
        <v>0</v>
      </c>
      <c r="CN73" s="9">
        <v>0</v>
      </c>
      <c r="CO73" s="9">
        <v>0</v>
      </c>
      <c r="CP73" s="9">
        <v>0</v>
      </c>
      <c r="CQ73" s="9">
        <v>0</v>
      </c>
      <c r="CR73" s="9">
        <v>0</v>
      </c>
      <c r="CS73" s="9">
        <v>0</v>
      </c>
      <c r="CT73" s="9">
        <v>0.93</v>
      </c>
      <c r="CU73" s="9">
        <v>0</v>
      </c>
      <c r="CV73" s="9">
        <v>0</v>
      </c>
      <c r="CW73" s="9">
        <v>0</v>
      </c>
      <c r="CX73" s="9">
        <v>0.93</v>
      </c>
      <c r="CY73" s="9">
        <v>0.93</v>
      </c>
      <c r="CZ73" s="9">
        <v>0</v>
      </c>
      <c r="DA73" s="9">
        <v>0</v>
      </c>
      <c r="DB73" s="9">
        <v>0</v>
      </c>
      <c r="DC73" s="9">
        <v>0.93</v>
      </c>
      <c r="DD73" s="9">
        <v>0</v>
      </c>
      <c r="DE73" s="9">
        <v>0</v>
      </c>
      <c r="DF73" s="9">
        <v>0</v>
      </c>
      <c r="DG73" s="9">
        <v>0</v>
      </c>
      <c r="DH73" s="9">
        <v>0</v>
      </c>
      <c r="DI73" s="9">
        <v>0</v>
      </c>
      <c r="DJ73" s="9">
        <v>0</v>
      </c>
      <c r="DK73" s="9">
        <v>0</v>
      </c>
      <c r="DL73" s="9">
        <v>0</v>
      </c>
      <c r="DM73" s="9">
        <v>0</v>
      </c>
      <c r="DN73" s="9">
        <v>0</v>
      </c>
      <c r="DO73" s="9">
        <v>0</v>
      </c>
      <c r="DP73" s="9">
        <v>0</v>
      </c>
      <c r="DQ73" s="9">
        <v>0</v>
      </c>
      <c r="DR73" s="9">
        <v>0</v>
      </c>
      <c r="DS73" s="9">
        <v>0</v>
      </c>
      <c r="DT73" s="9">
        <v>0</v>
      </c>
      <c r="DU73" s="9">
        <v>0</v>
      </c>
      <c r="DV73" s="9">
        <v>0</v>
      </c>
      <c r="DW73" s="9">
        <v>0</v>
      </c>
      <c r="DX73" s="9">
        <v>0.93</v>
      </c>
      <c r="DY73" s="9">
        <v>0</v>
      </c>
      <c r="DZ73" s="9">
        <v>0</v>
      </c>
      <c r="EA73" s="9">
        <v>0</v>
      </c>
      <c r="EB73" s="9">
        <v>0.93</v>
      </c>
    </row>
    <row r="74" spans="1:132" x14ac:dyDescent="0.35">
      <c r="A74" s="5">
        <v>740</v>
      </c>
      <c r="B74" s="5" t="s">
        <v>144</v>
      </c>
      <c r="C74" s="5" t="s">
        <v>149</v>
      </c>
      <c r="D74" s="5" t="s">
        <v>150</v>
      </c>
      <c r="E74" s="5" t="s">
        <v>98</v>
      </c>
      <c r="F74" s="5">
        <v>730</v>
      </c>
      <c r="G74" s="5">
        <v>42</v>
      </c>
      <c r="H74" s="5">
        <v>69229</v>
      </c>
      <c r="I74" s="5" t="s">
        <v>29</v>
      </c>
      <c r="J74" s="5" t="s">
        <v>101</v>
      </c>
      <c r="K74" s="5" t="s">
        <v>100</v>
      </c>
      <c r="L74" s="14">
        <v>1</v>
      </c>
      <c r="M74" s="9">
        <v>2.84</v>
      </c>
      <c r="N74" s="9">
        <v>0.99</v>
      </c>
      <c r="O74" s="9">
        <v>0</v>
      </c>
      <c r="P74" s="9">
        <v>0</v>
      </c>
      <c r="Q74" s="9">
        <v>3.83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2.84</v>
      </c>
      <c r="AM74" s="9">
        <v>0.99</v>
      </c>
      <c r="AN74" s="9">
        <v>0</v>
      </c>
      <c r="AO74" s="9">
        <v>0</v>
      </c>
      <c r="AP74" s="9">
        <v>3.83</v>
      </c>
      <c r="AQ74" s="9">
        <v>2.84</v>
      </c>
      <c r="AR74" s="9">
        <v>0.99</v>
      </c>
      <c r="AS74" s="9">
        <v>0</v>
      </c>
      <c r="AT74" s="9">
        <v>0</v>
      </c>
      <c r="AU74" s="9">
        <v>3.83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9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9">
        <v>0</v>
      </c>
      <c r="BJ74" s="9">
        <v>0</v>
      </c>
      <c r="BK74" s="9">
        <v>0</v>
      </c>
      <c r="BL74" s="9">
        <v>0</v>
      </c>
      <c r="BM74" s="9">
        <v>0</v>
      </c>
      <c r="BN74" s="9">
        <v>0</v>
      </c>
      <c r="BO74" s="9">
        <v>0</v>
      </c>
      <c r="BP74" s="9">
        <v>2.84</v>
      </c>
      <c r="BQ74" s="9">
        <v>0.99</v>
      </c>
      <c r="BR74" s="9">
        <v>0</v>
      </c>
      <c r="BS74" s="9">
        <v>0</v>
      </c>
      <c r="BT74" s="9">
        <v>3.83</v>
      </c>
      <c r="BU74" s="9">
        <v>2.78</v>
      </c>
      <c r="BV74" s="9">
        <v>0.99</v>
      </c>
      <c r="BW74" s="9">
        <v>0</v>
      </c>
      <c r="BX74" s="9">
        <v>0</v>
      </c>
      <c r="BY74" s="9">
        <v>3.77</v>
      </c>
      <c r="BZ74" s="9">
        <v>0</v>
      </c>
      <c r="CA74" s="9">
        <v>0</v>
      </c>
      <c r="CB74" s="9">
        <v>0</v>
      </c>
      <c r="CC74" s="9">
        <v>0</v>
      </c>
      <c r="CD74" s="9">
        <v>0</v>
      </c>
      <c r="CE74" s="9">
        <v>0</v>
      </c>
      <c r="CF74" s="9">
        <v>0</v>
      </c>
      <c r="CG74" s="9">
        <v>0</v>
      </c>
      <c r="CH74" s="9">
        <v>0</v>
      </c>
      <c r="CI74" s="9">
        <v>0</v>
      </c>
      <c r="CJ74" s="9">
        <v>0</v>
      </c>
      <c r="CK74" s="9">
        <v>0</v>
      </c>
      <c r="CL74" s="9">
        <v>0</v>
      </c>
      <c r="CM74" s="9">
        <v>0</v>
      </c>
      <c r="CN74" s="9">
        <v>0</v>
      </c>
      <c r="CO74" s="9">
        <v>0</v>
      </c>
      <c r="CP74" s="9">
        <v>0</v>
      </c>
      <c r="CQ74" s="9">
        <v>0</v>
      </c>
      <c r="CR74" s="9">
        <v>0</v>
      </c>
      <c r="CS74" s="9">
        <v>0</v>
      </c>
      <c r="CT74" s="9">
        <v>2.78</v>
      </c>
      <c r="CU74" s="9">
        <v>0.99</v>
      </c>
      <c r="CV74" s="9">
        <v>0</v>
      </c>
      <c r="CW74" s="9">
        <v>0</v>
      </c>
      <c r="CX74" s="9">
        <v>3.77</v>
      </c>
      <c r="CY74" s="9">
        <v>2.78</v>
      </c>
      <c r="CZ74" s="9">
        <v>0.99</v>
      </c>
      <c r="DA74" s="9">
        <v>0</v>
      </c>
      <c r="DB74" s="9">
        <v>0</v>
      </c>
      <c r="DC74" s="9">
        <v>3.77</v>
      </c>
      <c r="DD74" s="9">
        <v>0</v>
      </c>
      <c r="DE74" s="9">
        <v>0</v>
      </c>
      <c r="DF74" s="9">
        <v>0</v>
      </c>
      <c r="DG74" s="9">
        <v>0</v>
      </c>
      <c r="DH74" s="9">
        <v>0</v>
      </c>
      <c r="DI74" s="9">
        <v>0</v>
      </c>
      <c r="DJ74" s="9">
        <v>0</v>
      </c>
      <c r="DK74" s="9">
        <v>0</v>
      </c>
      <c r="DL74" s="9">
        <v>0</v>
      </c>
      <c r="DM74" s="9">
        <v>0</v>
      </c>
      <c r="DN74" s="9">
        <v>0</v>
      </c>
      <c r="DO74" s="9">
        <v>0</v>
      </c>
      <c r="DP74" s="9">
        <v>0</v>
      </c>
      <c r="DQ74" s="9">
        <v>0</v>
      </c>
      <c r="DR74" s="9">
        <v>0</v>
      </c>
      <c r="DS74" s="9">
        <v>0</v>
      </c>
      <c r="DT74" s="9">
        <v>0</v>
      </c>
      <c r="DU74" s="9">
        <v>0</v>
      </c>
      <c r="DV74" s="9">
        <v>0</v>
      </c>
      <c r="DW74" s="9">
        <v>0</v>
      </c>
      <c r="DX74" s="9">
        <v>2.78</v>
      </c>
      <c r="DY74" s="9">
        <v>0.99</v>
      </c>
      <c r="DZ74" s="9">
        <v>0</v>
      </c>
      <c r="EA74" s="9">
        <v>0</v>
      </c>
      <c r="EB74" s="9">
        <v>3.77</v>
      </c>
    </row>
    <row r="75" spans="1:132" x14ac:dyDescent="0.35">
      <c r="A75" s="5">
        <v>767</v>
      </c>
      <c r="B75" s="5" t="s">
        <v>142</v>
      </c>
      <c r="C75" s="5" t="s">
        <v>143</v>
      </c>
      <c r="D75" s="5" t="s">
        <v>31</v>
      </c>
      <c r="E75" s="5" t="s">
        <v>101</v>
      </c>
      <c r="F75" s="5">
        <v>710</v>
      </c>
      <c r="G75" s="5">
        <v>41</v>
      </c>
      <c r="H75" s="5">
        <v>68999</v>
      </c>
      <c r="I75" s="5" t="s">
        <v>27</v>
      </c>
      <c r="J75" s="5" t="s">
        <v>98</v>
      </c>
      <c r="K75" s="5" t="s">
        <v>135</v>
      </c>
      <c r="L75" s="14">
        <v>1.0266555475000001</v>
      </c>
      <c r="M75" s="9">
        <v>178.76</v>
      </c>
      <c r="N75" s="9">
        <v>123.71</v>
      </c>
      <c r="O75" s="9">
        <v>87.82</v>
      </c>
      <c r="P75" s="9">
        <v>34.49</v>
      </c>
      <c r="Q75" s="9">
        <v>424.78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178.76</v>
      </c>
      <c r="AM75" s="9">
        <v>123.71</v>
      </c>
      <c r="AN75" s="9">
        <v>87.82</v>
      </c>
      <c r="AO75" s="9">
        <v>34.49</v>
      </c>
      <c r="AP75" s="9">
        <v>424.78</v>
      </c>
      <c r="AQ75" s="9">
        <v>183.52</v>
      </c>
      <c r="AR75" s="9">
        <v>127.01</v>
      </c>
      <c r="AS75" s="9">
        <v>90.16</v>
      </c>
      <c r="AT75" s="9">
        <v>35.409999999999997</v>
      </c>
      <c r="AU75" s="9">
        <v>436.1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0</v>
      </c>
      <c r="BM75" s="9">
        <v>0</v>
      </c>
      <c r="BN75" s="9">
        <v>0</v>
      </c>
      <c r="BO75" s="9">
        <v>0</v>
      </c>
      <c r="BP75" s="9">
        <v>183.52</v>
      </c>
      <c r="BQ75" s="9">
        <v>127.01</v>
      </c>
      <c r="BR75" s="9">
        <v>90.16</v>
      </c>
      <c r="BS75" s="9">
        <v>35.409999999999997</v>
      </c>
      <c r="BT75" s="9">
        <v>436.1</v>
      </c>
      <c r="BU75" s="9">
        <v>179.89</v>
      </c>
      <c r="BV75" s="9">
        <v>124.66</v>
      </c>
      <c r="BW75" s="9">
        <v>88.01</v>
      </c>
      <c r="BX75" s="9">
        <v>34.380000000000003</v>
      </c>
      <c r="BY75" s="9">
        <v>426.94</v>
      </c>
      <c r="BZ75" s="9">
        <v>0</v>
      </c>
      <c r="CA75" s="9">
        <v>0</v>
      </c>
      <c r="CB75" s="9">
        <v>0</v>
      </c>
      <c r="CC75" s="9">
        <v>0</v>
      </c>
      <c r="CD75" s="9">
        <v>0</v>
      </c>
      <c r="CE75" s="9">
        <v>0</v>
      </c>
      <c r="CF75" s="9">
        <v>0</v>
      </c>
      <c r="CG75" s="9">
        <v>0</v>
      </c>
      <c r="CH75" s="9">
        <v>0</v>
      </c>
      <c r="CI75" s="9">
        <v>0</v>
      </c>
      <c r="CJ75" s="9">
        <v>0</v>
      </c>
      <c r="CK75" s="9">
        <v>0</v>
      </c>
      <c r="CL75" s="9">
        <v>0</v>
      </c>
      <c r="CM75" s="9">
        <v>0</v>
      </c>
      <c r="CN75" s="9">
        <v>0</v>
      </c>
      <c r="CO75" s="9">
        <v>0</v>
      </c>
      <c r="CP75" s="9">
        <v>0</v>
      </c>
      <c r="CQ75" s="9">
        <v>0</v>
      </c>
      <c r="CR75" s="9">
        <v>0</v>
      </c>
      <c r="CS75" s="9">
        <v>0</v>
      </c>
      <c r="CT75" s="9">
        <v>179.89</v>
      </c>
      <c r="CU75" s="9">
        <v>124.66</v>
      </c>
      <c r="CV75" s="9">
        <v>88.01</v>
      </c>
      <c r="CW75" s="9">
        <v>34.380000000000003</v>
      </c>
      <c r="CX75" s="9">
        <v>426.94</v>
      </c>
      <c r="CY75" s="9">
        <v>184.69</v>
      </c>
      <c r="CZ75" s="9">
        <v>127.98</v>
      </c>
      <c r="DA75" s="9">
        <v>90.36</v>
      </c>
      <c r="DB75" s="9">
        <v>35.299999999999997</v>
      </c>
      <c r="DC75" s="9">
        <v>438.33</v>
      </c>
      <c r="DD75" s="9">
        <v>0</v>
      </c>
      <c r="DE75" s="9">
        <v>0</v>
      </c>
      <c r="DF75" s="9">
        <v>0</v>
      </c>
      <c r="DG75" s="9">
        <v>0</v>
      </c>
      <c r="DH75" s="9">
        <v>0</v>
      </c>
      <c r="DI75" s="9">
        <v>0</v>
      </c>
      <c r="DJ75" s="9">
        <v>0</v>
      </c>
      <c r="DK75" s="9">
        <v>0</v>
      </c>
      <c r="DL75" s="9">
        <v>0</v>
      </c>
      <c r="DM75" s="9">
        <v>0</v>
      </c>
      <c r="DN75" s="9">
        <v>0</v>
      </c>
      <c r="DO75" s="9">
        <v>0</v>
      </c>
      <c r="DP75" s="9">
        <v>0</v>
      </c>
      <c r="DQ75" s="9">
        <v>0</v>
      </c>
      <c r="DR75" s="9">
        <v>0</v>
      </c>
      <c r="DS75" s="9">
        <v>0</v>
      </c>
      <c r="DT75" s="9">
        <v>0</v>
      </c>
      <c r="DU75" s="9">
        <v>0</v>
      </c>
      <c r="DV75" s="9">
        <v>0</v>
      </c>
      <c r="DW75" s="9">
        <v>0</v>
      </c>
      <c r="DX75" s="9">
        <v>184.69</v>
      </c>
      <c r="DY75" s="9">
        <v>127.98</v>
      </c>
      <c r="DZ75" s="9">
        <v>90.36</v>
      </c>
      <c r="EA75" s="9">
        <v>35.299999999999997</v>
      </c>
      <c r="EB75" s="9">
        <v>438.33</v>
      </c>
    </row>
    <row r="76" spans="1:132" x14ac:dyDescent="0.35">
      <c r="A76" s="5">
        <v>852</v>
      </c>
      <c r="B76" s="5" t="s">
        <v>122</v>
      </c>
      <c r="C76" s="5" t="s">
        <v>156</v>
      </c>
      <c r="D76" s="5" t="s">
        <v>20</v>
      </c>
      <c r="E76" s="5" t="s">
        <v>98</v>
      </c>
      <c r="F76" s="5">
        <v>857</v>
      </c>
      <c r="G76" s="5">
        <v>49</v>
      </c>
      <c r="H76" s="5">
        <v>70730</v>
      </c>
      <c r="I76" s="5" t="s">
        <v>17</v>
      </c>
      <c r="J76" s="5" t="s">
        <v>98</v>
      </c>
      <c r="K76" s="5" t="s">
        <v>100</v>
      </c>
      <c r="L76" s="14">
        <v>1</v>
      </c>
      <c r="M76" s="9">
        <v>0.94</v>
      </c>
      <c r="N76" s="9">
        <v>0</v>
      </c>
      <c r="O76" s="9">
        <v>0</v>
      </c>
      <c r="P76" s="9">
        <v>0</v>
      </c>
      <c r="Q76" s="9">
        <v>0.94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0.94</v>
      </c>
      <c r="AM76" s="9">
        <v>0</v>
      </c>
      <c r="AN76" s="9">
        <v>0</v>
      </c>
      <c r="AO76" s="9">
        <v>0</v>
      </c>
      <c r="AP76" s="9">
        <v>0.94</v>
      </c>
      <c r="AQ76" s="9">
        <v>0.94</v>
      </c>
      <c r="AR76" s="9">
        <v>0</v>
      </c>
      <c r="AS76" s="9">
        <v>0</v>
      </c>
      <c r="AT76" s="9">
        <v>0</v>
      </c>
      <c r="AU76" s="9">
        <v>0.94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9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9">
        <v>0</v>
      </c>
      <c r="BJ76" s="9">
        <v>0</v>
      </c>
      <c r="BK76" s="9">
        <v>0</v>
      </c>
      <c r="BL76" s="9">
        <v>0</v>
      </c>
      <c r="BM76" s="9">
        <v>0</v>
      </c>
      <c r="BN76" s="9">
        <v>0</v>
      </c>
      <c r="BO76" s="9">
        <v>0</v>
      </c>
      <c r="BP76" s="9">
        <v>0.94</v>
      </c>
      <c r="BQ76" s="9">
        <v>0</v>
      </c>
      <c r="BR76" s="9">
        <v>0</v>
      </c>
      <c r="BS76" s="9">
        <v>0</v>
      </c>
      <c r="BT76" s="9">
        <v>0.94</v>
      </c>
      <c r="BU76" s="9">
        <v>0.93</v>
      </c>
      <c r="BV76" s="9">
        <v>0</v>
      </c>
      <c r="BW76" s="9">
        <v>0</v>
      </c>
      <c r="BX76" s="9">
        <v>0</v>
      </c>
      <c r="BY76" s="9">
        <v>0.93</v>
      </c>
      <c r="BZ76" s="9">
        <v>0</v>
      </c>
      <c r="CA76" s="9">
        <v>0</v>
      </c>
      <c r="CB76" s="9">
        <v>0</v>
      </c>
      <c r="CC76" s="9">
        <v>0</v>
      </c>
      <c r="CD76" s="9">
        <v>0</v>
      </c>
      <c r="CE76" s="9">
        <v>0</v>
      </c>
      <c r="CF76" s="9">
        <v>0</v>
      </c>
      <c r="CG76" s="9">
        <v>0</v>
      </c>
      <c r="CH76" s="9">
        <v>0</v>
      </c>
      <c r="CI76" s="9">
        <v>0</v>
      </c>
      <c r="CJ76" s="9">
        <v>0</v>
      </c>
      <c r="CK76" s="9">
        <v>0</v>
      </c>
      <c r="CL76" s="9">
        <v>0</v>
      </c>
      <c r="CM76" s="9">
        <v>0</v>
      </c>
      <c r="CN76" s="9">
        <v>0</v>
      </c>
      <c r="CO76" s="9">
        <v>0</v>
      </c>
      <c r="CP76" s="9">
        <v>0</v>
      </c>
      <c r="CQ76" s="9">
        <v>0</v>
      </c>
      <c r="CR76" s="9">
        <v>0</v>
      </c>
      <c r="CS76" s="9">
        <v>0</v>
      </c>
      <c r="CT76" s="9">
        <v>0.93</v>
      </c>
      <c r="CU76" s="9">
        <v>0</v>
      </c>
      <c r="CV76" s="9">
        <v>0</v>
      </c>
      <c r="CW76" s="9">
        <v>0</v>
      </c>
      <c r="CX76" s="9">
        <v>0.93</v>
      </c>
      <c r="CY76" s="9">
        <v>0.93</v>
      </c>
      <c r="CZ76" s="9">
        <v>0</v>
      </c>
      <c r="DA76" s="9">
        <v>0</v>
      </c>
      <c r="DB76" s="9">
        <v>0</v>
      </c>
      <c r="DC76" s="9">
        <v>0.93</v>
      </c>
      <c r="DD76" s="9">
        <v>0</v>
      </c>
      <c r="DE76" s="9">
        <v>0</v>
      </c>
      <c r="DF76" s="9">
        <v>0</v>
      </c>
      <c r="DG76" s="9">
        <v>0</v>
      </c>
      <c r="DH76" s="9">
        <v>0</v>
      </c>
      <c r="DI76" s="9">
        <v>0</v>
      </c>
      <c r="DJ76" s="9">
        <v>0</v>
      </c>
      <c r="DK76" s="9">
        <v>0</v>
      </c>
      <c r="DL76" s="9">
        <v>0</v>
      </c>
      <c r="DM76" s="9">
        <v>0</v>
      </c>
      <c r="DN76" s="9">
        <v>0</v>
      </c>
      <c r="DO76" s="9">
        <v>0</v>
      </c>
      <c r="DP76" s="9">
        <v>0</v>
      </c>
      <c r="DQ76" s="9">
        <v>0</v>
      </c>
      <c r="DR76" s="9">
        <v>0</v>
      </c>
      <c r="DS76" s="9">
        <v>0</v>
      </c>
      <c r="DT76" s="9">
        <v>0</v>
      </c>
      <c r="DU76" s="9">
        <v>0</v>
      </c>
      <c r="DV76" s="9">
        <v>0</v>
      </c>
      <c r="DW76" s="9">
        <v>0</v>
      </c>
      <c r="DX76" s="9">
        <v>0.93</v>
      </c>
      <c r="DY76" s="9">
        <v>0</v>
      </c>
      <c r="DZ76" s="9">
        <v>0</v>
      </c>
      <c r="EA76" s="9">
        <v>0</v>
      </c>
      <c r="EB76" s="9">
        <v>0.93</v>
      </c>
    </row>
    <row r="77" spans="1:132" x14ac:dyDescent="0.35">
      <c r="A77" s="5">
        <v>852</v>
      </c>
      <c r="B77" s="5" t="s">
        <v>122</v>
      </c>
      <c r="C77" s="5" t="s">
        <v>156</v>
      </c>
      <c r="D77" s="5" t="s">
        <v>20</v>
      </c>
      <c r="E77" s="5" t="s">
        <v>98</v>
      </c>
      <c r="F77" s="5">
        <v>868</v>
      </c>
      <c r="G77" s="5">
        <v>49</v>
      </c>
      <c r="H77" s="5">
        <v>70870</v>
      </c>
      <c r="I77" s="5" t="s">
        <v>13</v>
      </c>
      <c r="J77" s="5" t="s">
        <v>98</v>
      </c>
      <c r="K77" s="5" t="s">
        <v>100</v>
      </c>
      <c r="L77" s="14">
        <v>1</v>
      </c>
      <c r="M77" s="9">
        <v>1.79</v>
      </c>
      <c r="N77" s="9">
        <v>0</v>
      </c>
      <c r="O77" s="9">
        <v>0</v>
      </c>
      <c r="P77" s="9">
        <v>0</v>
      </c>
      <c r="Q77" s="9">
        <v>1.79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1.79</v>
      </c>
      <c r="AM77" s="9">
        <v>0</v>
      </c>
      <c r="AN77" s="9">
        <v>0</v>
      </c>
      <c r="AO77" s="9">
        <v>0</v>
      </c>
      <c r="AP77" s="9">
        <v>1.79</v>
      </c>
      <c r="AQ77" s="9">
        <v>1.79</v>
      </c>
      <c r="AR77" s="9">
        <v>0</v>
      </c>
      <c r="AS77" s="9">
        <v>0</v>
      </c>
      <c r="AT77" s="9">
        <v>0</v>
      </c>
      <c r="AU77" s="9">
        <v>1.79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9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9">
        <v>0</v>
      </c>
      <c r="BJ77" s="9">
        <v>0</v>
      </c>
      <c r="BK77" s="9">
        <v>0</v>
      </c>
      <c r="BL77" s="9">
        <v>0</v>
      </c>
      <c r="BM77" s="9">
        <v>0</v>
      </c>
      <c r="BN77" s="9">
        <v>0</v>
      </c>
      <c r="BO77" s="9">
        <v>0</v>
      </c>
      <c r="BP77" s="9">
        <v>1.79</v>
      </c>
      <c r="BQ77" s="9">
        <v>0</v>
      </c>
      <c r="BR77" s="9">
        <v>0</v>
      </c>
      <c r="BS77" s="9">
        <v>0</v>
      </c>
      <c r="BT77" s="9">
        <v>1.79</v>
      </c>
      <c r="BU77" s="9">
        <v>1.84</v>
      </c>
      <c r="BV77" s="9">
        <v>0</v>
      </c>
      <c r="BW77" s="9">
        <v>0</v>
      </c>
      <c r="BX77" s="9">
        <v>0</v>
      </c>
      <c r="BY77" s="9">
        <v>1.84</v>
      </c>
      <c r="BZ77" s="9">
        <v>0</v>
      </c>
      <c r="CA77" s="9">
        <v>0</v>
      </c>
      <c r="CB77" s="9">
        <v>0</v>
      </c>
      <c r="CC77" s="9">
        <v>0</v>
      </c>
      <c r="CD77" s="9">
        <v>0</v>
      </c>
      <c r="CE77" s="9">
        <v>0</v>
      </c>
      <c r="CF77" s="9">
        <v>0</v>
      </c>
      <c r="CG77" s="9">
        <v>0</v>
      </c>
      <c r="CH77" s="9">
        <v>0</v>
      </c>
      <c r="CI77" s="9">
        <v>0</v>
      </c>
      <c r="CJ77" s="9">
        <v>0</v>
      </c>
      <c r="CK77" s="9">
        <v>0</v>
      </c>
      <c r="CL77" s="9">
        <v>0</v>
      </c>
      <c r="CM77" s="9">
        <v>0</v>
      </c>
      <c r="CN77" s="9">
        <v>0</v>
      </c>
      <c r="CO77" s="9">
        <v>0</v>
      </c>
      <c r="CP77" s="9">
        <v>0</v>
      </c>
      <c r="CQ77" s="9">
        <v>0</v>
      </c>
      <c r="CR77" s="9">
        <v>0</v>
      </c>
      <c r="CS77" s="9">
        <v>0</v>
      </c>
      <c r="CT77" s="9">
        <v>1.84</v>
      </c>
      <c r="CU77" s="9">
        <v>0</v>
      </c>
      <c r="CV77" s="9">
        <v>0</v>
      </c>
      <c r="CW77" s="9">
        <v>0</v>
      </c>
      <c r="CX77" s="9">
        <v>1.84</v>
      </c>
      <c r="CY77" s="9">
        <v>1.84</v>
      </c>
      <c r="CZ77" s="9">
        <v>0</v>
      </c>
      <c r="DA77" s="9">
        <v>0</v>
      </c>
      <c r="DB77" s="9">
        <v>0</v>
      </c>
      <c r="DC77" s="9">
        <v>1.84</v>
      </c>
      <c r="DD77" s="9">
        <v>0</v>
      </c>
      <c r="DE77" s="9">
        <v>0</v>
      </c>
      <c r="DF77" s="9">
        <v>0</v>
      </c>
      <c r="DG77" s="9">
        <v>0</v>
      </c>
      <c r="DH77" s="9">
        <v>0</v>
      </c>
      <c r="DI77" s="9">
        <v>0</v>
      </c>
      <c r="DJ77" s="9">
        <v>0</v>
      </c>
      <c r="DK77" s="9">
        <v>0</v>
      </c>
      <c r="DL77" s="9">
        <v>0</v>
      </c>
      <c r="DM77" s="9">
        <v>0</v>
      </c>
      <c r="DN77" s="9">
        <v>0</v>
      </c>
      <c r="DO77" s="9">
        <v>0</v>
      </c>
      <c r="DP77" s="9">
        <v>0</v>
      </c>
      <c r="DQ77" s="9">
        <v>0</v>
      </c>
      <c r="DR77" s="9">
        <v>0</v>
      </c>
      <c r="DS77" s="9">
        <v>0</v>
      </c>
      <c r="DT77" s="9">
        <v>0</v>
      </c>
      <c r="DU77" s="9">
        <v>0</v>
      </c>
      <c r="DV77" s="9">
        <v>0</v>
      </c>
      <c r="DW77" s="9">
        <v>0</v>
      </c>
      <c r="DX77" s="9">
        <v>1.84</v>
      </c>
      <c r="DY77" s="9">
        <v>0</v>
      </c>
      <c r="DZ77" s="9">
        <v>0</v>
      </c>
      <c r="EA77" s="9">
        <v>0</v>
      </c>
      <c r="EB77" s="9">
        <v>1.84</v>
      </c>
    </row>
    <row r="78" spans="1:132" x14ac:dyDescent="0.35">
      <c r="A78" s="5">
        <v>852</v>
      </c>
      <c r="B78" s="5" t="s">
        <v>122</v>
      </c>
      <c r="C78" s="5" t="s">
        <v>156</v>
      </c>
      <c r="D78" s="5" t="s">
        <v>20</v>
      </c>
      <c r="E78" s="5" t="s">
        <v>98</v>
      </c>
      <c r="F78" s="5">
        <v>872</v>
      </c>
      <c r="G78" s="5">
        <v>49</v>
      </c>
      <c r="H78" s="5">
        <v>70912</v>
      </c>
      <c r="I78" s="5" t="s">
        <v>11</v>
      </c>
      <c r="J78" s="5" t="s">
        <v>98</v>
      </c>
      <c r="K78" s="5" t="s">
        <v>100</v>
      </c>
      <c r="L78" s="14">
        <v>1</v>
      </c>
      <c r="M78" s="9">
        <v>1.69</v>
      </c>
      <c r="N78" s="9">
        <v>0</v>
      </c>
      <c r="O78" s="9">
        <v>0</v>
      </c>
      <c r="P78" s="9">
        <v>0</v>
      </c>
      <c r="Q78" s="9">
        <v>1.69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>
        <v>0</v>
      </c>
      <c r="AJ78" s="9">
        <v>0</v>
      </c>
      <c r="AK78" s="9">
        <v>0</v>
      </c>
      <c r="AL78" s="9">
        <v>1.69</v>
      </c>
      <c r="AM78" s="9">
        <v>0</v>
      </c>
      <c r="AN78" s="9">
        <v>0</v>
      </c>
      <c r="AO78" s="9">
        <v>0</v>
      </c>
      <c r="AP78" s="9">
        <v>1.69</v>
      </c>
      <c r="AQ78" s="9">
        <v>1.69</v>
      </c>
      <c r="AR78" s="9">
        <v>0</v>
      </c>
      <c r="AS78" s="9">
        <v>0</v>
      </c>
      <c r="AT78" s="9">
        <v>0</v>
      </c>
      <c r="AU78" s="9">
        <v>1.69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9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9">
        <v>0</v>
      </c>
      <c r="BI78" s="9">
        <v>0</v>
      </c>
      <c r="BJ78" s="9">
        <v>0</v>
      </c>
      <c r="BK78" s="9">
        <v>0</v>
      </c>
      <c r="BL78" s="9">
        <v>0</v>
      </c>
      <c r="BM78" s="9">
        <v>0</v>
      </c>
      <c r="BN78" s="9">
        <v>0</v>
      </c>
      <c r="BO78" s="9">
        <v>0</v>
      </c>
      <c r="BP78" s="9">
        <v>1.69</v>
      </c>
      <c r="BQ78" s="9">
        <v>0</v>
      </c>
      <c r="BR78" s="9">
        <v>0</v>
      </c>
      <c r="BS78" s="9">
        <v>0</v>
      </c>
      <c r="BT78" s="9">
        <v>1.69</v>
      </c>
      <c r="BU78" s="9">
        <v>1.7</v>
      </c>
      <c r="BV78" s="9">
        <v>0</v>
      </c>
      <c r="BW78" s="9">
        <v>0</v>
      </c>
      <c r="BX78" s="9">
        <v>0</v>
      </c>
      <c r="BY78" s="9">
        <v>1.7</v>
      </c>
      <c r="BZ78" s="9">
        <v>0</v>
      </c>
      <c r="CA78" s="9">
        <v>0</v>
      </c>
      <c r="CB78" s="9">
        <v>0</v>
      </c>
      <c r="CC78" s="9">
        <v>0</v>
      </c>
      <c r="CD78" s="9">
        <v>0</v>
      </c>
      <c r="CE78" s="9">
        <v>0</v>
      </c>
      <c r="CF78" s="9">
        <v>0</v>
      </c>
      <c r="CG78" s="9">
        <v>0</v>
      </c>
      <c r="CH78" s="9">
        <v>0</v>
      </c>
      <c r="CI78" s="9">
        <v>0</v>
      </c>
      <c r="CJ78" s="9">
        <v>0</v>
      </c>
      <c r="CK78" s="9">
        <v>0</v>
      </c>
      <c r="CL78" s="9">
        <v>0</v>
      </c>
      <c r="CM78" s="9">
        <v>0</v>
      </c>
      <c r="CN78" s="9">
        <v>0</v>
      </c>
      <c r="CO78" s="9">
        <v>0</v>
      </c>
      <c r="CP78" s="9">
        <v>0</v>
      </c>
      <c r="CQ78" s="9">
        <v>0</v>
      </c>
      <c r="CR78" s="9">
        <v>0</v>
      </c>
      <c r="CS78" s="9">
        <v>0</v>
      </c>
      <c r="CT78" s="9">
        <v>1.7</v>
      </c>
      <c r="CU78" s="9">
        <v>0</v>
      </c>
      <c r="CV78" s="9">
        <v>0</v>
      </c>
      <c r="CW78" s="9">
        <v>0</v>
      </c>
      <c r="CX78" s="9">
        <v>1.7</v>
      </c>
      <c r="CY78" s="9">
        <v>1.7</v>
      </c>
      <c r="CZ78" s="9">
        <v>0</v>
      </c>
      <c r="DA78" s="9">
        <v>0</v>
      </c>
      <c r="DB78" s="9">
        <v>0</v>
      </c>
      <c r="DC78" s="9">
        <v>1.7</v>
      </c>
      <c r="DD78" s="9">
        <v>0</v>
      </c>
      <c r="DE78" s="9">
        <v>0</v>
      </c>
      <c r="DF78" s="9">
        <v>0</v>
      </c>
      <c r="DG78" s="9">
        <v>0</v>
      </c>
      <c r="DH78" s="9">
        <v>0</v>
      </c>
      <c r="DI78" s="9">
        <v>0</v>
      </c>
      <c r="DJ78" s="9">
        <v>0</v>
      </c>
      <c r="DK78" s="9">
        <v>0</v>
      </c>
      <c r="DL78" s="9">
        <v>0</v>
      </c>
      <c r="DM78" s="9">
        <v>0</v>
      </c>
      <c r="DN78" s="9">
        <v>0</v>
      </c>
      <c r="DO78" s="9">
        <v>0</v>
      </c>
      <c r="DP78" s="9">
        <v>0</v>
      </c>
      <c r="DQ78" s="9">
        <v>0</v>
      </c>
      <c r="DR78" s="9">
        <v>0</v>
      </c>
      <c r="DS78" s="9">
        <v>0</v>
      </c>
      <c r="DT78" s="9">
        <v>0</v>
      </c>
      <c r="DU78" s="9">
        <v>0</v>
      </c>
      <c r="DV78" s="9">
        <v>0</v>
      </c>
      <c r="DW78" s="9">
        <v>0</v>
      </c>
      <c r="DX78" s="9">
        <v>1.7</v>
      </c>
      <c r="DY78" s="9">
        <v>0</v>
      </c>
      <c r="DZ78" s="9">
        <v>0</v>
      </c>
      <c r="EA78" s="9">
        <v>0</v>
      </c>
      <c r="EB78" s="9">
        <v>1.7</v>
      </c>
    </row>
    <row r="79" spans="1:132" x14ac:dyDescent="0.35">
      <c r="A79" s="5">
        <v>852</v>
      </c>
      <c r="B79" s="5" t="s">
        <v>122</v>
      </c>
      <c r="C79" s="5" t="s">
        <v>156</v>
      </c>
      <c r="D79" s="5" t="s">
        <v>20</v>
      </c>
      <c r="E79" s="5" t="s">
        <v>98</v>
      </c>
      <c r="F79" s="5">
        <v>874</v>
      </c>
      <c r="G79" s="5">
        <v>49</v>
      </c>
      <c r="H79" s="5">
        <v>70938</v>
      </c>
      <c r="I79" s="5" t="s">
        <v>9</v>
      </c>
      <c r="J79" s="5" t="s">
        <v>98</v>
      </c>
      <c r="K79" s="5" t="s">
        <v>100</v>
      </c>
      <c r="L79" s="14">
        <v>1</v>
      </c>
      <c r="M79" s="9">
        <v>1</v>
      </c>
      <c r="N79" s="9">
        <v>0</v>
      </c>
      <c r="O79" s="9">
        <v>0</v>
      </c>
      <c r="P79" s="9">
        <v>0</v>
      </c>
      <c r="Q79" s="9">
        <v>1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1</v>
      </c>
      <c r="AM79" s="9">
        <v>0</v>
      </c>
      <c r="AN79" s="9">
        <v>0</v>
      </c>
      <c r="AO79" s="9">
        <v>0</v>
      </c>
      <c r="AP79" s="9">
        <v>1</v>
      </c>
      <c r="AQ79" s="9">
        <v>1</v>
      </c>
      <c r="AR79" s="9">
        <v>0</v>
      </c>
      <c r="AS79" s="9">
        <v>0</v>
      </c>
      <c r="AT79" s="9">
        <v>0</v>
      </c>
      <c r="AU79" s="9">
        <v>1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9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9">
        <v>0</v>
      </c>
      <c r="BI79" s="9">
        <v>0</v>
      </c>
      <c r="BJ79" s="9">
        <v>0</v>
      </c>
      <c r="BK79" s="9">
        <v>0</v>
      </c>
      <c r="BL79" s="9">
        <v>0</v>
      </c>
      <c r="BM79" s="9">
        <v>0</v>
      </c>
      <c r="BN79" s="9">
        <v>0</v>
      </c>
      <c r="BO79" s="9">
        <v>0</v>
      </c>
      <c r="BP79" s="9">
        <v>1</v>
      </c>
      <c r="BQ79" s="9">
        <v>0</v>
      </c>
      <c r="BR79" s="9">
        <v>0</v>
      </c>
      <c r="BS79" s="9">
        <v>0</v>
      </c>
      <c r="BT79" s="9">
        <v>1</v>
      </c>
      <c r="BU79" s="9">
        <v>1</v>
      </c>
      <c r="BV79" s="9">
        <v>0</v>
      </c>
      <c r="BW79" s="9">
        <v>0</v>
      </c>
      <c r="BX79" s="9">
        <v>0</v>
      </c>
      <c r="BY79" s="9">
        <v>1</v>
      </c>
      <c r="BZ79" s="9">
        <v>0</v>
      </c>
      <c r="CA79" s="9">
        <v>0</v>
      </c>
      <c r="CB79" s="9">
        <v>0</v>
      </c>
      <c r="CC79" s="9">
        <v>0</v>
      </c>
      <c r="CD79" s="9">
        <v>0</v>
      </c>
      <c r="CE79" s="9">
        <v>0</v>
      </c>
      <c r="CF79" s="9">
        <v>0</v>
      </c>
      <c r="CG79" s="9">
        <v>0</v>
      </c>
      <c r="CH79" s="9">
        <v>0</v>
      </c>
      <c r="CI79" s="9">
        <v>0</v>
      </c>
      <c r="CJ79" s="9">
        <v>0</v>
      </c>
      <c r="CK79" s="9">
        <v>0</v>
      </c>
      <c r="CL79" s="9">
        <v>0</v>
      </c>
      <c r="CM79" s="9">
        <v>0</v>
      </c>
      <c r="CN79" s="9">
        <v>0</v>
      </c>
      <c r="CO79" s="9">
        <v>0</v>
      </c>
      <c r="CP79" s="9">
        <v>0</v>
      </c>
      <c r="CQ79" s="9">
        <v>0</v>
      </c>
      <c r="CR79" s="9">
        <v>0</v>
      </c>
      <c r="CS79" s="9">
        <v>0</v>
      </c>
      <c r="CT79" s="9">
        <v>1</v>
      </c>
      <c r="CU79" s="9">
        <v>0</v>
      </c>
      <c r="CV79" s="9">
        <v>0</v>
      </c>
      <c r="CW79" s="9">
        <v>0</v>
      </c>
      <c r="CX79" s="9">
        <v>1</v>
      </c>
      <c r="CY79" s="9">
        <v>1</v>
      </c>
      <c r="CZ79" s="9">
        <v>0</v>
      </c>
      <c r="DA79" s="9">
        <v>0</v>
      </c>
      <c r="DB79" s="9">
        <v>0</v>
      </c>
      <c r="DC79" s="9">
        <v>1</v>
      </c>
      <c r="DD79" s="9">
        <v>0</v>
      </c>
      <c r="DE79" s="9">
        <v>0</v>
      </c>
      <c r="DF79" s="9">
        <v>0</v>
      </c>
      <c r="DG79" s="9">
        <v>0</v>
      </c>
      <c r="DH79" s="9">
        <v>0</v>
      </c>
      <c r="DI79" s="9">
        <v>0</v>
      </c>
      <c r="DJ79" s="9">
        <v>0</v>
      </c>
      <c r="DK79" s="9">
        <v>0</v>
      </c>
      <c r="DL79" s="9">
        <v>0</v>
      </c>
      <c r="DM79" s="9">
        <v>0</v>
      </c>
      <c r="DN79" s="9">
        <v>0</v>
      </c>
      <c r="DO79" s="9">
        <v>0</v>
      </c>
      <c r="DP79" s="9">
        <v>0</v>
      </c>
      <c r="DQ79" s="9">
        <v>0</v>
      </c>
      <c r="DR79" s="9">
        <v>0</v>
      </c>
      <c r="DS79" s="9">
        <v>0</v>
      </c>
      <c r="DT79" s="9">
        <v>0</v>
      </c>
      <c r="DU79" s="9">
        <v>0</v>
      </c>
      <c r="DV79" s="9">
        <v>0</v>
      </c>
      <c r="DW79" s="9">
        <v>0</v>
      </c>
      <c r="DX79" s="9">
        <v>1</v>
      </c>
      <c r="DY79" s="9">
        <v>0</v>
      </c>
      <c r="DZ79" s="9">
        <v>0</v>
      </c>
      <c r="EA79" s="9">
        <v>0</v>
      </c>
      <c r="EB79" s="9">
        <v>1</v>
      </c>
    </row>
    <row r="80" spans="1:132" x14ac:dyDescent="0.35">
      <c r="A80" s="5">
        <v>852</v>
      </c>
      <c r="B80" s="5" t="s">
        <v>122</v>
      </c>
      <c r="C80" s="5" t="s">
        <v>156</v>
      </c>
      <c r="D80" s="5" t="s">
        <v>20</v>
      </c>
      <c r="E80" s="5" t="s">
        <v>98</v>
      </c>
      <c r="F80" s="5">
        <v>879</v>
      </c>
      <c r="G80" s="5">
        <v>49</v>
      </c>
      <c r="H80" s="5">
        <v>71001</v>
      </c>
      <c r="I80" s="5" t="s">
        <v>157</v>
      </c>
      <c r="J80" s="5" t="s">
        <v>98</v>
      </c>
      <c r="K80" s="5" t="s">
        <v>100</v>
      </c>
      <c r="L80" s="14">
        <v>1</v>
      </c>
      <c r="M80" s="9">
        <v>0.97</v>
      </c>
      <c r="N80" s="9">
        <v>0</v>
      </c>
      <c r="O80" s="9">
        <v>0</v>
      </c>
      <c r="P80" s="9">
        <v>0</v>
      </c>
      <c r="Q80" s="9">
        <v>0.97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0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0.97</v>
      </c>
      <c r="AM80" s="9">
        <v>0</v>
      </c>
      <c r="AN80" s="9">
        <v>0</v>
      </c>
      <c r="AO80" s="9">
        <v>0</v>
      </c>
      <c r="AP80" s="9">
        <v>0.97</v>
      </c>
      <c r="AQ80" s="9">
        <v>0.97</v>
      </c>
      <c r="AR80" s="9">
        <v>0</v>
      </c>
      <c r="AS80" s="9">
        <v>0</v>
      </c>
      <c r="AT80" s="9">
        <v>0</v>
      </c>
      <c r="AU80" s="9">
        <v>0.97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9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9">
        <v>0</v>
      </c>
      <c r="BI80" s="9">
        <v>0</v>
      </c>
      <c r="BJ80" s="9">
        <v>0</v>
      </c>
      <c r="BK80" s="9">
        <v>0</v>
      </c>
      <c r="BL80" s="9">
        <v>0</v>
      </c>
      <c r="BM80" s="9">
        <v>0</v>
      </c>
      <c r="BN80" s="9">
        <v>0</v>
      </c>
      <c r="BO80" s="9">
        <v>0</v>
      </c>
      <c r="BP80" s="9">
        <v>0.97</v>
      </c>
      <c r="BQ80" s="9">
        <v>0</v>
      </c>
      <c r="BR80" s="9">
        <v>0</v>
      </c>
      <c r="BS80" s="9">
        <v>0</v>
      </c>
      <c r="BT80" s="9">
        <v>0.97</v>
      </c>
      <c r="BU80" s="9">
        <v>0.98</v>
      </c>
      <c r="BV80" s="9">
        <v>0</v>
      </c>
      <c r="BW80" s="9">
        <v>0</v>
      </c>
      <c r="BX80" s="9">
        <v>0</v>
      </c>
      <c r="BY80" s="9">
        <v>0.98</v>
      </c>
      <c r="BZ80" s="9">
        <v>0</v>
      </c>
      <c r="CA80" s="9">
        <v>0</v>
      </c>
      <c r="CB80" s="9">
        <v>0</v>
      </c>
      <c r="CC80" s="9">
        <v>0</v>
      </c>
      <c r="CD80" s="9">
        <v>0</v>
      </c>
      <c r="CE80" s="9">
        <v>0</v>
      </c>
      <c r="CF80" s="9">
        <v>0</v>
      </c>
      <c r="CG80" s="9">
        <v>0</v>
      </c>
      <c r="CH80" s="9">
        <v>0</v>
      </c>
      <c r="CI80" s="9">
        <v>0</v>
      </c>
      <c r="CJ80" s="9">
        <v>0</v>
      </c>
      <c r="CK80" s="9">
        <v>0</v>
      </c>
      <c r="CL80" s="9">
        <v>0</v>
      </c>
      <c r="CM80" s="9">
        <v>0</v>
      </c>
      <c r="CN80" s="9">
        <v>0</v>
      </c>
      <c r="CO80" s="9">
        <v>0</v>
      </c>
      <c r="CP80" s="9">
        <v>0</v>
      </c>
      <c r="CQ80" s="9">
        <v>0</v>
      </c>
      <c r="CR80" s="9">
        <v>0</v>
      </c>
      <c r="CS80" s="9">
        <v>0</v>
      </c>
      <c r="CT80" s="9">
        <v>0.98</v>
      </c>
      <c r="CU80" s="9">
        <v>0</v>
      </c>
      <c r="CV80" s="9">
        <v>0</v>
      </c>
      <c r="CW80" s="9">
        <v>0</v>
      </c>
      <c r="CX80" s="9">
        <v>0.98</v>
      </c>
      <c r="CY80" s="9">
        <v>0.98</v>
      </c>
      <c r="CZ80" s="9">
        <v>0</v>
      </c>
      <c r="DA80" s="9">
        <v>0</v>
      </c>
      <c r="DB80" s="9">
        <v>0</v>
      </c>
      <c r="DC80" s="9">
        <v>0.98</v>
      </c>
      <c r="DD80" s="9">
        <v>0</v>
      </c>
      <c r="DE80" s="9">
        <v>0</v>
      </c>
      <c r="DF80" s="9">
        <v>0</v>
      </c>
      <c r="DG80" s="9">
        <v>0</v>
      </c>
      <c r="DH80" s="9">
        <v>0</v>
      </c>
      <c r="DI80" s="9">
        <v>0</v>
      </c>
      <c r="DJ80" s="9">
        <v>0</v>
      </c>
      <c r="DK80" s="9">
        <v>0</v>
      </c>
      <c r="DL80" s="9">
        <v>0</v>
      </c>
      <c r="DM80" s="9">
        <v>0</v>
      </c>
      <c r="DN80" s="9">
        <v>0</v>
      </c>
      <c r="DO80" s="9">
        <v>0</v>
      </c>
      <c r="DP80" s="9">
        <v>0</v>
      </c>
      <c r="DQ80" s="9">
        <v>0</v>
      </c>
      <c r="DR80" s="9">
        <v>0</v>
      </c>
      <c r="DS80" s="9">
        <v>0</v>
      </c>
      <c r="DT80" s="9">
        <v>0</v>
      </c>
      <c r="DU80" s="9">
        <v>0</v>
      </c>
      <c r="DV80" s="9">
        <v>0</v>
      </c>
      <c r="DW80" s="9">
        <v>0</v>
      </c>
      <c r="DX80" s="9">
        <v>0.98</v>
      </c>
      <c r="DY80" s="9">
        <v>0</v>
      </c>
      <c r="DZ80" s="9">
        <v>0</v>
      </c>
      <c r="EA80" s="9">
        <v>0</v>
      </c>
      <c r="EB80" s="9">
        <v>0.98</v>
      </c>
    </row>
    <row r="81" spans="1:132" x14ac:dyDescent="0.35">
      <c r="A81" s="5">
        <v>854</v>
      </c>
      <c r="B81" s="5" t="s">
        <v>122</v>
      </c>
      <c r="C81" s="5" t="s">
        <v>123</v>
      </c>
      <c r="D81" s="5" t="s">
        <v>124</v>
      </c>
      <c r="E81" s="5" t="s">
        <v>101</v>
      </c>
      <c r="F81" s="5">
        <v>423</v>
      </c>
      <c r="G81" s="5">
        <v>23</v>
      </c>
      <c r="H81" s="5">
        <v>65540</v>
      </c>
      <c r="I81" s="5" t="s">
        <v>52</v>
      </c>
      <c r="J81" s="5" t="s">
        <v>101</v>
      </c>
      <c r="K81" s="5" t="s">
        <v>100</v>
      </c>
      <c r="L81" s="14">
        <v>1.0407353958000001</v>
      </c>
      <c r="M81" s="9">
        <v>0</v>
      </c>
      <c r="N81" s="9">
        <v>0.86</v>
      </c>
      <c r="O81" s="9">
        <v>0</v>
      </c>
      <c r="P81" s="9">
        <v>0.91</v>
      </c>
      <c r="Q81" s="9">
        <v>1.77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0.86</v>
      </c>
      <c r="AN81" s="9">
        <v>0</v>
      </c>
      <c r="AO81" s="9">
        <v>0.91</v>
      </c>
      <c r="AP81" s="9">
        <v>1.77</v>
      </c>
      <c r="AQ81" s="9">
        <v>0</v>
      </c>
      <c r="AR81" s="9">
        <v>0.9</v>
      </c>
      <c r="AS81" s="9">
        <v>0</v>
      </c>
      <c r="AT81" s="9">
        <v>0.95</v>
      </c>
      <c r="AU81" s="9">
        <v>1.85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9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9">
        <v>0</v>
      </c>
      <c r="BJ81" s="9">
        <v>0</v>
      </c>
      <c r="BK81" s="9">
        <v>0</v>
      </c>
      <c r="BL81" s="9">
        <v>0</v>
      </c>
      <c r="BM81" s="9">
        <v>0</v>
      </c>
      <c r="BN81" s="9">
        <v>0</v>
      </c>
      <c r="BO81" s="9">
        <v>0</v>
      </c>
      <c r="BP81" s="9">
        <v>0</v>
      </c>
      <c r="BQ81" s="9">
        <v>0.9</v>
      </c>
      <c r="BR81" s="9">
        <v>0</v>
      </c>
      <c r="BS81" s="9">
        <v>0.95</v>
      </c>
      <c r="BT81" s="9">
        <v>1.85</v>
      </c>
      <c r="BU81" s="9">
        <v>0</v>
      </c>
      <c r="BV81" s="9">
        <v>0.85</v>
      </c>
      <c r="BW81" s="9">
        <v>0</v>
      </c>
      <c r="BX81" s="9">
        <v>0.88</v>
      </c>
      <c r="BY81" s="9">
        <v>1.73</v>
      </c>
      <c r="BZ81" s="9">
        <v>0</v>
      </c>
      <c r="CA81" s="9">
        <v>0</v>
      </c>
      <c r="CB81" s="9">
        <v>0</v>
      </c>
      <c r="CC81" s="9">
        <v>0</v>
      </c>
      <c r="CD81" s="9">
        <v>0</v>
      </c>
      <c r="CE81" s="9">
        <v>0</v>
      </c>
      <c r="CF81" s="9">
        <v>0</v>
      </c>
      <c r="CG81" s="9">
        <v>0</v>
      </c>
      <c r="CH81" s="9">
        <v>0</v>
      </c>
      <c r="CI81" s="9">
        <v>0</v>
      </c>
      <c r="CJ81" s="9">
        <v>0</v>
      </c>
      <c r="CK81" s="9">
        <v>0</v>
      </c>
      <c r="CL81" s="9">
        <v>0</v>
      </c>
      <c r="CM81" s="9">
        <v>0</v>
      </c>
      <c r="CN81" s="9">
        <v>0</v>
      </c>
      <c r="CO81" s="9">
        <v>0</v>
      </c>
      <c r="CP81" s="9">
        <v>0</v>
      </c>
      <c r="CQ81" s="9">
        <v>0</v>
      </c>
      <c r="CR81" s="9">
        <v>0</v>
      </c>
      <c r="CS81" s="9">
        <v>0</v>
      </c>
      <c r="CT81" s="9">
        <v>0</v>
      </c>
      <c r="CU81" s="9">
        <v>0.85</v>
      </c>
      <c r="CV81" s="9">
        <v>0</v>
      </c>
      <c r="CW81" s="9">
        <v>0.88</v>
      </c>
      <c r="CX81" s="9">
        <v>1.73</v>
      </c>
      <c r="CY81" s="9">
        <v>0</v>
      </c>
      <c r="CZ81" s="9">
        <v>0.88</v>
      </c>
      <c r="DA81" s="9">
        <v>0</v>
      </c>
      <c r="DB81" s="9">
        <v>0.92</v>
      </c>
      <c r="DC81" s="9">
        <v>1.8</v>
      </c>
      <c r="DD81" s="9">
        <v>0</v>
      </c>
      <c r="DE81" s="9">
        <v>0</v>
      </c>
      <c r="DF81" s="9">
        <v>0</v>
      </c>
      <c r="DG81" s="9">
        <v>0</v>
      </c>
      <c r="DH81" s="9">
        <v>0</v>
      </c>
      <c r="DI81" s="9">
        <v>0</v>
      </c>
      <c r="DJ81" s="9">
        <v>0</v>
      </c>
      <c r="DK81" s="9">
        <v>0</v>
      </c>
      <c r="DL81" s="9">
        <v>0</v>
      </c>
      <c r="DM81" s="9">
        <v>0</v>
      </c>
      <c r="DN81" s="9">
        <v>0</v>
      </c>
      <c r="DO81" s="9">
        <v>0</v>
      </c>
      <c r="DP81" s="9">
        <v>0</v>
      </c>
      <c r="DQ81" s="9">
        <v>0</v>
      </c>
      <c r="DR81" s="9">
        <v>0</v>
      </c>
      <c r="DS81" s="9">
        <v>0</v>
      </c>
      <c r="DT81" s="9">
        <v>0</v>
      </c>
      <c r="DU81" s="9">
        <v>0</v>
      </c>
      <c r="DV81" s="9">
        <v>0</v>
      </c>
      <c r="DW81" s="9">
        <v>0</v>
      </c>
      <c r="DX81" s="9">
        <v>0</v>
      </c>
      <c r="DY81" s="9">
        <v>0.88</v>
      </c>
      <c r="DZ81" s="9">
        <v>0</v>
      </c>
      <c r="EA81" s="9">
        <v>0.92</v>
      </c>
      <c r="EB81" s="9">
        <v>1.8</v>
      </c>
    </row>
    <row r="82" spans="1:132" x14ac:dyDescent="0.35">
      <c r="A82" s="5">
        <v>854</v>
      </c>
      <c r="B82" s="5" t="s">
        <v>122</v>
      </c>
      <c r="C82" s="5" t="s">
        <v>123</v>
      </c>
      <c r="D82" s="5" t="s">
        <v>124</v>
      </c>
      <c r="E82" s="5" t="s">
        <v>101</v>
      </c>
      <c r="F82" s="5">
        <v>850</v>
      </c>
      <c r="G82" s="5">
        <v>49</v>
      </c>
      <c r="H82" s="5">
        <v>70656</v>
      </c>
      <c r="I82" s="5" t="s">
        <v>21</v>
      </c>
      <c r="J82" s="5" t="s">
        <v>101</v>
      </c>
      <c r="K82" s="5" t="s">
        <v>100</v>
      </c>
      <c r="L82" s="14">
        <v>1.0407353958000001</v>
      </c>
      <c r="M82" s="9">
        <v>18.02</v>
      </c>
      <c r="N82" s="9">
        <v>12.98</v>
      </c>
      <c r="O82" s="9">
        <v>5.16</v>
      </c>
      <c r="P82" s="9">
        <v>14.61</v>
      </c>
      <c r="Q82" s="9">
        <v>50.77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18.02</v>
      </c>
      <c r="AM82" s="9">
        <v>12.98</v>
      </c>
      <c r="AN82" s="9">
        <v>5.16</v>
      </c>
      <c r="AO82" s="9">
        <v>14.61</v>
      </c>
      <c r="AP82" s="9">
        <v>50.77</v>
      </c>
      <c r="AQ82" s="9">
        <v>18.75</v>
      </c>
      <c r="AR82" s="9">
        <v>13.51</v>
      </c>
      <c r="AS82" s="9">
        <v>5.37</v>
      </c>
      <c r="AT82" s="9">
        <v>15.21</v>
      </c>
      <c r="AU82" s="9">
        <v>52.84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9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9">
        <v>0</v>
      </c>
      <c r="BJ82" s="9">
        <v>0</v>
      </c>
      <c r="BK82" s="9">
        <v>0</v>
      </c>
      <c r="BL82" s="9">
        <v>0</v>
      </c>
      <c r="BM82" s="9">
        <v>0</v>
      </c>
      <c r="BN82" s="9">
        <v>0</v>
      </c>
      <c r="BO82" s="9">
        <v>0</v>
      </c>
      <c r="BP82" s="9">
        <v>18.75</v>
      </c>
      <c r="BQ82" s="9">
        <v>13.51</v>
      </c>
      <c r="BR82" s="9">
        <v>5.37</v>
      </c>
      <c r="BS82" s="9">
        <v>15.21</v>
      </c>
      <c r="BT82" s="9">
        <v>52.84</v>
      </c>
      <c r="BU82" s="9">
        <v>18.16</v>
      </c>
      <c r="BV82" s="9">
        <v>12.87</v>
      </c>
      <c r="BW82" s="9">
        <v>5.0999999999999996</v>
      </c>
      <c r="BX82" s="9">
        <v>14.71</v>
      </c>
      <c r="BY82" s="9">
        <v>50.84</v>
      </c>
      <c r="BZ82" s="9">
        <v>0</v>
      </c>
      <c r="CA82" s="9">
        <v>0</v>
      </c>
      <c r="CB82" s="9">
        <v>0</v>
      </c>
      <c r="CC82" s="9">
        <v>0</v>
      </c>
      <c r="CD82" s="9">
        <v>0</v>
      </c>
      <c r="CE82" s="9">
        <v>0</v>
      </c>
      <c r="CF82" s="9">
        <v>0</v>
      </c>
      <c r="CG82" s="9">
        <v>0</v>
      </c>
      <c r="CH82" s="9">
        <v>0</v>
      </c>
      <c r="CI82" s="9">
        <v>0</v>
      </c>
      <c r="CJ82" s="9">
        <v>0</v>
      </c>
      <c r="CK82" s="9">
        <v>0</v>
      </c>
      <c r="CL82" s="9">
        <v>0</v>
      </c>
      <c r="CM82" s="9">
        <v>0</v>
      </c>
      <c r="CN82" s="9">
        <v>0</v>
      </c>
      <c r="CO82" s="9">
        <v>0</v>
      </c>
      <c r="CP82" s="9">
        <v>0</v>
      </c>
      <c r="CQ82" s="9">
        <v>0</v>
      </c>
      <c r="CR82" s="9">
        <v>0</v>
      </c>
      <c r="CS82" s="9">
        <v>0</v>
      </c>
      <c r="CT82" s="9">
        <v>18.16</v>
      </c>
      <c r="CU82" s="9">
        <v>12.87</v>
      </c>
      <c r="CV82" s="9">
        <v>5.0999999999999996</v>
      </c>
      <c r="CW82" s="9">
        <v>14.71</v>
      </c>
      <c r="CX82" s="9">
        <v>50.84</v>
      </c>
      <c r="CY82" s="9">
        <v>18.899999999999999</v>
      </c>
      <c r="CZ82" s="9">
        <v>13.39</v>
      </c>
      <c r="DA82" s="9">
        <v>5.31</v>
      </c>
      <c r="DB82" s="9">
        <v>15.31</v>
      </c>
      <c r="DC82" s="9">
        <v>52.91</v>
      </c>
      <c r="DD82" s="9">
        <v>0</v>
      </c>
      <c r="DE82" s="9">
        <v>0</v>
      </c>
      <c r="DF82" s="9">
        <v>0</v>
      </c>
      <c r="DG82" s="9">
        <v>0</v>
      </c>
      <c r="DH82" s="9">
        <v>0</v>
      </c>
      <c r="DI82" s="9">
        <v>0</v>
      </c>
      <c r="DJ82" s="9">
        <v>0</v>
      </c>
      <c r="DK82" s="9">
        <v>0</v>
      </c>
      <c r="DL82" s="9">
        <v>0</v>
      </c>
      <c r="DM82" s="9">
        <v>0</v>
      </c>
      <c r="DN82" s="9">
        <v>0</v>
      </c>
      <c r="DO82" s="9">
        <v>0</v>
      </c>
      <c r="DP82" s="9">
        <v>0</v>
      </c>
      <c r="DQ82" s="9">
        <v>0</v>
      </c>
      <c r="DR82" s="9">
        <v>0</v>
      </c>
      <c r="DS82" s="9">
        <v>0</v>
      </c>
      <c r="DT82" s="9">
        <v>0</v>
      </c>
      <c r="DU82" s="9">
        <v>0</v>
      </c>
      <c r="DV82" s="9">
        <v>0</v>
      </c>
      <c r="DW82" s="9">
        <v>0</v>
      </c>
      <c r="DX82" s="9">
        <v>18.899999999999999</v>
      </c>
      <c r="DY82" s="9">
        <v>13.39</v>
      </c>
      <c r="DZ82" s="9">
        <v>5.31</v>
      </c>
      <c r="EA82" s="9">
        <v>15.31</v>
      </c>
      <c r="EB82" s="9">
        <v>52.91</v>
      </c>
    </row>
    <row r="83" spans="1:132" x14ac:dyDescent="0.35">
      <c r="A83" s="5">
        <v>854</v>
      </c>
      <c r="B83" s="5" t="s">
        <v>122</v>
      </c>
      <c r="C83" s="5" t="s">
        <v>123</v>
      </c>
      <c r="D83" s="5" t="s">
        <v>124</v>
      </c>
      <c r="E83" s="5" t="s">
        <v>101</v>
      </c>
      <c r="F83" s="5">
        <v>881</v>
      </c>
      <c r="G83" s="5">
        <v>49</v>
      </c>
      <c r="H83" s="5">
        <v>71035</v>
      </c>
      <c r="I83" s="5" t="s">
        <v>7</v>
      </c>
      <c r="J83" s="5" t="s">
        <v>98</v>
      </c>
      <c r="K83" s="5" t="s">
        <v>100</v>
      </c>
      <c r="L83" s="14">
        <v>1.0407353958000001</v>
      </c>
      <c r="M83" s="9">
        <v>0</v>
      </c>
      <c r="N83" s="9">
        <v>0.75</v>
      </c>
      <c r="O83" s="9">
        <v>0</v>
      </c>
      <c r="P83" s="9">
        <v>0</v>
      </c>
      <c r="Q83" s="9">
        <v>0.75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0.75</v>
      </c>
      <c r="AN83" s="9">
        <v>0</v>
      </c>
      <c r="AO83" s="9">
        <v>0</v>
      </c>
      <c r="AP83" s="9">
        <v>0.75</v>
      </c>
      <c r="AQ83" s="9">
        <v>0</v>
      </c>
      <c r="AR83" s="9">
        <v>0.78</v>
      </c>
      <c r="AS83" s="9">
        <v>0</v>
      </c>
      <c r="AT83" s="9">
        <v>0</v>
      </c>
      <c r="AU83" s="9">
        <v>0.78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9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9">
        <v>0</v>
      </c>
      <c r="BJ83" s="9">
        <v>0</v>
      </c>
      <c r="BK83" s="9">
        <v>0</v>
      </c>
      <c r="BL83" s="9">
        <v>0</v>
      </c>
      <c r="BM83" s="9">
        <v>0</v>
      </c>
      <c r="BN83" s="9">
        <v>0</v>
      </c>
      <c r="BO83" s="9">
        <v>0</v>
      </c>
      <c r="BP83" s="9">
        <v>0</v>
      </c>
      <c r="BQ83" s="9">
        <v>0.78</v>
      </c>
      <c r="BR83" s="9">
        <v>0</v>
      </c>
      <c r="BS83" s="9">
        <v>0</v>
      </c>
      <c r="BT83" s="9">
        <v>0.78</v>
      </c>
      <c r="BU83" s="9">
        <v>0</v>
      </c>
      <c r="BV83" s="9">
        <v>0.72</v>
      </c>
      <c r="BW83" s="9">
        <v>0</v>
      </c>
      <c r="BX83" s="9">
        <v>0</v>
      </c>
      <c r="BY83" s="9">
        <v>0.72</v>
      </c>
      <c r="BZ83" s="9">
        <v>0</v>
      </c>
      <c r="CA83" s="9">
        <v>0</v>
      </c>
      <c r="CB83" s="9">
        <v>0</v>
      </c>
      <c r="CC83" s="9">
        <v>0</v>
      </c>
      <c r="CD83" s="9">
        <v>0</v>
      </c>
      <c r="CE83" s="9">
        <v>0</v>
      </c>
      <c r="CF83" s="9">
        <v>0</v>
      </c>
      <c r="CG83" s="9">
        <v>0</v>
      </c>
      <c r="CH83" s="9">
        <v>0</v>
      </c>
      <c r="CI83" s="9">
        <v>0</v>
      </c>
      <c r="CJ83" s="9">
        <v>0</v>
      </c>
      <c r="CK83" s="9">
        <v>0</v>
      </c>
      <c r="CL83" s="9">
        <v>0</v>
      </c>
      <c r="CM83" s="9">
        <v>0</v>
      </c>
      <c r="CN83" s="9">
        <v>0</v>
      </c>
      <c r="CO83" s="9">
        <v>0</v>
      </c>
      <c r="CP83" s="9">
        <v>0</v>
      </c>
      <c r="CQ83" s="9">
        <v>0</v>
      </c>
      <c r="CR83" s="9">
        <v>0</v>
      </c>
      <c r="CS83" s="9">
        <v>0</v>
      </c>
      <c r="CT83" s="9">
        <v>0</v>
      </c>
      <c r="CU83" s="9">
        <v>0.72</v>
      </c>
      <c r="CV83" s="9">
        <v>0</v>
      </c>
      <c r="CW83" s="9">
        <v>0</v>
      </c>
      <c r="CX83" s="9">
        <v>0.72</v>
      </c>
      <c r="CY83" s="9">
        <v>0</v>
      </c>
      <c r="CZ83" s="9">
        <v>0.75</v>
      </c>
      <c r="DA83" s="9">
        <v>0</v>
      </c>
      <c r="DB83" s="9">
        <v>0</v>
      </c>
      <c r="DC83" s="9">
        <v>0.75</v>
      </c>
      <c r="DD83" s="9">
        <v>0</v>
      </c>
      <c r="DE83" s="9">
        <v>0</v>
      </c>
      <c r="DF83" s="9">
        <v>0</v>
      </c>
      <c r="DG83" s="9">
        <v>0</v>
      </c>
      <c r="DH83" s="9">
        <v>0</v>
      </c>
      <c r="DI83" s="9">
        <v>0</v>
      </c>
      <c r="DJ83" s="9">
        <v>0</v>
      </c>
      <c r="DK83" s="9">
        <v>0</v>
      </c>
      <c r="DL83" s="9">
        <v>0</v>
      </c>
      <c r="DM83" s="9">
        <v>0</v>
      </c>
      <c r="DN83" s="9">
        <v>0</v>
      </c>
      <c r="DO83" s="9">
        <v>0</v>
      </c>
      <c r="DP83" s="9">
        <v>0</v>
      </c>
      <c r="DQ83" s="9">
        <v>0</v>
      </c>
      <c r="DR83" s="9">
        <v>0</v>
      </c>
      <c r="DS83" s="9">
        <v>0</v>
      </c>
      <c r="DT83" s="9">
        <v>0</v>
      </c>
      <c r="DU83" s="9">
        <v>0</v>
      </c>
      <c r="DV83" s="9">
        <v>0</v>
      </c>
      <c r="DW83" s="9">
        <v>0</v>
      </c>
      <c r="DX83" s="9">
        <v>0</v>
      </c>
      <c r="DY83" s="9">
        <v>0.75</v>
      </c>
      <c r="DZ83" s="9">
        <v>0</v>
      </c>
      <c r="EA83" s="9">
        <v>0</v>
      </c>
      <c r="EB83" s="9">
        <v>0.75</v>
      </c>
    </row>
    <row r="84" spans="1:132" x14ac:dyDescent="0.35">
      <c r="A84" s="5">
        <v>854</v>
      </c>
      <c r="B84" s="5" t="s">
        <v>122</v>
      </c>
      <c r="C84" s="5" t="s">
        <v>123</v>
      </c>
      <c r="D84" s="5" t="s">
        <v>124</v>
      </c>
      <c r="E84" s="5" t="s">
        <v>101</v>
      </c>
      <c r="F84" s="5">
        <v>883</v>
      </c>
      <c r="G84" s="5">
        <v>49</v>
      </c>
      <c r="H84" s="5">
        <v>75358</v>
      </c>
      <c r="I84" s="5" t="s">
        <v>5</v>
      </c>
      <c r="J84" s="5" t="s">
        <v>101</v>
      </c>
      <c r="K84" s="5" t="s">
        <v>100</v>
      </c>
      <c r="L84" s="14">
        <v>1.0407353958000001</v>
      </c>
      <c r="M84" s="9">
        <v>0</v>
      </c>
      <c r="N84" s="9">
        <v>1.95</v>
      </c>
      <c r="O84" s="9">
        <v>0.28000000000000003</v>
      </c>
      <c r="P84" s="9">
        <v>4.68</v>
      </c>
      <c r="Q84" s="9">
        <v>6.91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9">
        <v>0</v>
      </c>
      <c r="AJ84" s="9">
        <v>0</v>
      </c>
      <c r="AK84" s="9">
        <v>0</v>
      </c>
      <c r="AL84" s="9">
        <v>0</v>
      </c>
      <c r="AM84" s="9">
        <v>1.95</v>
      </c>
      <c r="AN84" s="9">
        <v>0.28000000000000003</v>
      </c>
      <c r="AO84" s="9">
        <v>4.68</v>
      </c>
      <c r="AP84" s="9">
        <v>6.91</v>
      </c>
      <c r="AQ84" s="9">
        <v>0</v>
      </c>
      <c r="AR84" s="9">
        <v>2.0299999999999998</v>
      </c>
      <c r="AS84" s="9">
        <v>0.28999999999999998</v>
      </c>
      <c r="AT84" s="9">
        <v>4.87</v>
      </c>
      <c r="AU84" s="9">
        <v>7.19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9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9">
        <v>0</v>
      </c>
      <c r="BJ84" s="9">
        <v>0</v>
      </c>
      <c r="BK84" s="9">
        <v>0</v>
      </c>
      <c r="BL84" s="9">
        <v>0</v>
      </c>
      <c r="BM84" s="9">
        <v>0</v>
      </c>
      <c r="BN84" s="9">
        <v>0</v>
      </c>
      <c r="BO84" s="9">
        <v>0</v>
      </c>
      <c r="BP84" s="9">
        <v>0</v>
      </c>
      <c r="BQ84" s="9">
        <v>2.0299999999999998</v>
      </c>
      <c r="BR84" s="9">
        <v>0.28999999999999998</v>
      </c>
      <c r="BS84" s="9">
        <v>4.87</v>
      </c>
      <c r="BT84" s="9">
        <v>7.19</v>
      </c>
      <c r="BU84" s="9">
        <v>0</v>
      </c>
      <c r="BV84" s="9">
        <v>1.9</v>
      </c>
      <c r="BW84" s="9">
        <v>0.23</v>
      </c>
      <c r="BX84" s="9">
        <v>4.6900000000000004</v>
      </c>
      <c r="BY84" s="9">
        <v>6.82</v>
      </c>
      <c r="BZ84" s="9">
        <v>0</v>
      </c>
      <c r="CA84" s="9">
        <v>0</v>
      </c>
      <c r="CB84" s="9">
        <v>0</v>
      </c>
      <c r="CC84" s="9">
        <v>0</v>
      </c>
      <c r="CD84" s="9">
        <v>0</v>
      </c>
      <c r="CE84" s="9">
        <v>0</v>
      </c>
      <c r="CF84" s="9">
        <v>0</v>
      </c>
      <c r="CG84" s="9">
        <v>0</v>
      </c>
      <c r="CH84" s="9">
        <v>0</v>
      </c>
      <c r="CI84" s="9">
        <v>0</v>
      </c>
      <c r="CJ84" s="9">
        <v>0</v>
      </c>
      <c r="CK84" s="9">
        <v>0</v>
      </c>
      <c r="CL84" s="9">
        <v>0</v>
      </c>
      <c r="CM84" s="9">
        <v>0</v>
      </c>
      <c r="CN84" s="9">
        <v>0</v>
      </c>
      <c r="CO84" s="9">
        <v>0</v>
      </c>
      <c r="CP84" s="9">
        <v>0</v>
      </c>
      <c r="CQ84" s="9">
        <v>0</v>
      </c>
      <c r="CR84" s="9">
        <v>0</v>
      </c>
      <c r="CS84" s="9">
        <v>0</v>
      </c>
      <c r="CT84" s="9">
        <v>0</v>
      </c>
      <c r="CU84" s="9">
        <v>1.9</v>
      </c>
      <c r="CV84" s="9">
        <v>0.23</v>
      </c>
      <c r="CW84" s="9">
        <v>4.6900000000000004</v>
      </c>
      <c r="CX84" s="9">
        <v>6.82</v>
      </c>
      <c r="CY84" s="9">
        <v>0</v>
      </c>
      <c r="CZ84" s="9">
        <v>1.98</v>
      </c>
      <c r="DA84" s="9">
        <v>0.24</v>
      </c>
      <c r="DB84" s="9">
        <v>4.88</v>
      </c>
      <c r="DC84" s="9">
        <v>7.1</v>
      </c>
      <c r="DD84" s="9">
        <v>0</v>
      </c>
      <c r="DE84" s="9">
        <v>0</v>
      </c>
      <c r="DF84" s="9">
        <v>0</v>
      </c>
      <c r="DG84" s="9">
        <v>0</v>
      </c>
      <c r="DH84" s="9">
        <v>0</v>
      </c>
      <c r="DI84" s="9">
        <v>0</v>
      </c>
      <c r="DJ84" s="9">
        <v>0</v>
      </c>
      <c r="DK84" s="9">
        <v>0</v>
      </c>
      <c r="DL84" s="9">
        <v>0</v>
      </c>
      <c r="DM84" s="9">
        <v>0</v>
      </c>
      <c r="DN84" s="9">
        <v>0</v>
      </c>
      <c r="DO84" s="9">
        <v>0</v>
      </c>
      <c r="DP84" s="9">
        <v>0</v>
      </c>
      <c r="DQ84" s="9">
        <v>0</v>
      </c>
      <c r="DR84" s="9">
        <v>0</v>
      </c>
      <c r="DS84" s="9">
        <v>0</v>
      </c>
      <c r="DT84" s="9">
        <v>0</v>
      </c>
      <c r="DU84" s="9">
        <v>0</v>
      </c>
      <c r="DV84" s="9">
        <v>0</v>
      </c>
      <c r="DW84" s="9">
        <v>0</v>
      </c>
      <c r="DX84" s="9">
        <v>0</v>
      </c>
      <c r="DY84" s="9">
        <v>1.98</v>
      </c>
      <c r="DZ84" s="9">
        <v>0.24</v>
      </c>
      <c r="EA84" s="9">
        <v>4.88</v>
      </c>
      <c r="EB84" s="9">
        <v>7.1</v>
      </c>
    </row>
    <row r="85" spans="1:132" x14ac:dyDescent="0.35">
      <c r="A85" s="5">
        <v>854</v>
      </c>
      <c r="B85" s="5" t="s">
        <v>122</v>
      </c>
      <c r="C85" s="5" t="s">
        <v>123</v>
      </c>
      <c r="D85" s="5" t="s">
        <v>124</v>
      </c>
      <c r="E85" s="5" t="s">
        <v>101</v>
      </c>
      <c r="F85" s="5">
        <v>884</v>
      </c>
      <c r="G85" s="5">
        <v>49</v>
      </c>
      <c r="H85" s="5">
        <v>75390</v>
      </c>
      <c r="I85" s="5" t="s">
        <v>4</v>
      </c>
      <c r="J85" s="5" t="s">
        <v>101</v>
      </c>
      <c r="K85" s="5" t="s">
        <v>100</v>
      </c>
      <c r="L85" s="14">
        <v>1.0407353958000001</v>
      </c>
      <c r="M85" s="9">
        <v>1.61</v>
      </c>
      <c r="N85" s="9">
        <v>1.6</v>
      </c>
      <c r="O85" s="9">
        <v>1.89</v>
      </c>
      <c r="P85" s="9">
        <v>4.57</v>
      </c>
      <c r="Q85" s="9">
        <v>9.67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1.61</v>
      </c>
      <c r="AM85" s="9">
        <v>1.6</v>
      </c>
      <c r="AN85" s="9">
        <v>1.89</v>
      </c>
      <c r="AO85" s="9">
        <v>4.57</v>
      </c>
      <c r="AP85" s="9">
        <v>9.67</v>
      </c>
      <c r="AQ85" s="9">
        <v>1.68</v>
      </c>
      <c r="AR85" s="9">
        <v>1.67</v>
      </c>
      <c r="AS85" s="9">
        <v>1.97</v>
      </c>
      <c r="AT85" s="9">
        <v>4.76</v>
      </c>
      <c r="AU85" s="9">
        <v>10.08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9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9">
        <v>0</v>
      </c>
      <c r="BI85" s="9">
        <v>0</v>
      </c>
      <c r="BJ85" s="9">
        <v>0</v>
      </c>
      <c r="BK85" s="9">
        <v>0</v>
      </c>
      <c r="BL85" s="9">
        <v>0</v>
      </c>
      <c r="BM85" s="9">
        <v>0</v>
      </c>
      <c r="BN85" s="9">
        <v>0</v>
      </c>
      <c r="BO85" s="9">
        <v>0</v>
      </c>
      <c r="BP85" s="9">
        <v>1.68</v>
      </c>
      <c r="BQ85" s="9">
        <v>1.67</v>
      </c>
      <c r="BR85" s="9">
        <v>1.97</v>
      </c>
      <c r="BS85" s="9">
        <v>4.76</v>
      </c>
      <c r="BT85" s="9">
        <v>10.08</v>
      </c>
      <c r="BU85" s="9">
        <v>1.63</v>
      </c>
      <c r="BV85" s="9">
        <v>1.56</v>
      </c>
      <c r="BW85" s="9">
        <v>1.91</v>
      </c>
      <c r="BX85" s="9">
        <v>4.51</v>
      </c>
      <c r="BY85" s="9">
        <v>9.61</v>
      </c>
      <c r="BZ85" s="9">
        <v>0</v>
      </c>
      <c r="CA85" s="9">
        <v>0</v>
      </c>
      <c r="CB85" s="9">
        <v>0</v>
      </c>
      <c r="CC85" s="9">
        <v>0</v>
      </c>
      <c r="CD85" s="9">
        <v>0</v>
      </c>
      <c r="CE85" s="9">
        <v>0</v>
      </c>
      <c r="CF85" s="9">
        <v>0</v>
      </c>
      <c r="CG85" s="9">
        <v>0</v>
      </c>
      <c r="CH85" s="9">
        <v>0</v>
      </c>
      <c r="CI85" s="9">
        <v>0</v>
      </c>
      <c r="CJ85" s="9">
        <v>0</v>
      </c>
      <c r="CK85" s="9">
        <v>0</v>
      </c>
      <c r="CL85" s="9">
        <v>0</v>
      </c>
      <c r="CM85" s="9">
        <v>0</v>
      </c>
      <c r="CN85" s="9">
        <v>0</v>
      </c>
      <c r="CO85" s="9">
        <v>0</v>
      </c>
      <c r="CP85" s="9">
        <v>0</v>
      </c>
      <c r="CQ85" s="9">
        <v>0</v>
      </c>
      <c r="CR85" s="9">
        <v>0</v>
      </c>
      <c r="CS85" s="9">
        <v>0</v>
      </c>
      <c r="CT85" s="9">
        <v>1.63</v>
      </c>
      <c r="CU85" s="9">
        <v>1.56</v>
      </c>
      <c r="CV85" s="9">
        <v>1.91</v>
      </c>
      <c r="CW85" s="9">
        <v>4.51</v>
      </c>
      <c r="CX85" s="9">
        <v>9.61</v>
      </c>
      <c r="CY85" s="9">
        <v>1.7</v>
      </c>
      <c r="CZ85" s="9">
        <v>1.62</v>
      </c>
      <c r="DA85" s="9">
        <v>1.99</v>
      </c>
      <c r="DB85" s="9">
        <v>4.6900000000000004</v>
      </c>
      <c r="DC85" s="9">
        <v>10</v>
      </c>
      <c r="DD85" s="9">
        <v>0</v>
      </c>
      <c r="DE85" s="9">
        <v>0</v>
      </c>
      <c r="DF85" s="9">
        <v>0</v>
      </c>
      <c r="DG85" s="9">
        <v>0</v>
      </c>
      <c r="DH85" s="9">
        <v>0</v>
      </c>
      <c r="DI85" s="9">
        <v>0</v>
      </c>
      <c r="DJ85" s="9">
        <v>0</v>
      </c>
      <c r="DK85" s="9">
        <v>0</v>
      </c>
      <c r="DL85" s="9">
        <v>0</v>
      </c>
      <c r="DM85" s="9">
        <v>0</v>
      </c>
      <c r="DN85" s="9">
        <v>0</v>
      </c>
      <c r="DO85" s="9">
        <v>0</v>
      </c>
      <c r="DP85" s="9">
        <v>0</v>
      </c>
      <c r="DQ85" s="9">
        <v>0</v>
      </c>
      <c r="DR85" s="9">
        <v>0</v>
      </c>
      <c r="DS85" s="9">
        <v>0</v>
      </c>
      <c r="DT85" s="9">
        <v>0</v>
      </c>
      <c r="DU85" s="9">
        <v>0</v>
      </c>
      <c r="DV85" s="9">
        <v>0</v>
      </c>
      <c r="DW85" s="9">
        <v>0</v>
      </c>
      <c r="DX85" s="9">
        <v>1.7</v>
      </c>
      <c r="DY85" s="9">
        <v>1.62</v>
      </c>
      <c r="DZ85" s="9">
        <v>1.99</v>
      </c>
      <c r="EA85" s="9">
        <v>4.6900000000000004</v>
      </c>
      <c r="EB85" s="9">
        <v>10</v>
      </c>
    </row>
    <row r="86" spans="1:132" ht="31" x14ac:dyDescent="0.35">
      <c r="A86" s="5">
        <v>859</v>
      </c>
      <c r="B86" s="5" t="s">
        <v>122</v>
      </c>
      <c r="C86" s="5" t="s">
        <v>158</v>
      </c>
      <c r="D86" s="5" t="s">
        <v>16</v>
      </c>
      <c r="E86" s="5" t="s">
        <v>98</v>
      </c>
      <c r="F86" s="5">
        <v>848</v>
      </c>
      <c r="G86" s="5">
        <v>49</v>
      </c>
      <c r="H86" s="5">
        <v>70623</v>
      </c>
      <c r="I86" s="5" t="s">
        <v>22</v>
      </c>
      <c r="J86" s="5" t="s">
        <v>98</v>
      </c>
      <c r="K86" s="5" t="s">
        <v>100</v>
      </c>
      <c r="L86" s="14">
        <v>1.0613854116000001</v>
      </c>
      <c r="M86" s="9">
        <v>0.92</v>
      </c>
      <c r="N86" s="9">
        <v>0</v>
      </c>
      <c r="O86" s="9">
        <v>0</v>
      </c>
      <c r="P86" s="9">
        <v>0</v>
      </c>
      <c r="Q86" s="9">
        <v>0.92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0</v>
      </c>
      <c r="AI86" s="9">
        <v>0</v>
      </c>
      <c r="AJ86" s="9">
        <v>0</v>
      </c>
      <c r="AK86" s="9">
        <v>0</v>
      </c>
      <c r="AL86" s="9">
        <v>0.92</v>
      </c>
      <c r="AM86" s="9">
        <v>0</v>
      </c>
      <c r="AN86" s="9">
        <v>0</v>
      </c>
      <c r="AO86" s="9">
        <v>0</v>
      </c>
      <c r="AP86" s="9">
        <v>0.92</v>
      </c>
      <c r="AQ86" s="9">
        <v>0.98</v>
      </c>
      <c r="AR86" s="9">
        <v>0</v>
      </c>
      <c r="AS86" s="9">
        <v>0</v>
      </c>
      <c r="AT86" s="9">
        <v>0</v>
      </c>
      <c r="AU86" s="9">
        <v>0.98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9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9">
        <v>0</v>
      </c>
      <c r="BI86" s="9">
        <v>0</v>
      </c>
      <c r="BJ86" s="9">
        <v>0</v>
      </c>
      <c r="BK86" s="9">
        <v>0</v>
      </c>
      <c r="BL86" s="9">
        <v>0</v>
      </c>
      <c r="BM86" s="9">
        <v>0</v>
      </c>
      <c r="BN86" s="9">
        <v>0</v>
      </c>
      <c r="BO86" s="9">
        <v>0</v>
      </c>
      <c r="BP86" s="9">
        <v>0.98</v>
      </c>
      <c r="BQ86" s="9">
        <v>0</v>
      </c>
      <c r="BR86" s="9">
        <v>0</v>
      </c>
      <c r="BS86" s="9">
        <v>0</v>
      </c>
      <c r="BT86" s="9">
        <v>0.98</v>
      </c>
      <c r="BU86" s="9">
        <v>0.94</v>
      </c>
      <c r="BV86" s="9">
        <v>0</v>
      </c>
      <c r="BW86" s="9">
        <v>0</v>
      </c>
      <c r="BX86" s="9">
        <v>0</v>
      </c>
      <c r="BY86" s="9">
        <v>0.94</v>
      </c>
      <c r="BZ86" s="9">
        <v>0</v>
      </c>
      <c r="CA86" s="9">
        <v>0</v>
      </c>
      <c r="CB86" s="9">
        <v>0</v>
      </c>
      <c r="CC86" s="9">
        <v>0</v>
      </c>
      <c r="CD86" s="9">
        <v>0</v>
      </c>
      <c r="CE86" s="9">
        <v>0</v>
      </c>
      <c r="CF86" s="9">
        <v>0</v>
      </c>
      <c r="CG86" s="9">
        <v>0</v>
      </c>
      <c r="CH86" s="9">
        <v>0</v>
      </c>
      <c r="CI86" s="9">
        <v>0</v>
      </c>
      <c r="CJ86" s="9">
        <v>0</v>
      </c>
      <c r="CK86" s="9">
        <v>0</v>
      </c>
      <c r="CL86" s="9">
        <v>0</v>
      </c>
      <c r="CM86" s="9">
        <v>0</v>
      </c>
      <c r="CN86" s="9">
        <v>0</v>
      </c>
      <c r="CO86" s="9">
        <v>0</v>
      </c>
      <c r="CP86" s="9">
        <v>0</v>
      </c>
      <c r="CQ86" s="9">
        <v>0</v>
      </c>
      <c r="CR86" s="9">
        <v>0</v>
      </c>
      <c r="CS86" s="9">
        <v>0</v>
      </c>
      <c r="CT86" s="9">
        <v>0.94</v>
      </c>
      <c r="CU86" s="9">
        <v>0</v>
      </c>
      <c r="CV86" s="9">
        <v>0</v>
      </c>
      <c r="CW86" s="9">
        <v>0</v>
      </c>
      <c r="CX86" s="9">
        <v>0.94</v>
      </c>
      <c r="CY86" s="9">
        <v>1</v>
      </c>
      <c r="CZ86" s="9">
        <v>0</v>
      </c>
      <c r="DA86" s="9">
        <v>0</v>
      </c>
      <c r="DB86" s="9">
        <v>0</v>
      </c>
      <c r="DC86" s="9">
        <v>1</v>
      </c>
      <c r="DD86" s="9">
        <v>0</v>
      </c>
      <c r="DE86" s="9">
        <v>0</v>
      </c>
      <c r="DF86" s="9">
        <v>0</v>
      </c>
      <c r="DG86" s="9">
        <v>0</v>
      </c>
      <c r="DH86" s="9">
        <v>0</v>
      </c>
      <c r="DI86" s="9">
        <v>0</v>
      </c>
      <c r="DJ86" s="9">
        <v>0</v>
      </c>
      <c r="DK86" s="9">
        <v>0</v>
      </c>
      <c r="DL86" s="9">
        <v>0</v>
      </c>
      <c r="DM86" s="9">
        <v>0</v>
      </c>
      <c r="DN86" s="9">
        <v>0</v>
      </c>
      <c r="DO86" s="9">
        <v>0</v>
      </c>
      <c r="DP86" s="9">
        <v>0</v>
      </c>
      <c r="DQ86" s="9">
        <v>0</v>
      </c>
      <c r="DR86" s="9">
        <v>0</v>
      </c>
      <c r="DS86" s="9">
        <v>0</v>
      </c>
      <c r="DT86" s="9">
        <v>0</v>
      </c>
      <c r="DU86" s="9">
        <v>0</v>
      </c>
      <c r="DV86" s="9">
        <v>0</v>
      </c>
      <c r="DW86" s="9">
        <v>0</v>
      </c>
      <c r="DX86" s="9">
        <v>1</v>
      </c>
      <c r="DY86" s="9">
        <v>0</v>
      </c>
      <c r="DZ86" s="9">
        <v>0</v>
      </c>
      <c r="EA86" s="9">
        <v>0</v>
      </c>
      <c r="EB86" s="9">
        <v>1</v>
      </c>
    </row>
    <row r="87" spans="1:132" x14ac:dyDescent="0.35">
      <c r="A87" s="5">
        <v>859</v>
      </c>
      <c r="B87" s="5" t="s">
        <v>122</v>
      </c>
      <c r="C87" s="5" t="s">
        <v>158</v>
      </c>
      <c r="D87" s="5" t="s">
        <v>16</v>
      </c>
      <c r="E87" s="5" t="s">
        <v>98</v>
      </c>
      <c r="F87" s="5">
        <v>870</v>
      </c>
      <c r="G87" s="5">
        <v>49</v>
      </c>
      <c r="H87" s="5">
        <v>70896</v>
      </c>
      <c r="I87" s="5" t="s">
        <v>12</v>
      </c>
      <c r="J87" s="5" t="s">
        <v>98</v>
      </c>
      <c r="K87" s="5" t="s">
        <v>100</v>
      </c>
      <c r="L87" s="14">
        <v>1.0613854116000001</v>
      </c>
      <c r="M87" s="9">
        <v>1.42</v>
      </c>
      <c r="N87" s="9">
        <v>2.73</v>
      </c>
      <c r="O87" s="9">
        <v>0</v>
      </c>
      <c r="P87" s="9">
        <v>0</v>
      </c>
      <c r="Q87" s="9">
        <v>4.1500000000000004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1.42</v>
      </c>
      <c r="AM87" s="9">
        <v>2.73</v>
      </c>
      <c r="AN87" s="9">
        <v>0</v>
      </c>
      <c r="AO87" s="9">
        <v>0</v>
      </c>
      <c r="AP87" s="9">
        <v>4.1500000000000004</v>
      </c>
      <c r="AQ87" s="9">
        <v>1.51</v>
      </c>
      <c r="AR87" s="9">
        <v>2.9</v>
      </c>
      <c r="AS87" s="9">
        <v>0</v>
      </c>
      <c r="AT87" s="9">
        <v>0</v>
      </c>
      <c r="AU87" s="9">
        <v>4.41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9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9">
        <v>0</v>
      </c>
      <c r="BJ87" s="9">
        <v>0</v>
      </c>
      <c r="BK87" s="9">
        <v>0</v>
      </c>
      <c r="BL87" s="9">
        <v>0</v>
      </c>
      <c r="BM87" s="9">
        <v>0</v>
      </c>
      <c r="BN87" s="9">
        <v>0</v>
      </c>
      <c r="BO87" s="9">
        <v>0</v>
      </c>
      <c r="BP87" s="9">
        <v>1.51</v>
      </c>
      <c r="BQ87" s="9">
        <v>2.9</v>
      </c>
      <c r="BR87" s="9">
        <v>0</v>
      </c>
      <c r="BS87" s="9">
        <v>0</v>
      </c>
      <c r="BT87" s="9">
        <v>4.41</v>
      </c>
      <c r="BU87" s="9">
        <v>1.55</v>
      </c>
      <c r="BV87" s="9">
        <v>2.72</v>
      </c>
      <c r="BW87" s="9">
        <v>0</v>
      </c>
      <c r="BX87" s="9">
        <v>0</v>
      </c>
      <c r="BY87" s="9">
        <v>4.2699999999999996</v>
      </c>
      <c r="BZ87" s="9">
        <v>0</v>
      </c>
      <c r="CA87" s="9">
        <v>0</v>
      </c>
      <c r="CB87" s="9">
        <v>0</v>
      </c>
      <c r="CC87" s="9">
        <v>0</v>
      </c>
      <c r="CD87" s="9">
        <v>0</v>
      </c>
      <c r="CE87" s="9">
        <v>0</v>
      </c>
      <c r="CF87" s="9">
        <v>0</v>
      </c>
      <c r="CG87" s="9">
        <v>0</v>
      </c>
      <c r="CH87" s="9">
        <v>0</v>
      </c>
      <c r="CI87" s="9">
        <v>0</v>
      </c>
      <c r="CJ87" s="9">
        <v>0</v>
      </c>
      <c r="CK87" s="9">
        <v>0</v>
      </c>
      <c r="CL87" s="9">
        <v>0</v>
      </c>
      <c r="CM87" s="9">
        <v>0</v>
      </c>
      <c r="CN87" s="9">
        <v>0</v>
      </c>
      <c r="CO87" s="9">
        <v>0</v>
      </c>
      <c r="CP87" s="9">
        <v>0</v>
      </c>
      <c r="CQ87" s="9">
        <v>0</v>
      </c>
      <c r="CR87" s="9">
        <v>0</v>
      </c>
      <c r="CS87" s="9">
        <v>0</v>
      </c>
      <c r="CT87" s="9">
        <v>1.55</v>
      </c>
      <c r="CU87" s="9">
        <v>2.72</v>
      </c>
      <c r="CV87" s="9">
        <v>0</v>
      </c>
      <c r="CW87" s="9">
        <v>0</v>
      </c>
      <c r="CX87" s="9">
        <v>4.2699999999999996</v>
      </c>
      <c r="CY87" s="9">
        <v>1.65</v>
      </c>
      <c r="CZ87" s="9">
        <v>2.89</v>
      </c>
      <c r="DA87" s="9">
        <v>0</v>
      </c>
      <c r="DB87" s="9">
        <v>0</v>
      </c>
      <c r="DC87" s="9">
        <v>4.54</v>
      </c>
      <c r="DD87" s="9">
        <v>0</v>
      </c>
      <c r="DE87" s="9">
        <v>0</v>
      </c>
      <c r="DF87" s="9">
        <v>0</v>
      </c>
      <c r="DG87" s="9">
        <v>0</v>
      </c>
      <c r="DH87" s="9">
        <v>0</v>
      </c>
      <c r="DI87" s="9">
        <v>0</v>
      </c>
      <c r="DJ87" s="9">
        <v>0</v>
      </c>
      <c r="DK87" s="9">
        <v>0</v>
      </c>
      <c r="DL87" s="9">
        <v>0</v>
      </c>
      <c r="DM87" s="9">
        <v>0</v>
      </c>
      <c r="DN87" s="9">
        <v>0</v>
      </c>
      <c r="DO87" s="9">
        <v>0</v>
      </c>
      <c r="DP87" s="9">
        <v>0</v>
      </c>
      <c r="DQ87" s="9">
        <v>0</v>
      </c>
      <c r="DR87" s="9">
        <v>0</v>
      </c>
      <c r="DS87" s="9">
        <v>0</v>
      </c>
      <c r="DT87" s="9">
        <v>0</v>
      </c>
      <c r="DU87" s="9">
        <v>0</v>
      </c>
      <c r="DV87" s="9">
        <v>0</v>
      </c>
      <c r="DW87" s="9">
        <v>0</v>
      </c>
      <c r="DX87" s="9">
        <v>1.65</v>
      </c>
      <c r="DY87" s="9">
        <v>2.89</v>
      </c>
      <c r="DZ87" s="9">
        <v>0</v>
      </c>
      <c r="EA87" s="9">
        <v>0</v>
      </c>
      <c r="EB87" s="9">
        <v>4.54</v>
      </c>
    </row>
    <row r="88" spans="1:132" x14ac:dyDescent="0.35">
      <c r="A88" s="10">
        <v>859</v>
      </c>
      <c r="B88" s="10" t="s">
        <v>122</v>
      </c>
      <c r="C88" s="10" t="s">
        <v>158</v>
      </c>
      <c r="D88" s="10" t="s">
        <v>16</v>
      </c>
      <c r="E88" s="10" t="s">
        <v>98</v>
      </c>
      <c r="F88" s="10">
        <v>875</v>
      </c>
      <c r="G88" s="10">
        <v>49</v>
      </c>
      <c r="H88" s="10">
        <v>70953</v>
      </c>
      <c r="I88" s="10" t="s">
        <v>8</v>
      </c>
      <c r="J88" s="10" t="s">
        <v>101</v>
      </c>
      <c r="K88" s="10" t="s">
        <v>100</v>
      </c>
      <c r="L88" s="15">
        <v>1.0613854116000001</v>
      </c>
      <c r="M88" s="11">
        <v>20.25</v>
      </c>
      <c r="N88" s="11">
        <v>25.57</v>
      </c>
      <c r="O88" s="11">
        <v>0</v>
      </c>
      <c r="P88" s="11">
        <v>0</v>
      </c>
      <c r="Q88" s="11">
        <v>45.82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20.25</v>
      </c>
      <c r="AM88" s="11">
        <v>25.57</v>
      </c>
      <c r="AN88" s="11">
        <v>0</v>
      </c>
      <c r="AO88" s="11">
        <v>0</v>
      </c>
      <c r="AP88" s="11">
        <v>45.82</v>
      </c>
      <c r="AQ88" s="11">
        <v>21.49</v>
      </c>
      <c r="AR88" s="11">
        <v>27.14</v>
      </c>
      <c r="AS88" s="11">
        <v>0</v>
      </c>
      <c r="AT88" s="11">
        <v>0</v>
      </c>
      <c r="AU88" s="11">
        <v>48.63</v>
      </c>
      <c r="AV88" s="11">
        <v>0</v>
      </c>
      <c r="AW88" s="11">
        <v>0</v>
      </c>
      <c r="AX88" s="11">
        <v>0</v>
      </c>
      <c r="AY88" s="11">
        <v>0</v>
      </c>
      <c r="AZ88" s="11">
        <v>0</v>
      </c>
      <c r="BA88" s="11">
        <v>0</v>
      </c>
      <c r="BB88" s="11">
        <v>0</v>
      </c>
      <c r="BC88" s="11">
        <v>0</v>
      </c>
      <c r="BD88" s="11">
        <v>0</v>
      </c>
      <c r="BE88" s="11">
        <v>0</v>
      </c>
      <c r="BF88" s="11">
        <v>0</v>
      </c>
      <c r="BG88" s="11">
        <v>0</v>
      </c>
      <c r="BH88" s="11">
        <v>0</v>
      </c>
      <c r="BI88" s="11">
        <v>0</v>
      </c>
      <c r="BJ88" s="11">
        <v>0</v>
      </c>
      <c r="BK88" s="11">
        <v>0</v>
      </c>
      <c r="BL88" s="11">
        <v>0</v>
      </c>
      <c r="BM88" s="11">
        <v>0</v>
      </c>
      <c r="BN88" s="11">
        <v>0</v>
      </c>
      <c r="BO88" s="11">
        <v>0</v>
      </c>
      <c r="BP88" s="11">
        <v>21.49</v>
      </c>
      <c r="BQ88" s="11">
        <v>27.14</v>
      </c>
      <c r="BR88" s="11">
        <v>0</v>
      </c>
      <c r="BS88" s="11">
        <v>0</v>
      </c>
      <c r="BT88" s="11">
        <v>48.63</v>
      </c>
      <c r="BU88" s="11">
        <v>20.100000000000001</v>
      </c>
      <c r="BV88" s="11">
        <v>25.28</v>
      </c>
      <c r="BW88" s="11">
        <v>0</v>
      </c>
      <c r="BX88" s="11">
        <v>0</v>
      </c>
      <c r="BY88" s="11">
        <v>45.38</v>
      </c>
      <c r="BZ88" s="11">
        <v>0</v>
      </c>
      <c r="CA88" s="11">
        <v>0</v>
      </c>
      <c r="CB88" s="11">
        <v>0</v>
      </c>
      <c r="CC88" s="11">
        <v>0</v>
      </c>
      <c r="CD88" s="11">
        <v>0</v>
      </c>
      <c r="CE88" s="11">
        <v>0</v>
      </c>
      <c r="CF88" s="11">
        <v>0</v>
      </c>
      <c r="CG88" s="11">
        <v>0</v>
      </c>
      <c r="CH88" s="11">
        <v>0</v>
      </c>
      <c r="CI88" s="11">
        <v>0</v>
      </c>
      <c r="CJ88" s="11">
        <v>0</v>
      </c>
      <c r="CK88" s="11">
        <v>0</v>
      </c>
      <c r="CL88" s="11">
        <v>0</v>
      </c>
      <c r="CM88" s="11">
        <v>0</v>
      </c>
      <c r="CN88" s="11">
        <v>0</v>
      </c>
      <c r="CO88" s="11">
        <v>0</v>
      </c>
      <c r="CP88" s="11">
        <v>0</v>
      </c>
      <c r="CQ88" s="11">
        <v>0</v>
      </c>
      <c r="CR88" s="11">
        <v>0</v>
      </c>
      <c r="CS88" s="11">
        <v>0</v>
      </c>
      <c r="CT88" s="11">
        <v>20.100000000000001</v>
      </c>
      <c r="CU88" s="11">
        <v>25.28</v>
      </c>
      <c r="CV88" s="11">
        <v>0</v>
      </c>
      <c r="CW88" s="11">
        <v>0</v>
      </c>
      <c r="CX88" s="11">
        <v>45.38</v>
      </c>
      <c r="CY88" s="11">
        <v>21.33</v>
      </c>
      <c r="CZ88" s="11">
        <v>26.83</v>
      </c>
      <c r="DA88" s="11">
        <v>0</v>
      </c>
      <c r="DB88" s="11">
        <v>0</v>
      </c>
      <c r="DC88" s="11">
        <v>48.16</v>
      </c>
      <c r="DD88" s="11">
        <v>0</v>
      </c>
      <c r="DE88" s="11">
        <v>0</v>
      </c>
      <c r="DF88" s="11">
        <v>0</v>
      </c>
      <c r="DG88" s="11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1">
        <v>0</v>
      </c>
      <c r="DN88" s="11">
        <v>0</v>
      </c>
      <c r="DO88" s="11">
        <v>0</v>
      </c>
      <c r="DP88" s="11">
        <v>0</v>
      </c>
      <c r="DQ88" s="11">
        <v>0</v>
      </c>
      <c r="DR88" s="11">
        <v>0</v>
      </c>
      <c r="DS88" s="11">
        <v>0</v>
      </c>
      <c r="DT88" s="11">
        <v>0</v>
      </c>
      <c r="DU88" s="11">
        <v>0</v>
      </c>
      <c r="DV88" s="11">
        <v>0</v>
      </c>
      <c r="DW88" s="11">
        <v>0</v>
      </c>
      <c r="DX88" s="11">
        <v>21.33</v>
      </c>
      <c r="DY88" s="11">
        <v>26.83</v>
      </c>
      <c r="DZ88" s="11">
        <v>0</v>
      </c>
      <c r="EA88" s="11">
        <v>0</v>
      </c>
      <c r="EB88" s="11">
        <v>48.16</v>
      </c>
    </row>
    <row r="89" spans="1:132" x14ac:dyDescent="0.35">
      <c r="A89" s="16" t="s">
        <v>3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2"/>
      <c r="M89" s="12">
        <f>SUBTOTAL(109,Table14[2021–22 P-2 Reported Regular ADA
Grades TK/K-3
B-1])</f>
        <v>545.53999999999985</v>
      </c>
      <c r="N89" s="12">
        <f>SUBTOTAL(109,Table14[2021–22 P-2 Reported Regular ADA
Grades 4-6
B-1])</f>
        <v>414.38000000000005</v>
      </c>
      <c r="O89" s="12">
        <f>SUBTOTAL(109,Table14[2021–22 P-2 Reported Regular ADA
Grades 7-8
B-1])</f>
        <v>233.32999999999993</v>
      </c>
      <c r="P89" s="12">
        <f>SUBTOTAL(109,Table14[2021–22 P-2 Reported  Regular ADA
Grades 9-12
B-1])</f>
        <v>256.43</v>
      </c>
      <c r="Q89" s="12">
        <f>SUBTOTAL(109,Table14[2021–22  P-2 Reported Regular ADA
Total
B-1])</f>
        <v>1449.6800000000003</v>
      </c>
      <c r="R89" s="12">
        <f>SUBTOTAL(109,Table14[2021–22 P-2 Reported ADA Extended Year Special Education
Grades TK/K-3
B-2])</f>
        <v>1</v>
      </c>
      <c r="S89" s="12">
        <f>SUBTOTAL(109,Table14[2021–22 P-2 Reported ADA Extended Year Special Education
Grades 4-6
B-2])</f>
        <v>7.0000000000000007E-2</v>
      </c>
      <c r="T89" s="12">
        <f>SUBTOTAL(109,Table14[2021–22 P-2 Reported ADA Extended Year Special Education
Grades 7-8
B-2])</f>
        <v>1.01</v>
      </c>
      <c r="U89" s="12">
        <f>SUBTOTAL(109,Table14[2021–22 P-2 Reported ADA Extended Year Special Education
Grades 9-12
B-2])</f>
        <v>0</v>
      </c>
      <c r="V89" s="12">
        <f>SUBTOTAL(109,Table14[2021–22 P-2 Reported ADA Extended Year Special Education
Total
B-2])</f>
        <v>2.08</v>
      </c>
      <c r="W89" s="12">
        <f>SUBTOTAL(109,Table14[2021–22  P-2 Reported ADA Special Education - NPS/LCI
Grades TK/K-3
B-3])</f>
        <v>0</v>
      </c>
      <c r="X89" s="12">
        <f>SUBTOTAL(109,Table14[2021–22 P-2 Reported ADA Special Education - NPS/LCI
Grades 4-6
B-3])</f>
        <v>0</v>
      </c>
      <c r="Y89" s="12">
        <f>SUBTOTAL(109,Table14[2021–22 P-2 Reported ADA Special Education - NPS/LCI
Grades 7-8
B-3])</f>
        <v>0</v>
      </c>
      <c r="Z89" s="12">
        <f>SUBTOTAL(109,Table14[2021–22 P-2 Reported ADA Special Education - NPS/LCI
Grades 9-12
B-3])</f>
        <v>0</v>
      </c>
      <c r="AA89" s="12">
        <f>SUBTOTAL(109,Table14[2021–22P-2 Reported ADA Special Education - NPS/LCI
Total
B-3])</f>
        <v>0</v>
      </c>
      <c r="AB89" s="12">
        <f>SUBTOTAL(109,Table14[2021–22 P-2 Reported ADA Extended Year Special Education - NPS/LCI
Grades TK/K-3
B-4])</f>
        <v>0</v>
      </c>
      <c r="AC89" s="12">
        <f>SUBTOTAL(109,Table14[2021–22 P-2 Reported ADA Extended Year Special Education - NPS/LCI
Grades 4-6
B-4])</f>
        <v>0</v>
      </c>
      <c r="AD89" s="12">
        <f>SUBTOTAL(109,Table14[2021–22 P-2 Reported ADA Extended Year Special Education - NPS/LCI
Grades 7-8
B-4])</f>
        <v>0</v>
      </c>
      <c r="AE89" s="12">
        <f>SUBTOTAL(109,Table14[2021–22 P-2 Reported ADA Extended Year Special Education - NPS/LCI
Grades 9-12
B-4])</f>
        <v>0</v>
      </c>
      <c r="AF89" s="12">
        <f>SUBTOTAL(109,Table14[2021–22 P-2 Reported ADA Extended Year Special Education - NPS/LCI
Total
B-4])</f>
        <v>0</v>
      </c>
      <c r="AG89" s="12">
        <f>SUBTOTAL(109,Table14[2021–22 P-2 Reported ADA Community Day School 
Grades TK/K-3
B-5])</f>
        <v>0</v>
      </c>
      <c r="AH89" s="12">
        <f>SUBTOTAL(109,Table14[2021–22 P-2 Reported ADA Community Day School 
Grades 4-6
B-5])</f>
        <v>0</v>
      </c>
      <c r="AI89" s="12">
        <f>SUBTOTAL(109,Table14[2021–22 P-2 Reported ADA Community Day School 
Grades 7-8
B-5])</f>
        <v>0</v>
      </c>
      <c r="AJ89" s="12">
        <f>SUBTOTAL(109,Table14[2021–22 P-2 Reported ADA Community Day School 
Grades 9-12
B-5])</f>
        <v>0</v>
      </c>
      <c r="AK89" s="12">
        <f>SUBTOTAL(109,Table14[2021–22 P-2 Reported ADA Community Day School 
Total
B-5])</f>
        <v>0</v>
      </c>
      <c r="AL89" s="12">
        <f>SUBTOTAL(109,Table14[2021–22 P-2 Reported ADA Total 
Grades TK/K-3
(Sum of B-1 through B-5)
B-6])</f>
        <v>546.53999999999985</v>
      </c>
      <c r="AM89" s="12">
        <f>SUBTOTAL(109,Table14[2021–22 P-2 Reported ADA Total 
Grades 4-6
(Sum of B-1 through B-5)
B-6])</f>
        <v>414.45000000000005</v>
      </c>
      <c r="AN89" s="12">
        <f>SUBTOTAL(109,Table14[2021–22 P-2 Reported ADA Total 
Grades 7-8
(Sum of B-1 through B-5)
B-6])</f>
        <v>234.33999999999995</v>
      </c>
      <c r="AO89" s="12">
        <f>SUBTOTAL(109,Table14[2021–22 P-2 Reported ADA Total 
Grades 9-12
(Sum of B-1 through B-5)
B-6])</f>
        <v>256.43</v>
      </c>
      <c r="AP89" s="12">
        <f>SUBTOTAL(109,Table14[2021–22 P-2 Reported ADA Total 
(Sum of B-1 through B-5)
B-6])</f>
        <v>1451.7600000000004</v>
      </c>
      <c r="AQ89" s="12">
        <f>SUBTOTAL(109,Table14[2021–22 P-2 Adjusted Regular ADA
Grades TK/K-3
(B-1*A-1)
C-1])</f>
        <v>555.87</v>
      </c>
      <c r="AR89" s="12">
        <f>SUBTOTAL(109,Table14[2021–22 P-2 Adjusted Regular ADA
Grades 4-6
(B-1*A-1)
C-1])</f>
        <v>423.23999999999995</v>
      </c>
      <c r="AS89" s="12">
        <f>SUBTOTAL(109,Table14[2021–22 P-2 Adjusted Regular ADA
Grades 7-8
(B-1*A-1)
C-1])</f>
        <v>237.10000000000002</v>
      </c>
      <c r="AT89" s="12">
        <f>SUBTOTAL(109,Table14[2021–22 P-2 Adjusted Regular ADA
Grades 9-12
(B-1*A-1)
C-1])</f>
        <v>263.5</v>
      </c>
      <c r="AU89" s="12">
        <f>SUBTOTAL(109,Table14[2021–22 P-2 Adjusted Regular ADA
Total
(B-1*A-1)
C-1])</f>
        <v>1479.71</v>
      </c>
      <c r="AV89" s="12">
        <f>SUBTOTAL(109,Table14[2021–22 P-2 Adjusted ADA Extended Year Special Education
Grades TK/K-3
(B-2*A-1)
C-2])</f>
        <v>1</v>
      </c>
      <c r="AW89" s="12">
        <f>SUBTOTAL(109,Table14[2021–22 P-2 Adjusted ADA Extended Year Special Education
Grades 4-6
(B-2*A-1)
C-2])</f>
        <v>7.0000000000000007E-2</v>
      </c>
      <c r="AX89" s="12">
        <f>SUBTOTAL(109,Table14[2021–22 P-2 Adjusted ADA Extended Year Special Education
Grades 7-8
(B-2*A-1)
C-2])</f>
        <v>1.01</v>
      </c>
      <c r="AY89" s="12">
        <f>SUBTOTAL(109,Table14[2021–22 P-2 Adjusted ADA Extended Year Special Education
Grades 9-12
(B-2*A-1)
C-2])</f>
        <v>0</v>
      </c>
      <c r="AZ89" s="12">
        <f>SUBTOTAL(109,Table14[2021–22 P-2 Adjusted ADA Extended Year Special Education
Total
(B-2*A-1)
C-2])</f>
        <v>2.08</v>
      </c>
      <c r="BA89" s="12">
        <f>SUBTOTAL(109,Table14[2021–22 P-2 Adjusted ADA Special Education NPS/LCI
Grades TK/K-3
(B-3*A-1)
C-3])</f>
        <v>0</v>
      </c>
      <c r="BB89" s="12">
        <f>SUBTOTAL(109,Table14[2021–22 P-2 Adjusted ADA Special Education NPS/LCI
Grades 4-6
(B-3*A-1)
C-3])</f>
        <v>0</v>
      </c>
      <c r="BC89" s="12">
        <f>SUBTOTAL(109,Table14[2021–22 P-2 Adjusted ADA Special Education NPS/LCI
Grades 7-8
(B-3*A-1)
C-3])</f>
        <v>0</v>
      </c>
      <c r="BD89" s="12">
        <f>SUBTOTAL(109,Table14[2021–22 P-2 Adjusted ADA Special Education NPS/LCI
Grades 9-12
(B-3*A-1)
C-3])</f>
        <v>0</v>
      </c>
      <c r="BE89" s="12">
        <f>SUBTOTAL(109,Table14[2021–22 P-2 Adjusted ADA Special Education NPS/LCI
Total
(B-3*A-1)
C-3])</f>
        <v>0</v>
      </c>
      <c r="BF89" s="12">
        <f>SUBTOTAL(109,Table14[2021–22 P-2 Adjusted ADA Extended Year Special Education NPS/LCI
Grades TK/K-3
(B-4*A-1)
C-4])</f>
        <v>0</v>
      </c>
      <c r="BG89" s="12">
        <f>SUBTOTAL(109,Table14[2021–22 P-2 Adjusted ADA Extended Year Special Education NPS/LCI
Grades 4-6
(B-4*A-1)
C-4])</f>
        <v>0</v>
      </c>
      <c r="BH89" s="12">
        <f>SUBTOTAL(109,Table14[2021–22 P-2 Adjusted ADA Extended Year Special Education NPS/LCI
Grades 7-8
(B-4*A-1)
C-4])</f>
        <v>0</v>
      </c>
      <c r="BI89" s="12">
        <f>SUBTOTAL(109,Table14[2021–22 P-2 Adjusted ADA Extended Year Special Education NPS/LCI
Grades 9-12
(B-4*A-1)
C-4])</f>
        <v>0</v>
      </c>
      <c r="BJ89" s="12">
        <f>SUBTOTAL(109,Table14[2021–22 P-2 Adjusted ADA Extended Year Special Education NPS/LCI
Total
(B-4*A-1)
C-4])</f>
        <v>0</v>
      </c>
      <c r="BK89" s="12">
        <f>SUBTOTAL(109,Table14[2021–22 P-2 Adjusted ADA Community Day School
Grades TK/K-3
(B-5*A-1)
C-5])</f>
        <v>0</v>
      </c>
      <c r="BL89" s="12">
        <f>SUBTOTAL(109,Table14[2021–22 P-2 Adjusted ADA Community Day School
Grades 4-6
(B-5*A-1)
C-5])</f>
        <v>0</v>
      </c>
      <c r="BM89" s="12">
        <f>SUBTOTAL(109,Table14[2021–22 P-2 Adjusted ADA Community Day School
Grades 7-8
(B-5*A-1)
C-5])</f>
        <v>0</v>
      </c>
      <c r="BN89" s="12">
        <f>SUBTOTAL(109,Table14[2021–22 P-2 Adjusted ADA Community Day School
Grades 9-12
(B-5*A-1)
C-5])</f>
        <v>0</v>
      </c>
      <c r="BO89" s="12">
        <f>SUBTOTAL(109,Table14[2021–22 P-2 Adjusted ADA Community Day School
Total
(B-5*A-1)
C-5])</f>
        <v>0</v>
      </c>
      <c r="BP89" s="12">
        <f>SUBTOTAL(109,Table14[2021–22 P-2 Adjusted ADA Totals
Grades TK/K-3
(Sum of C-1 through C-5)
C-6])</f>
        <v>556.86999999999989</v>
      </c>
      <c r="BQ89" s="12">
        <f>SUBTOTAL(109,Table14[2021–22 P-2 Adjusted ADA Totals
Grades 4-6
(Sum of C-1 through C-5)
C-6])</f>
        <v>423.30999999999995</v>
      </c>
      <c r="BR89" s="12">
        <f>SUBTOTAL(109,Table14[2021–22 P-2 Adjusted ADA Totals
Grades 7-8
(Sum of C-1 through C-5)
C-6])</f>
        <v>238.11</v>
      </c>
      <c r="BS89" s="12">
        <f>SUBTOTAL(109,Table14[2021–22 P-2 Adjusted ADA Totals
Grades 9-12
(Sum of C-1 through C-5)
C-6])</f>
        <v>263.5</v>
      </c>
      <c r="BT89" s="12">
        <f>SUBTOTAL(109,Table14[2021–22 P-2 Adjusted ADA Totals
(Sum of C-1 through C-5)
C-6])</f>
        <v>1481.79</v>
      </c>
      <c r="BU89" s="12">
        <f>SUBTOTAL(109,Table14[2021–22 Annual Regular ADA
Grades TK/K-3
D-1])</f>
        <v>543.52999999999986</v>
      </c>
      <c r="BV89" s="12">
        <f>SUBTOTAL(109,Table14[2021–22 Annual Regular ADA
Grades 4-6
D-1])</f>
        <v>425.28000000000009</v>
      </c>
      <c r="BW89" s="12">
        <f>SUBTOTAL(109,Table14[2021–22 Annual Regular ADA
Grades 7-8
D-1])</f>
        <v>239.35999999999999</v>
      </c>
      <c r="BX89" s="12">
        <f>SUBTOTAL(109,Table14[2021–22 Annual Regular ADA
Grades 9-12
D-1])</f>
        <v>258.19</v>
      </c>
      <c r="BY89" s="12">
        <f>SUBTOTAL(109,Table14[2021–22 Annual Regular ADA
Total
D-1])</f>
        <v>1466.36</v>
      </c>
      <c r="BZ89" s="12">
        <f>SUBTOTAL(109,Table14[2021–22 Annual ADA Extended Year Special Education
Grades TK/K-3
D-2])</f>
        <v>1.1599999999999999</v>
      </c>
      <c r="CA89" s="12">
        <f>SUBTOTAL(109,Table14[2021–22 Annual ADA Extended Year Special Education
Grades 4-6
D-2])</f>
        <v>0.1</v>
      </c>
      <c r="CB89" s="12">
        <f>SUBTOTAL(109,Table14[2021–22 Annual ADA Extended Year Special Education
Grades 7-8
D-2])</f>
        <v>1.03</v>
      </c>
      <c r="CC89" s="12">
        <f>SUBTOTAL(109,Table14[2021–22 Annual ADA Extended Year Special Education
Grades 9-12
D-2])</f>
        <v>0</v>
      </c>
      <c r="CD89" s="12">
        <f>SUBTOTAL(109,Table14[2021–22 Annual ADA Extended Year Special Education
Total
D-2])</f>
        <v>2.29</v>
      </c>
      <c r="CE89" s="12">
        <f>SUBTOTAL(109,Table14[2021–22 Annual ADA Special Education NPS/LCI
Grades TK/K-3
D-3])</f>
        <v>0</v>
      </c>
      <c r="CF89" s="12">
        <f>SUBTOTAL(109,Table14[2021–22 Annual ADA Special Education NPS/LCI
Grades 4-6
D-3])</f>
        <v>0</v>
      </c>
      <c r="CG89" s="12">
        <f>SUBTOTAL(109,Table14[2021–22 Annual ADA Special Education NPS/LCI
Grades 7-8
D-3])</f>
        <v>0</v>
      </c>
      <c r="CH89" s="12">
        <f>SUBTOTAL(109,Table14[2021–22 Annual ADA Special Education NPS/LCI
Grades 9-12
D-3])</f>
        <v>0</v>
      </c>
      <c r="CI89" s="12">
        <f>SUBTOTAL(109,Table14[2021–22 Annual ADA Special Education NPS/LCI
Total
D-3])</f>
        <v>0</v>
      </c>
      <c r="CJ89" s="12">
        <f>SUBTOTAL(109,Table14[2021–22 Annual ADA Extra Extended Year Special Education NPS/LCI
Grades TK/K-3
D-4])</f>
        <v>0</v>
      </c>
      <c r="CK89" s="12">
        <f>SUBTOTAL(109,Table14[2021–22 Annual ADA Extra Extended Year Special Education NPS/LCI
Grades 4-6
D-4])</f>
        <v>0</v>
      </c>
      <c r="CL89" s="12">
        <f>SUBTOTAL(109,Table14[2021–22 Annual ADA Extra Extended Year Special Education NPS/LCI
Grades 7-8
D-4])</f>
        <v>0</v>
      </c>
      <c r="CM89" s="12">
        <f>SUBTOTAL(109,Table14[2021–22 Annual ADA Extra Extended Year Special Education NPS/LCI
Grades 9-12
D-4])</f>
        <v>0</v>
      </c>
      <c r="CN89" s="12">
        <f>SUBTOTAL(109,Table14[2021–22 Annual ADA Extra Extended Year Special Education NPS/LCI
Total
D-4])</f>
        <v>0</v>
      </c>
      <c r="CO89" s="12">
        <f>SUBTOTAL(109,Table14[2021–22 Annual ADA Community Day School
Grades TK/K-3
D-5])</f>
        <v>0</v>
      </c>
      <c r="CP89" s="12">
        <f>SUBTOTAL(109,Table14[2021–22 Annual ADA Community Day School
Grades 4-6
D-5])</f>
        <v>0</v>
      </c>
      <c r="CQ89" s="12">
        <f>SUBTOTAL(109,Table14[2021–22 Annual ADA Community Day School
Grades 7-8
D-5])</f>
        <v>0</v>
      </c>
      <c r="CR89" s="12">
        <f>SUBTOTAL(109,Table14[2021–22 Annual ADA Community Day School
Grades 9-12
D-5])</f>
        <v>0</v>
      </c>
      <c r="CS89" s="12">
        <f>SUBTOTAL(109,Table14[2021–22 Annual ADA Community Day School
Total
D-5])</f>
        <v>0</v>
      </c>
      <c r="CT89" s="12">
        <f>SUBTOTAL(109,Table14[2021–22 Annual ADA Total
Grades TK/K-3
(Sum of D-1 through D-5)
D-6])</f>
        <v>544.68999999999994</v>
      </c>
      <c r="CU89" s="12">
        <f>SUBTOTAL(109,Table14[2021–22 Annual ADA Total
Grades 4-6
(Sum of D-1 through D-5)
D-6])</f>
        <v>425.38</v>
      </c>
      <c r="CV89" s="12">
        <f>SUBTOTAL(109,Table14[2021–22 Annual ADA Total
Grades 7-8
(Sum of D-1 through D-5)
D-6])</f>
        <v>240.38999999999996</v>
      </c>
      <c r="CW89" s="12">
        <f>SUBTOTAL(109,Table14[2021–22 Annual ADA Total
Grades 9-12
(Sum of D-1 through D-5)
D-6])</f>
        <v>258.19</v>
      </c>
      <c r="CX89" s="12">
        <f>SUBTOTAL(109,Table14[2021–22 Annual ADA Total
(Sum of D-1 through D-5)
D-6])</f>
        <v>1468.6499999999999</v>
      </c>
      <c r="CY89" s="12">
        <f>SUBTOTAL(109,Table14[2021–22 Annual Adjusted Reported ADA 
Grades TK/K-3
(D-1*A-1)
E-1])</f>
        <v>553.75</v>
      </c>
      <c r="CZ89" s="12">
        <f>SUBTOTAL(109,Table14[2021–22 Annual Adjusted Reported ADA 
Grades 4-6
(D-1*A-1)
E-1])</f>
        <v>434.36</v>
      </c>
      <c r="DA89" s="12">
        <f>SUBTOTAL(109,Table14[2021–22 Annual Adjusted Reported ADA 
Grades 7-8
(D-1*A-1)
E-1])</f>
        <v>243.34000000000003</v>
      </c>
      <c r="DB89" s="12">
        <f>SUBTOTAL(109,Table14[2021–22 Annual Adjusted Reported ADA 
Grades 9-12
(D-1*A-1)
E-1])</f>
        <v>265.35000000000002</v>
      </c>
      <c r="DC89" s="12">
        <f>SUBTOTAL(109,Table14[2021–22 Annual Adjusted Reported ADA 
Total
(D-1*A-1)
E-1])</f>
        <v>1496.8</v>
      </c>
      <c r="DD89" s="12">
        <f>SUBTOTAL(109,Table14[2021–22 Annual Adjusted Extended Year Special Education
Grades TK/K-3
(D-2*A-1)
E-2])</f>
        <v>1.1599999999999999</v>
      </c>
      <c r="DE89" s="12">
        <f>SUBTOTAL(109,Table14[2021–22 Annual Adjusted Extended Year Special Education
Grades 4-6
(D-2*A-1)
E-2])</f>
        <v>0.1</v>
      </c>
      <c r="DF89" s="12">
        <f>SUBTOTAL(109,Table14[2021–22 Annual Adjusted Extended Year Special Education
Grades 7-8
(D-2*A-1)
E-2])</f>
        <v>1.03</v>
      </c>
      <c r="DG89" s="12">
        <f>SUBTOTAL(109,Table14[2021–22 Annual Adjusted Extended Year Special Education
Grades 9-12
(D-2*A-1)
E-2])</f>
        <v>0</v>
      </c>
      <c r="DH89" s="12">
        <f>SUBTOTAL(109,Table14[2021–22 Annual Adjusted Extended Year Special Education
Total
(D-2*A-1)
E-2])</f>
        <v>2.29</v>
      </c>
      <c r="DI89" s="12">
        <f>SUBTOTAL(109,Table14[2021–22 Annual Adjusted Special Education - NPS/LCI
Grades TK/K-3
(D-3*A-1)
E-3])</f>
        <v>0</v>
      </c>
      <c r="DJ89" s="12">
        <f>SUBTOTAL(109,Table14[2021–22 Annual Adjusted Special Education - NPS/LCI
Grades 4-6
(D-3*A-1)
E-3])</f>
        <v>0</v>
      </c>
      <c r="DK89" s="12">
        <f>SUBTOTAL(109,Table14[2021–22 Annual Adjusted Special Education - NPS/LCI
Grades 7-8
(D-3*A-1)
E-3])</f>
        <v>0</v>
      </c>
      <c r="DL89" s="12">
        <f>SUBTOTAL(109,Table14[2021–22 Annual Adjusted Special Education - NPS/LCI
Grades 9-12
(D-3*A-1)
E-3])</f>
        <v>0</v>
      </c>
      <c r="DM89" s="12">
        <f>SUBTOTAL(109,Table14[2021–22 Annual Adjusted Special Education - NPS/LCI
Total
(D-3*A-1)
E-3])</f>
        <v>0</v>
      </c>
      <c r="DN89" s="12">
        <f>SUBTOTAL(109,Table14[2021–22 Annual Adjusted Extended Year Special Education NPS/LCI
Grades TK/K-3
(D-4*A-1)
E-4])</f>
        <v>0</v>
      </c>
      <c r="DO89" s="12">
        <f>SUBTOTAL(109,Table14[2021–22 Annual Adjusted Extended Year Special Education NPS/LCI
Grades 4-6
(D-4*A-1)
E-4])</f>
        <v>0</v>
      </c>
      <c r="DP89" s="12">
        <f>SUBTOTAL(109,Table14[2021–22 Annual Adjusted Extended Year Special Education NPS/LCI
Grades 7-8
(D-4*A-1)
E-4])</f>
        <v>0</v>
      </c>
      <c r="DQ89" s="12">
        <f>SUBTOTAL(109,Table14[2021–22 Annual Adjusted Extended Year Special Education NPS/LCI
Grades 9-12
(D-4*A-1)
E-4])</f>
        <v>0</v>
      </c>
      <c r="DR89" s="12">
        <f>SUBTOTAL(109,Table14[2021–22 Annual Adjusted Extended Year Special Education NPS/LCI
Total
(D-4*A-1)
E-4])</f>
        <v>0</v>
      </c>
      <c r="DS89" s="12">
        <f>SUBTOTAL(109,Table14[2021–22 Annual Adjusted Community Day School
Grades TK/K-3
(D-4*A-1)
E-5])</f>
        <v>0</v>
      </c>
      <c r="DT89" s="12">
        <f>SUBTOTAL(109,Table14[2021–22 Annual Adjusted Community Day School
Grades 4-6
(D-4*A-1)
E-5])</f>
        <v>0</v>
      </c>
      <c r="DU89" s="12">
        <f>SUBTOTAL(109,Table14[2021–22 Annual Adjusted Community Day School
Grades 7-8
(D-4*A-1)
E-5])</f>
        <v>0</v>
      </c>
      <c r="DV89" s="12">
        <f>SUBTOTAL(109,Table14[2021–22 Annual Adjusted Community Day School
Grades 9-12
(D-4*A-1)
E-5])</f>
        <v>0</v>
      </c>
      <c r="DW89" s="12">
        <f>SUBTOTAL(109,Table14[2021–22 Annual Adjusted Community Day School
Total
(D-4*A-1)
E-5])</f>
        <v>0</v>
      </c>
      <c r="DX89" s="12">
        <f>SUBTOTAL(109,Table14[2021–22 Annual Adjusted ADA Total 
Grades TK/K-3
(Sum of E-1 through E-5)
E-6])</f>
        <v>554.91</v>
      </c>
      <c r="DY89" s="12">
        <f>SUBTOTAL(109,Table14[2021–22 Annual Adjusted ADA Total 
Grades 4-6
(Sum of E-1 through E-5)
E-6])</f>
        <v>434.46000000000004</v>
      </c>
      <c r="DZ89" s="12">
        <f>SUBTOTAL(109,Table14[2021–22 Annual Adjusted ADA Total 
Grades 7-8
(Sum of E-1 through E-5)
E-6])</f>
        <v>244.37</v>
      </c>
      <c r="EA89" s="12">
        <f>SUBTOTAL(109,Table14[2021–22 Annual Adjusted ADA Total 
Grades 9-12
(Sum of E-1 through E-5)
E-6])</f>
        <v>265.35000000000002</v>
      </c>
      <c r="EB89" s="12">
        <f>SUBTOTAL(109,Table14[2021–22 Annual Adjusted ADA 
Total
(Sum of E-1 through E-5)
E-6])</f>
        <v>1499.09</v>
      </c>
    </row>
    <row r="90" spans="1:132" x14ac:dyDescent="0.35">
      <c r="A90" s="3" t="s">
        <v>2</v>
      </c>
    </row>
    <row r="91" spans="1:132" x14ac:dyDescent="0.35">
      <c r="A91" t="s">
        <v>1</v>
      </c>
    </row>
    <row r="92" spans="1:132" x14ac:dyDescent="0.35">
      <c r="A92" t="s">
        <v>0</v>
      </c>
    </row>
    <row r="93" spans="1:132" x14ac:dyDescent="0.35">
      <c r="A93" s="2" t="s">
        <v>264</v>
      </c>
    </row>
  </sheetData>
  <pageMargins left="0.7" right="0.7" top="0.75" bottom="0.75" header="0.3" footer="0.3"/>
  <pageSetup orientation="portrait" r:id="rId1"/>
  <ignoredErrors>
    <ignoredError sqref="A5:EB13 A16:EB88 A14:F14 H14:EB14 A15:F15 H15:EB15 G14:G1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ADA LM BA 21-22 AN R2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 Basic Aid School District - Principal Apportionment (CA Dept of Education)</dc:title>
  <dc:subject>The detail of 2021-22 Loss Mitigation (LM) Basic Aid Choice/Court Ordered Voluntary Pupil Transfer (COVPT)/Supplement School District ADA adjusted pursuant to Education Code Section 42238.023, for the 2021–22 Second Annual Recertification (AN R2) Principal Apportionment.</dc:subject>
  <dc:creator/>
  <cp:lastModifiedBy/>
  <dcterms:created xsi:type="dcterms:W3CDTF">2024-02-13T16:23:33Z</dcterms:created>
  <dcterms:modified xsi:type="dcterms:W3CDTF">2024-02-16T16:04:21Z</dcterms:modified>
</cp:coreProperties>
</file>