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04668D0A-F4F5-408E-8FBE-25BB77DC823D}" xr6:coauthVersionLast="47" xr6:coauthVersionMax="47" xr10:uidLastSave="{00000000-0000-0000-0000-000000000000}"/>
  <bookViews>
    <workbookView xWindow="32580" yWindow="330" windowWidth="20370" windowHeight="12420" tabRatio="872" xr2:uid="{00000000-000D-0000-FFFF-FFFF00000000}"/>
  </bookViews>
  <sheets>
    <sheet name="County Totals" sheetId="97" r:id="rId1"/>
    <sheet name="Alameda" sheetId="13" r:id="rId2"/>
    <sheet name="Amador" sheetId="14" r:id="rId3"/>
    <sheet name="Butte" sheetId="15" r:id="rId4"/>
    <sheet name="Calaveras" sheetId="16" r:id="rId5"/>
    <sheet name="Colusa" sheetId="17" r:id="rId6"/>
    <sheet name="Contra Costa" sheetId="18" r:id="rId7"/>
    <sheet name="Del Norte" sheetId="19" r:id="rId8"/>
    <sheet name="El Dorado" sheetId="20" r:id="rId9"/>
    <sheet name="Fresno" sheetId="21" r:id="rId10"/>
    <sheet name="Glenn" sheetId="22" r:id="rId11"/>
    <sheet name="Humboldt" sheetId="23" r:id="rId12"/>
    <sheet name="Imperial" sheetId="24" r:id="rId13"/>
    <sheet name="Inyo" sheetId="67" r:id="rId14"/>
    <sheet name="Kern" sheetId="25" r:id="rId15"/>
    <sheet name="Kings" sheetId="26" r:id="rId16"/>
    <sheet name="Lake" sheetId="27" r:id="rId17"/>
    <sheet name="Lassen" sheetId="28" r:id="rId18"/>
    <sheet name="Los Angeles" sheetId="29" r:id="rId19"/>
    <sheet name="Los Angeles Unified" sheetId="96" r:id="rId20"/>
    <sheet name="Madera" sheetId="30" r:id="rId21"/>
    <sheet name="Marin" sheetId="31" r:id="rId22"/>
    <sheet name="Mendocino" sheetId="32" r:id="rId23"/>
    <sheet name="Merced" sheetId="33" r:id="rId24"/>
    <sheet name="Mono" sheetId="34" r:id="rId25"/>
    <sheet name="Monterey" sheetId="35" r:id="rId26"/>
    <sheet name="Napa" sheetId="36" r:id="rId27"/>
    <sheet name="Nevada" sheetId="37" r:id="rId28"/>
    <sheet name="Orange" sheetId="38" r:id="rId29"/>
    <sheet name="Placer" sheetId="94" r:id="rId30"/>
    <sheet name="Plumas" sheetId="41" r:id="rId31"/>
    <sheet name="Riverside" sheetId="70" r:id="rId32"/>
    <sheet name="Sacramento" sheetId="71" r:id="rId33"/>
    <sheet name="San Benito" sheetId="72" r:id="rId34"/>
    <sheet name="San Bernardino" sheetId="73" r:id="rId35"/>
    <sheet name="San Diego" sheetId="74" r:id="rId36"/>
    <sheet name="San Francisco" sheetId="75" r:id="rId37"/>
    <sheet name="San Joaquin" sheetId="76" r:id="rId38"/>
    <sheet name="San Luis Obispo" sheetId="77" r:id="rId39"/>
    <sheet name="San Mateo" sheetId="78" r:id="rId40"/>
    <sheet name="Santa Barbara" sheetId="79" r:id="rId41"/>
    <sheet name="Santa Clara" sheetId="80" r:id="rId42"/>
    <sheet name="Santa Cruz" sheetId="81" r:id="rId43"/>
    <sheet name="Shasta" sheetId="85" r:id="rId44"/>
    <sheet name="Sierra" sheetId="84" r:id="rId45"/>
    <sheet name="Siskiyou" sheetId="83" r:id="rId46"/>
    <sheet name="Solano" sheetId="82" r:id="rId47"/>
    <sheet name="Sonoma" sheetId="86" r:id="rId48"/>
    <sheet name="Stanislaus" sheetId="87" r:id="rId49"/>
    <sheet name="Sutter" sheetId="88" r:id="rId50"/>
    <sheet name="Tehama" sheetId="89" r:id="rId51"/>
    <sheet name="Tulare" sheetId="90" r:id="rId52"/>
    <sheet name="Tuolumne" sheetId="98" r:id="rId53"/>
    <sheet name="Ventura" sheetId="91" r:id="rId54"/>
    <sheet name="Yolo" sheetId="92" r:id="rId55"/>
    <sheet name="Yuba" sheetId="93" r:id="rId56"/>
  </sheets>
  <externalReferences>
    <externalReference r:id="rId57"/>
  </externalReferences>
  <definedNames>
    <definedName name="Alameda" localSheetId="0">Table2[#Data]</definedName>
    <definedName name="Alameda" localSheetId="29">Table2[]</definedName>
    <definedName name="Alameda" localSheetId="52">[1]!Table2[#Data]</definedName>
    <definedName name="Alameda">Table2[]</definedName>
    <definedName name="Placer" localSheetId="0">Placer1[#Data]</definedName>
    <definedName name="Placer" localSheetId="52">[1]!Placer1[#Data]</definedName>
    <definedName name="Placer">Placer1[]</definedName>
    <definedName name="TableAlameda" localSheetId="0">Table2[#Data]</definedName>
    <definedName name="TableAlameda" localSheetId="29">Table2[]</definedName>
    <definedName name="TableAlameda" localSheetId="52">[1]!Table2[#Data]</definedName>
    <definedName name="TableAlameda">Table2[]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35" l="1"/>
  <c r="AA22" i="97"/>
  <c r="Z51" i="29"/>
  <c r="AA5" i="97"/>
  <c r="AA6" i="97"/>
  <c r="AA7" i="97"/>
  <c r="AA8" i="97"/>
  <c r="AA9" i="97"/>
  <c r="AA10" i="97"/>
  <c r="AA11" i="97"/>
  <c r="AA12" i="97"/>
  <c r="AA13" i="97"/>
  <c r="AA14" i="97"/>
  <c r="AA15" i="97"/>
  <c r="AA16" i="97"/>
  <c r="AA17" i="97"/>
  <c r="AA18" i="97"/>
  <c r="AA19" i="97"/>
  <c r="AA20" i="97"/>
  <c r="AA21" i="97"/>
  <c r="AA23" i="97"/>
  <c r="AA24" i="97"/>
  <c r="AA25" i="97"/>
  <c r="AA26" i="97"/>
  <c r="AA27" i="97"/>
  <c r="AA28" i="97"/>
  <c r="AA29" i="97"/>
  <c r="AA30" i="97"/>
  <c r="AA31" i="97"/>
  <c r="AA32" i="97"/>
  <c r="AA33" i="97"/>
  <c r="AA35" i="97"/>
  <c r="AA36" i="97"/>
  <c r="AA37" i="97"/>
  <c r="AA38" i="97"/>
  <c r="AA39" i="97"/>
  <c r="AA40" i="97"/>
  <c r="AA41" i="97"/>
  <c r="AA42" i="97"/>
  <c r="AA43" i="97"/>
  <c r="AA44" i="97"/>
  <c r="AA45" i="97"/>
  <c r="AA46" i="97"/>
  <c r="AA47" i="97"/>
  <c r="AA48" i="97"/>
  <c r="AA49" i="97"/>
  <c r="AA50" i="97"/>
  <c r="AA51" i="97"/>
  <c r="AA52" i="97"/>
  <c r="AA53" i="97"/>
  <c r="AA54" i="97"/>
  <c r="AA55" i="97"/>
  <c r="AA56" i="97"/>
  <c r="AA57" i="97"/>
  <c r="AA58" i="97"/>
  <c r="Z5" i="98"/>
  <c r="Y5" i="98"/>
  <c r="X5" i="98"/>
  <c r="W5" i="98"/>
  <c r="V5" i="98"/>
  <c r="U5" i="98"/>
  <c r="T5" i="98"/>
  <c r="S5" i="98"/>
  <c r="R5" i="98"/>
  <c r="Q5" i="98"/>
  <c r="P5" i="98"/>
  <c r="O5" i="98"/>
  <c r="N5" i="98"/>
  <c r="M5" i="98"/>
  <c r="L5" i="98"/>
  <c r="K5" i="98"/>
  <c r="J5" i="98"/>
  <c r="I5" i="98"/>
  <c r="H5" i="98"/>
  <c r="G5" i="98"/>
  <c r="F5" i="98"/>
  <c r="E5" i="98"/>
  <c r="D5" i="98"/>
  <c r="C5" i="98"/>
  <c r="Z66" i="29" l="1"/>
  <c r="Z6" i="91" l="1"/>
  <c r="Z7" i="91"/>
  <c r="Z7" i="90"/>
  <c r="Z8" i="90"/>
  <c r="Z9" i="90"/>
  <c r="Z20" i="70"/>
  <c r="Z21" i="70"/>
  <c r="Z22" i="70"/>
  <c r="Z23" i="70"/>
  <c r="Z24" i="70"/>
  <c r="Z4" i="34"/>
  <c r="Z3" i="34"/>
  <c r="Z4" i="33"/>
  <c r="Z5" i="33"/>
  <c r="Z6" i="33"/>
  <c r="Z7" i="33"/>
  <c r="Z8" i="33"/>
  <c r="Z9" i="33"/>
  <c r="Z10" i="33"/>
  <c r="Z3" i="33"/>
  <c r="Z4" i="32"/>
  <c r="Z5" i="32"/>
  <c r="Z6" i="32"/>
  <c r="Z3" i="32"/>
  <c r="Z4" i="30"/>
  <c r="Z3" i="29" l="1"/>
  <c r="Z89" i="29"/>
  <c r="Z90" i="29"/>
  <c r="Z92" i="29"/>
  <c r="Z61" i="29"/>
  <c r="Z62" i="29"/>
  <c r="Z63" i="29"/>
  <c r="Z64" i="29"/>
  <c r="Z65" i="29"/>
  <c r="Z68" i="29"/>
  <c r="Z56" i="29"/>
  <c r="Z57" i="29"/>
  <c r="Z58" i="29"/>
  <c r="Z59" i="29"/>
  <c r="Z60" i="29"/>
  <c r="Z67" i="29"/>
  <c r="Z69" i="29"/>
  <c r="Z70" i="29"/>
  <c r="Z71" i="29"/>
  <c r="Z72" i="29"/>
  <c r="Z73" i="29"/>
  <c r="Z74" i="29"/>
  <c r="Z75" i="29"/>
  <c r="Z76" i="29"/>
  <c r="Z77" i="29"/>
  <c r="Z48" i="29"/>
  <c r="Z49" i="29"/>
  <c r="Z50" i="29"/>
  <c r="Z52" i="29"/>
  <c r="Z53" i="29"/>
  <c r="Z54" i="29"/>
  <c r="Z55" i="29"/>
  <c r="Z78" i="29"/>
  <c r="Z79" i="29"/>
  <c r="Z80" i="29"/>
  <c r="Z81" i="29"/>
  <c r="Z82" i="29"/>
  <c r="Z83" i="29"/>
  <c r="Z84" i="29"/>
  <c r="Z85" i="29"/>
  <c r="Z86" i="29"/>
  <c r="Z3" i="27"/>
  <c r="Z4" i="26"/>
  <c r="Z5" i="25"/>
  <c r="Z4" i="25"/>
  <c r="Z8" i="25"/>
  <c r="Z9" i="25"/>
  <c r="Z10" i="25"/>
  <c r="Z5" i="24"/>
  <c r="Z6" i="24"/>
  <c r="Z3" i="22"/>
  <c r="Z4" i="22"/>
  <c r="Z19" i="21"/>
  <c r="Z3" i="18"/>
  <c r="Z4" i="18"/>
  <c r="Z6" i="18"/>
  <c r="Z7" i="18"/>
  <c r="Z19" i="13" l="1"/>
  <c r="Z20" i="13"/>
  <c r="Z21" i="13"/>
  <c r="Z22" i="13"/>
  <c r="Z23" i="13"/>
  <c r="Z24" i="13"/>
  <c r="Z25" i="13"/>
  <c r="Z26" i="13"/>
  <c r="C4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C59" i="97"/>
  <c r="B59" i="97"/>
  <c r="U59" i="97"/>
  <c r="M59" i="97"/>
  <c r="E59" i="97"/>
  <c r="F59" i="97" l="1"/>
  <c r="N59" i="97"/>
  <c r="V59" i="97"/>
  <c r="H59" i="97"/>
  <c r="P59" i="97"/>
  <c r="X59" i="97"/>
  <c r="W59" i="97"/>
  <c r="I59" i="97"/>
  <c r="Q59" i="97"/>
  <c r="Y59" i="97"/>
  <c r="G59" i="97"/>
  <c r="J59" i="97"/>
  <c r="R59" i="97"/>
  <c r="Z59" i="97"/>
  <c r="K59" i="97"/>
  <c r="S59" i="97"/>
  <c r="L59" i="97"/>
  <c r="T59" i="97"/>
  <c r="O59" i="97"/>
  <c r="D59" i="97"/>
  <c r="U11" i="81"/>
  <c r="Z12" i="90"/>
  <c r="Z13" i="90"/>
  <c r="Z5" i="93"/>
  <c r="AA59" i="97" l="1"/>
  <c r="Z5" i="85"/>
  <c r="O6" i="75" l="1"/>
  <c r="Z12" i="70" l="1"/>
  <c r="Z13" i="70"/>
  <c r="Z14" i="70"/>
  <c r="Z15" i="70"/>
  <c r="Z17" i="70"/>
  <c r="Z18" i="70"/>
  <c r="Z19" i="70"/>
  <c r="Z6" i="26"/>
  <c r="Z17" i="21"/>
  <c r="Z18" i="21"/>
  <c r="Z20" i="21"/>
  <c r="Z3" i="20"/>
  <c r="Z4" i="20"/>
  <c r="Z5" i="20"/>
  <c r="Z5" i="18"/>
  <c r="Z9" i="18"/>
  <c r="Z5" i="17"/>
  <c r="Z6" i="17"/>
  <c r="Z4" i="17"/>
  <c r="Z8" i="13"/>
  <c r="Z9" i="13"/>
  <c r="Z10" i="13"/>
  <c r="Z11" i="13"/>
  <c r="Z4" i="90" l="1"/>
  <c r="Z5" i="90"/>
  <c r="Z6" i="90"/>
  <c r="Z10" i="90"/>
  <c r="Z11" i="90"/>
  <c r="Z3" i="90"/>
  <c r="Z3" i="72"/>
  <c r="Z4" i="31"/>
  <c r="Z5" i="31"/>
  <c r="Z6" i="31"/>
  <c r="Z3" i="31"/>
  <c r="Z3" i="28"/>
  <c r="Z4" i="27"/>
  <c r="Z6" i="25"/>
  <c r="Z7" i="25"/>
  <c r="Z11" i="25"/>
  <c r="Z12" i="25"/>
  <c r="Z3" i="25"/>
  <c r="Z3" i="67"/>
  <c r="Z4" i="24"/>
  <c r="Z7" i="24"/>
  <c r="Z3" i="24"/>
  <c r="Z4" i="23"/>
  <c r="Z5" i="23"/>
  <c r="Z6" i="23"/>
  <c r="Z7" i="23"/>
  <c r="Z3" i="23"/>
  <c r="Z5" i="22"/>
  <c r="Z3" i="19"/>
  <c r="Z3" i="17"/>
  <c r="Z4" i="16"/>
  <c r="Z3" i="16"/>
  <c r="Z4" i="15"/>
  <c r="Z5" i="15"/>
  <c r="Z6" i="15"/>
  <c r="Z7" i="15"/>
  <c r="Z3" i="15"/>
  <c r="Z3" i="14"/>
  <c r="Z4" i="13"/>
  <c r="Z5" i="13"/>
  <c r="Z6" i="13"/>
  <c r="Z7" i="13"/>
  <c r="Z12" i="13"/>
  <c r="Z13" i="13"/>
  <c r="Z14" i="13"/>
  <c r="Z15" i="13"/>
  <c r="Z16" i="13"/>
  <c r="Z17" i="13"/>
  <c r="Z18" i="13"/>
  <c r="Z3" i="13"/>
  <c r="Z5" i="30"/>
  <c r="Z6" i="30"/>
  <c r="Z3" i="30"/>
  <c r="Z5" i="26"/>
  <c r="Z3" i="26"/>
  <c r="Z10" i="18"/>
  <c r="Z11" i="18"/>
  <c r="Z12" i="18"/>
  <c r="Z13" i="18"/>
  <c r="Z14" i="18"/>
  <c r="Z15" i="18"/>
  <c r="Z8" i="18"/>
  <c r="Z4" i="93"/>
  <c r="Z3" i="93"/>
  <c r="Z4" i="92"/>
  <c r="Z5" i="92"/>
  <c r="Z6" i="92"/>
  <c r="Z7" i="92"/>
  <c r="Z3" i="92"/>
  <c r="Z4" i="91"/>
  <c r="Z5" i="91"/>
  <c r="Z8" i="91"/>
  <c r="Z9" i="91"/>
  <c r="Z10" i="91"/>
  <c r="Z11" i="91"/>
  <c r="Z3" i="91"/>
  <c r="Z3" i="70"/>
  <c r="Z4" i="70"/>
  <c r="Z5" i="70"/>
  <c r="Z6" i="70"/>
  <c r="Z7" i="70"/>
  <c r="Z8" i="70"/>
  <c r="Z9" i="70"/>
  <c r="Z10" i="70"/>
  <c r="Z11" i="70"/>
  <c r="Z5" i="29"/>
  <c r="Z6" i="29"/>
  <c r="Z7" i="29"/>
  <c r="Z8" i="29"/>
  <c r="Z9" i="29"/>
  <c r="Z10" i="29"/>
  <c r="Z11" i="29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87" i="29"/>
  <c r="Z88" i="29"/>
  <c r="Z91" i="29"/>
  <c r="Z93" i="29"/>
  <c r="Z94" i="29"/>
  <c r="Z95" i="29"/>
  <c r="Z96" i="29"/>
  <c r="Z4" i="29"/>
  <c r="Z4" i="21"/>
  <c r="Z5" i="21"/>
  <c r="Z6" i="21"/>
  <c r="Z7" i="21"/>
  <c r="Z8" i="21"/>
  <c r="Z9" i="21"/>
  <c r="Z10" i="21"/>
  <c r="Z11" i="21"/>
  <c r="Z12" i="21"/>
  <c r="Z13" i="21"/>
  <c r="Z14" i="21"/>
  <c r="Z15" i="21"/>
  <c r="Z16" i="21"/>
  <c r="Z3" i="21"/>
  <c r="D25" i="70"/>
  <c r="C25" i="70"/>
  <c r="X25" i="70"/>
  <c r="Y25" i="70"/>
  <c r="Z21" i="21" l="1"/>
  <c r="Z97" i="29"/>
  <c r="Z27" i="13" l="1"/>
  <c r="J6" i="20" l="1"/>
  <c r="Y9" i="94" l="1"/>
  <c r="X9" i="94"/>
  <c r="W9" i="94"/>
  <c r="V9" i="94"/>
  <c r="U9" i="94"/>
  <c r="T9" i="94"/>
  <c r="S9" i="94"/>
  <c r="R9" i="94"/>
  <c r="Q9" i="94"/>
  <c r="P9" i="94"/>
  <c r="O9" i="94"/>
  <c r="N9" i="94"/>
  <c r="M9" i="94"/>
  <c r="L9" i="94"/>
  <c r="K9" i="94"/>
  <c r="J9" i="94"/>
  <c r="I9" i="94"/>
  <c r="H9" i="94"/>
  <c r="G9" i="94"/>
  <c r="F9" i="94"/>
  <c r="E9" i="94"/>
  <c r="D9" i="94"/>
  <c r="C9" i="94"/>
  <c r="Z9" i="94"/>
  <c r="Y6" i="93" l="1"/>
  <c r="X6" i="93"/>
  <c r="W6" i="93"/>
  <c r="V6" i="93"/>
  <c r="U6" i="93"/>
  <c r="T6" i="93"/>
  <c r="S6" i="93"/>
  <c r="R6" i="93"/>
  <c r="Q6" i="93"/>
  <c r="P6" i="93"/>
  <c r="O6" i="93"/>
  <c r="N6" i="93"/>
  <c r="M6" i="93"/>
  <c r="L6" i="93"/>
  <c r="K6" i="93"/>
  <c r="J6" i="93"/>
  <c r="I6" i="93"/>
  <c r="H6" i="93"/>
  <c r="G6" i="93"/>
  <c r="F6" i="93"/>
  <c r="E6" i="93"/>
  <c r="D6" i="93"/>
  <c r="C6" i="93"/>
  <c r="Y8" i="92"/>
  <c r="X8" i="92"/>
  <c r="W8" i="92"/>
  <c r="V8" i="92"/>
  <c r="U8" i="92"/>
  <c r="T8" i="92"/>
  <c r="S8" i="92"/>
  <c r="R8" i="92"/>
  <c r="Q8" i="92"/>
  <c r="P8" i="92"/>
  <c r="O8" i="92"/>
  <c r="N8" i="92"/>
  <c r="M8" i="92"/>
  <c r="L8" i="92"/>
  <c r="K8" i="92"/>
  <c r="J8" i="92"/>
  <c r="I8" i="92"/>
  <c r="H8" i="92"/>
  <c r="G8" i="92"/>
  <c r="F8" i="92"/>
  <c r="E8" i="92"/>
  <c r="D8" i="92"/>
  <c r="C8" i="92"/>
  <c r="Y12" i="91"/>
  <c r="X12" i="91"/>
  <c r="W12" i="91"/>
  <c r="V12" i="91"/>
  <c r="U12" i="91"/>
  <c r="T12" i="91"/>
  <c r="S12" i="91"/>
  <c r="R12" i="91"/>
  <c r="Q12" i="91"/>
  <c r="P12" i="91"/>
  <c r="O12" i="91"/>
  <c r="N12" i="91"/>
  <c r="M12" i="91"/>
  <c r="L12" i="91"/>
  <c r="K12" i="91"/>
  <c r="J12" i="91"/>
  <c r="I12" i="91"/>
  <c r="H12" i="91"/>
  <c r="G12" i="91"/>
  <c r="F12" i="91"/>
  <c r="E12" i="91"/>
  <c r="D12" i="91"/>
  <c r="C12" i="91"/>
  <c r="Y14" i="90"/>
  <c r="X14" i="90"/>
  <c r="W14" i="90"/>
  <c r="V14" i="90"/>
  <c r="U14" i="90"/>
  <c r="T14" i="90"/>
  <c r="S14" i="90"/>
  <c r="R14" i="90"/>
  <c r="Q14" i="90"/>
  <c r="P14" i="90"/>
  <c r="O14" i="90"/>
  <c r="N14" i="90"/>
  <c r="M14" i="90"/>
  <c r="L14" i="90"/>
  <c r="K14" i="90"/>
  <c r="J14" i="90"/>
  <c r="I14" i="90"/>
  <c r="H14" i="90"/>
  <c r="G14" i="90"/>
  <c r="F14" i="90"/>
  <c r="E14" i="90"/>
  <c r="D14" i="90"/>
  <c r="C14" i="90"/>
  <c r="Y6" i="89"/>
  <c r="X6" i="89"/>
  <c r="W6" i="89"/>
  <c r="V6" i="89"/>
  <c r="U6" i="89"/>
  <c r="T6" i="89"/>
  <c r="S6" i="89"/>
  <c r="R6" i="89"/>
  <c r="Q6" i="89"/>
  <c r="P6" i="89"/>
  <c r="O6" i="89"/>
  <c r="N6" i="89"/>
  <c r="M6" i="89"/>
  <c r="L6" i="89"/>
  <c r="K6" i="89"/>
  <c r="J6" i="89"/>
  <c r="I6" i="89"/>
  <c r="H6" i="89"/>
  <c r="G6" i="89"/>
  <c r="F6" i="89"/>
  <c r="E6" i="89"/>
  <c r="D6" i="89"/>
  <c r="C6" i="89"/>
  <c r="Y9" i="88"/>
  <c r="X9" i="88"/>
  <c r="W9" i="88"/>
  <c r="V9" i="88"/>
  <c r="U9" i="88"/>
  <c r="T9" i="88"/>
  <c r="S9" i="88"/>
  <c r="R9" i="88"/>
  <c r="Q9" i="88"/>
  <c r="P9" i="88"/>
  <c r="O9" i="88"/>
  <c r="N9" i="88"/>
  <c r="M9" i="88"/>
  <c r="L9" i="88"/>
  <c r="K9" i="88"/>
  <c r="J9" i="88"/>
  <c r="I9" i="88"/>
  <c r="H9" i="88"/>
  <c r="G9" i="88"/>
  <c r="F9" i="88"/>
  <c r="E9" i="88"/>
  <c r="D9" i="88"/>
  <c r="C9" i="88"/>
  <c r="Y12" i="87"/>
  <c r="X12" i="87"/>
  <c r="W12" i="87"/>
  <c r="V12" i="87"/>
  <c r="U12" i="87"/>
  <c r="T12" i="87"/>
  <c r="S12" i="87"/>
  <c r="R12" i="87"/>
  <c r="Q12" i="87"/>
  <c r="P12" i="87"/>
  <c r="O12" i="87"/>
  <c r="N12" i="87"/>
  <c r="M12" i="87"/>
  <c r="L12" i="87"/>
  <c r="K12" i="87"/>
  <c r="J12" i="87"/>
  <c r="I12" i="87"/>
  <c r="H12" i="87"/>
  <c r="G12" i="87"/>
  <c r="F12" i="87"/>
  <c r="E12" i="87"/>
  <c r="D12" i="87"/>
  <c r="C12" i="87"/>
  <c r="Y13" i="86"/>
  <c r="X13" i="86"/>
  <c r="W13" i="86"/>
  <c r="V13" i="86"/>
  <c r="U13" i="86"/>
  <c r="T13" i="86"/>
  <c r="S13" i="86"/>
  <c r="R13" i="86"/>
  <c r="Q13" i="86"/>
  <c r="P13" i="86"/>
  <c r="O13" i="86"/>
  <c r="N13" i="86"/>
  <c r="M13" i="86"/>
  <c r="L13" i="86"/>
  <c r="K13" i="86"/>
  <c r="J13" i="86"/>
  <c r="I13" i="86"/>
  <c r="H13" i="86"/>
  <c r="G13" i="86"/>
  <c r="F13" i="86"/>
  <c r="E13" i="86"/>
  <c r="D13" i="86"/>
  <c r="C13" i="86"/>
  <c r="Y5" i="85"/>
  <c r="X5" i="85"/>
  <c r="W5" i="85"/>
  <c r="V5" i="85"/>
  <c r="U5" i="85"/>
  <c r="T5" i="85"/>
  <c r="S5" i="85"/>
  <c r="R5" i="85"/>
  <c r="Q5" i="85"/>
  <c r="P5" i="85"/>
  <c r="O5" i="85"/>
  <c r="N5" i="85"/>
  <c r="M5" i="85"/>
  <c r="L5" i="85"/>
  <c r="K5" i="85"/>
  <c r="J5" i="85"/>
  <c r="I5" i="85"/>
  <c r="H5" i="85"/>
  <c r="G5" i="85"/>
  <c r="F5" i="85"/>
  <c r="E5" i="85"/>
  <c r="D5" i="85"/>
  <c r="C5" i="85"/>
  <c r="Y4" i="84"/>
  <c r="X4" i="84"/>
  <c r="W4" i="84"/>
  <c r="V4" i="84"/>
  <c r="U4" i="84"/>
  <c r="T4" i="84"/>
  <c r="S4" i="84"/>
  <c r="R4" i="84"/>
  <c r="Q4" i="84"/>
  <c r="P4" i="84"/>
  <c r="O4" i="84"/>
  <c r="N4" i="84"/>
  <c r="M4" i="84"/>
  <c r="L4" i="84"/>
  <c r="K4" i="84"/>
  <c r="J4" i="84"/>
  <c r="I4" i="84"/>
  <c r="H4" i="84"/>
  <c r="G4" i="84"/>
  <c r="F4" i="84"/>
  <c r="E4" i="84"/>
  <c r="D4" i="84"/>
  <c r="C4" i="84"/>
  <c r="Z4" i="84"/>
  <c r="Y4" i="83"/>
  <c r="X4" i="83"/>
  <c r="W4" i="83"/>
  <c r="V4" i="83"/>
  <c r="U4" i="83"/>
  <c r="T4" i="83"/>
  <c r="S4" i="83"/>
  <c r="R4" i="83"/>
  <c r="Q4" i="83"/>
  <c r="P4" i="83"/>
  <c r="O4" i="83"/>
  <c r="N4" i="83"/>
  <c r="M4" i="83"/>
  <c r="L4" i="83"/>
  <c r="K4" i="83"/>
  <c r="J4" i="83"/>
  <c r="I4" i="83"/>
  <c r="H4" i="83"/>
  <c r="G4" i="83"/>
  <c r="F4" i="83"/>
  <c r="E4" i="83"/>
  <c r="D4" i="83"/>
  <c r="C4" i="83"/>
  <c r="Z4" i="83"/>
  <c r="Y11" i="82"/>
  <c r="X11" i="82"/>
  <c r="W11" i="82"/>
  <c r="V11" i="82"/>
  <c r="U11" i="82"/>
  <c r="T11" i="82"/>
  <c r="S11" i="82"/>
  <c r="R11" i="82"/>
  <c r="Q11" i="82"/>
  <c r="P11" i="82"/>
  <c r="O11" i="82"/>
  <c r="N11" i="82"/>
  <c r="M11" i="82"/>
  <c r="L11" i="82"/>
  <c r="K11" i="82"/>
  <c r="J11" i="82"/>
  <c r="I11" i="82"/>
  <c r="H11" i="82"/>
  <c r="G11" i="82"/>
  <c r="F11" i="82"/>
  <c r="E11" i="82"/>
  <c r="D11" i="82"/>
  <c r="C11" i="82"/>
  <c r="Z6" i="93" l="1"/>
  <c r="Z8" i="92"/>
  <c r="Z12" i="91"/>
  <c r="Z14" i="90"/>
  <c r="Z6" i="89"/>
  <c r="Z9" i="88"/>
  <c r="Z12" i="87"/>
  <c r="Z13" i="86"/>
  <c r="Z11" i="82"/>
  <c r="Y11" i="81" l="1"/>
  <c r="X11" i="81"/>
  <c r="W11" i="81"/>
  <c r="V11" i="81"/>
  <c r="T11" i="81"/>
  <c r="S11" i="81"/>
  <c r="R11" i="81"/>
  <c r="Q11" i="81"/>
  <c r="P11" i="81"/>
  <c r="O11" i="81"/>
  <c r="N11" i="81"/>
  <c r="M11" i="81"/>
  <c r="L11" i="81"/>
  <c r="K11" i="81"/>
  <c r="J11" i="81"/>
  <c r="I11" i="81"/>
  <c r="H11" i="81"/>
  <c r="G11" i="81"/>
  <c r="F11" i="81"/>
  <c r="E11" i="81"/>
  <c r="D11" i="81"/>
  <c r="C11" i="81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C24" i="80"/>
  <c r="Z11" i="81" l="1"/>
  <c r="Z24" i="80"/>
  <c r="Y10" i="79" l="1"/>
  <c r="X10" i="79"/>
  <c r="W10" i="79"/>
  <c r="V10" i="79"/>
  <c r="U10" i="79"/>
  <c r="T10" i="79"/>
  <c r="S10" i="79"/>
  <c r="R10" i="79"/>
  <c r="Q10" i="79"/>
  <c r="P10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Y12" i="78"/>
  <c r="X12" i="78"/>
  <c r="W12" i="78"/>
  <c r="V12" i="78"/>
  <c r="U12" i="78"/>
  <c r="T12" i="78"/>
  <c r="S12" i="78"/>
  <c r="R12" i="78"/>
  <c r="Q12" i="78"/>
  <c r="P12" i="78"/>
  <c r="O12" i="78"/>
  <c r="N12" i="78"/>
  <c r="M12" i="78"/>
  <c r="L12" i="78"/>
  <c r="K12" i="78"/>
  <c r="J12" i="78"/>
  <c r="I12" i="78"/>
  <c r="H12" i="78"/>
  <c r="G12" i="78"/>
  <c r="F12" i="78"/>
  <c r="E12" i="78"/>
  <c r="D12" i="78"/>
  <c r="C12" i="78"/>
  <c r="Y9" i="77"/>
  <c r="X9" i="77"/>
  <c r="W9" i="77"/>
  <c r="V9" i="77"/>
  <c r="U9" i="77"/>
  <c r="T9" i="77"/>
  <c r="S9" i="77"/>
  <c r="R9" i="77"/>
  <c r="Q9" i="77"/>
  <c r="P9" i="77"/>
  <c r="O9" i="77"/>
  <c r="N9" i="77"/>
  <c r="M9" i="77"/>
  <c r="L9" i="77"/>
  <c r="K9" i="77"/>
  <c r="J9" i="77"/>
  <c r="I9" i="77"/>
  <c r="H9" i="77"/>
  <c r="G9" i="77"/>
  <c r="F9" i="77"/>
  <c r="E9" i="77"/>
  <c r="D9" i="77"/>
  <c r="C9" i="77"/>
  <c r="Y16" i="76"/>
  <c r="X16" i="76"/>
  <c r="W16" i="76"/>
  <c r="V16" i="76"/>
  <c r="U16" i="76"/>
  <c r="T16" i="76"/>
  <c r="S16" i="76"/>
  <c r="R16" i="76"/>
  <c r="Q16" i="76"/>
  <c r="P16" i="76"/>
  <c r="O16" i="76"/>
  <c r="N16" i="76"/>
  <c r="M16" i="76"/>
  <c r="L16" i="76"/>
  <c r="K16" i="76"/>
  <c r="J16" i="76"/>
  <c r="I16" i="76"/>
  <c r="H16" i="76"/>
  <c r="G16" i="76"/>
  <c r="F16" i="76"/>
  <c r="E16" i="76"/>
  <c r="D16" i="76"/>
  <c r="C16" i="76"/>
  <c r="Y6" i="75"/>
  <c r="X6" i="75"/>
  <c r="W6" i="75"/>
  <c r="V6" i="75"/>
  <c r="U6" i="75"/>
  <c r="T6" i="75"/>
  <c r="S6" i="75"/>
  <c r="R6" i="75"/>
  <c r="Q6" i="75"/>
  <c r="P6" i="75"/>
  <c r="N6" i="75"/>
  <c r="M6" i="75"/>
  <c r="L6" i="75"/>
  <c r="K6" i="75"/>
  <c r="J6" i="75"/>
  <c r="I6" i="75"/>
  <c r="H6" i="75"/>
  <c r="G6" i="75"/>
  <c r="F6" i="75"/>
  <c r="E6" i="75"/>
  <c r="D6" i="75"/>
  <c r="C6" i="75"/>
  <c r="Y37" i="74"/>
  <c r="X37" i="74"/>
  <c r="W37" i="74"/>
  <c r="V37" i="74"/>
  <c r="U37" i="74"/>
  <c r="T37" i="74"/>
  <c r="S37" i="74"/>
  <c r="R37" i="74"/>
  <c r="Q37" i="74"/>
  <c r="P37" i="74"/>
  <c r="O37" i="74"/>
  <c r="N37" i="74"/>
  <c r="M37" i="74"/>
  <c r="L37" i="74"/>
  <c r="K37" i="74"/>
  <c r="J37" i="74"/>
  <c r="I37" i="74"/>
  <c r="H37" i="74"/>
  <c r="G37" i="74"/>
  <c r="F37" i="74"/>
  <c r="E37" i="74"/>
  <c r="D37" i="74"/>
  <c r="C37" i="74"/>
  <c r="Y29" i="73"/>
  <c r="X29" i="73"/>
  <c r="W29" i="73"/>
  <c r="V29" i="73"/>
  <c r="U29" i="73"/>
  <c r="T29" i="73"/>
  <c r="S29" i="73"/>
  <c r="R29" i="73"/>
  <c r="Q29" i="73"/>
  <c r="P29" i="73"/>
  <c r="O29" i="73"/>
  <c r="N29" i="73"/>
  <c r="M29" i="73"/>
  <c r="L29" i="73"/>
  <c r="K29" i="73"/>
  <c r="J29" i="73"/>
  <c r="I29" i="73"/>
  <c r="H29" i="73"/>
  <c r="G29" i="73"/>
  <c r="F29" i="73"/>
  <c r="E29" i="73"/>
  <c r="D29" i="73"/>
  <c r="C29" i="73"/>
  <c r="Y4" i="72"/>
  <c r="X4" i="72"/>
  <c r="W4" i="72"/>
  <c r="V4" i="72"/>
  <c r="U4" i="72"/>
  <c r="T4" i="72"/>
  <c r="S4" i="72"/>
  <c r="R4" i="72"/>
  <c r="Q4" i="72"/>
  <c r="P4" i="72"/>
  <c r="O4" i="72"/>
  <c r="N4" i="72"/>
  <c r="M4" i="72"/>
  <c r="L4" i="72"/>
  <c r="K4" i="72"/>
  <c r="J4" i="72"/>
  <c r="I4" i="72"/>
  <c r="H4" i="72"/>
  <c r="G4" i="72"/>
  <c r="F4" i="72"/>
  <c r="E4" i="72"/>
  <c r="D4" i="72"/>
  <c r="C4" i="72"/>
  <c r="Y15" i="71"/>
  <c r="X15" i="71"/>
  <c r="W15" i="71"/>
  <c r="V15" i="71"/>
  <c r="U15" i="71"/>
  <c r="T15" i="71"/>
  <c r="S15" i="71"/>
  <c r="R15" i="71"/>
  <c r="Q15" i="71"/>
  <c r="P15" i="71"/>
  <c r="O15" i="71"/>
  <c r="N15" i="71"/>
  <c r="M15" i="71"/>
  <c r="L15" i="71"/>
  <c r="K15" i="71"/>
  <c r="J15" i="71"/>
  <c r="I15" i="71"/>
  <c r="H15" i="71"/>
  <c r="G15" i="71"/>
  <c r="F15" i="71"/>
  <c r="E15" i="71"/>
  <c r="D15" i="71"/>
  <c r="C15" i="71"/>
  <c r="W25" i="70"/>
  <c r="V25" i="70"/>
  <c r="U25" i="70"/>
  <c r="T25" i="70"/>
  <c r="S25" i="70"/>
  <c r="R25" i="70"/>
  <c r="Q25" i="70"/>
  <c r="P25" i="70"/>
  <c r="O25" i="70"/>
  <c r="N25" i="70"/>
  <c r="M25" i="70"/>
  <c r="L25" i="70"/>
  <c r="K25" i="70"/>
  <c r="J25" i="70"/>
  <c r="I25" i="70"/>
  <c r="H25" i="70"/>
  <c r="G25" i="70"/>
  <c r="F25" i="70"/>
  <c r="E25" i="70"/>
  <c r="W4" i="41"/>
  <c r="S4" i="41"/>
  <c r="L4" i="41"/>
  <c r="H4" i="41"/>
  <c r="F4" i="41"/>
  <c r="W26" i="38"/>
  <c r="S26" i="38"/>
  <c r="L26" i="38"/>
  <c r="H26" i="38"/>
  <c r="F26" i="38"/>
  <c r="W4" i="37"/>
  <c r="S4" i="37"/>
  <c r="L4" i="37"/>
  <c r="H4" i="37"/>
  <c r="F4" i="37"/>
  <c r="W6" i="36"/>
  <c r="S6" i="36"/>
  <c r="L6" i="36"/>
  <c r="H6" i="36"/>
  <c r="F6" i="36"/>
  <c r="W11" i="35"/>
  <c r="S11" i="35"/>
  <c r="L11" i="35"/>
  <c r="H11" i="35"/>
  <c r="F11" i="35"/>
  <c r="W5" i="34"/>
  <c r="S5" i="34"/>
  <c r="L5" i="34"/>
  <c r="H5" i="34"/>
  <c r="F5" i="34"/>
  <c r="H11" i="33"/>
  <c r="W11" i="33"/>
  <c r="S11" i="33"/>
  <c r="L11" i="33"/>
  <c r="F11" i="33"/>
  <c r="W7" i="32"/>
  <c r="T7" i="32"/>
  <c r="L7" i="32"/>
  <c r="H7" i="32"/>
  <c r="F7" i="32"/>
  <c r="W7" i="31"/>
  <c r="S7" i="31"/>
  <c r="L7" i="31"/>
  <c r="H7" i="31"/>
  <c r="F7" i="31"/>
  <c r="W7" i="30"/>
  <c r="S7" i="30"/>
  <c r="L7" i="30"/>
  <c r="H7" i="30"/>
  <c r="F7" i="30"/>
  <c r="Z10" i="79" l="1"/>
  <c r="Z12" i="78"/>
  <c r="Z9" i="77"/>
  <c r="Z16" i="76"/>
  <c r="Z6" i="75"/>
  <c r="Z37" i="74"/>
  <c r="Z29" i="73"/>
  <c r="Z4" i="72"/>
  <c r="Z15" i="71"/>
  <c r="Z25" i="70"/>
  <c r="F97" i="29" l="1"/>
  <c r="H97" i="29"/>
  <c r="L97" i="29"/>
  <c r="S97" i="29"/>
  <c r="W97" i="29"/>
  <c r="W4" i="28"/>
  <c r="S4" i="28"/>
  <c r="L4" i="28"/>
  <c r="H4" i="28"/>
  <c r="F4" i="28"/>
  <c r="W5" i="27"/>
  <c r="S5" i="27"/>
  <c r="L5" i="27"/>
  <c r="H5" i="27"/>
  <c r="F5" i="27"/>
  <c r="W7" i="26"/>
  <c r="S7" i="26"/>
  <c r="L7" i="26"/>
  <c r="H7" i="26"/>
  <c r="F7" i="26"/>
  <c r="F13" i="25"/>
  <c r="H13" i="25"/>
  <c r="L13" i="25"/>
  <c r="S13" i="25"/>
  <c r="W13" i="25"/>
  <c r="W4" i="67"/>
  <c r="S4" i="67"/>
  <c r="L4" i="67"/>
  <c r="H4" i="67"/>
  <c r="F4" i="67"/>
  <c r="W8" i="24"/>
  <c r="S8" i="24"/>
  <c r="L8" i="24"/>
  <c r="H8" i="24"/>
  <c r="F8" i="24"/>
  <c r="G8" i="24"/>
  <c r="W8" i="23"/>
  <c r="S8" i="23"/>
  <c r="L8" i="23"/>
  <c r="H8" i="23"/>
  <c r="F8" i="23"/>
  <c r="W6" i="22"/>
  <c r="S6" i="22"/>
  <c r="L6" i="22"/>
  <c r="H6" i="22"/>
  <c r="G6" i="22"/>
  <c r="F6" i="22"/>
  <c r="F21" i="21"/>
  <c r="H21" i="21"/>
  <c r="L21" i="21"/>
  <c r="S21" i="21"/>
  <c r="W21" i="21"/>
  <c r="W6" i="20"/>
  <c r="S6" i="20"/>
  <c r="L6" i="20"/>
  <c r="H6" i="20"/>
  <c r="F6" i="20"/>
  <c r="W16" i="18"/>
  <c r="S16" i="18"/>
  <c r="L16" i="18"/>
  <c r="H16" i="18"/>
  <c r="F16" i="18"/>
  <c r="W7" i="17"/>
  <c r="S7" i="17"/>
  <c r="L7" i="17"/>
  <c r="L4" i="14"/>
  <c r="H7" i="17"/>
  <c r="F7" i="17"/>
  <c r="W5" i="16"/>
  <c r="S5" i="16"/>
  <c r="L5" i="16"/>
  <c r="H5" i="16"/>
  <c r="F5" i="16"/>
  <c r="W8" i="15"/>
  <c r="S8" i="15"/>
  <c r="L8" i="15"/>
  <c r="H8" i="15"/>
  <c r="F8" i="15"/>
  <c r="H4" i="14"/>
  <c r="F4" i="14"/>
  <c r="S4" i="14"/>
  <c r="W4" i="14"/>
  <c r="W27" i="13"/>
  <c r="S27" i="13"/>
  <c r="L27" i="13"/>
  <c r="H27" i="13"/>
  <c r="F27" i="13"/>
  <c r="C11" i="33" l="1"/>
  <c r="D11" i="33"/>
  <c r="E11" i="33"/>
  <c r="G11" i="33"/>
  <c r="I11" i="33"/>
  <c r="J11" i="33"/>
  <c r="K11" i="33"/>
  <c r="M11" i="33"/>
  <c r="N11" i="33"/>
  <c r="O11" i="33"/>
  <c r="P11" i="33"/>
  <c r="Q11" i="33"/>
  <c r="R11" i="33"/>
  <c r="T11" i="33"/>
  <c r="U11" i="33"/>
  <c r="V11" i="33"/>
  <c r="X11" i="33"/>
  <c r="Y11" i="33"/>
  <c r="G7" i="32" l="1"/>
  <c r="R7" i="32"/>
  <c r="K7" i="32"/>
  <c r="Z4" i="41" l="1"/>
  <c r="Z4" i="37"/>
  <c r="Z6" i="36"/>
  <c r="Z5" i="34"/>
  <c r="Z11" i="33"/>
  <c r="Z7" i="31"/>
  <c r="Z7" i="30"/>
  <c r="Z4" i="28"/>
  <c r="Z5" i="27"/>
  <c r="Z7" i="26"/>
  <c r="Z4" i="67"/>
  <c r="Z8" i="24"/>
  <c r="Z8" i="23"/>
  <c r="Z6" i="22"/>
  <c r="Z6" i="20"/>
  <c r="Z4" i="19"/>
  <c r="Z26" i="38" l="1"/>
  <c r="Z11" i="35"/>
  <c r="Z7" i="32"/>
  <c r="Z13" i="25"/>
  <c r="Z16" i="18"/>
  <c r="Z7" i="17"/>
  <c r="Z8" i="15"/>
  <c r="Z4" i="14"/>
  <c r="T4" i="41" l="1"/>
  <c r="K4" i="41"/>
  <c r="M4" i="41"/>
  <c r="G4" i="41"/>
  <c r="T26" i="38"/>
  <c r="K26" i="38"/>
  <c r="G26" i="38"/>
  <c r="T4" i="37"/>
  <c r="K4" i="37"/>
  <c r="G4" i="37"/>
  <c r="T6" i="36"/>
  <c r="K6" i="36"/>
  <c r="G6" i="36"/>
  <c r="T11" i="35"/>
  <c r="K11" i="35"/>
  <c r="G11" i="35"/>
  <c r="T5" i="34"/>
  <c r="K5" i="34"/>
  <c r="G5" i="34"/>
  <c r="T7" i="31"/>
  <c r="K7" i="31"/>
  <c r="G7" i="31"/>
  <c r="T7" i="30"/>
  <c r="K7" i="30"/>
  <c r="G7" i="30"/>
  <c r="G97" i="29"/>
  <c r="K97" i="29"/>
  <c r="T97" i="29"/>
  <c r="T4" i="28"/>
  <c r="K4" i="28"/>
  <c r="G4" i="28"/>
  <c r="T5" i="27"/>
  <c r="K5" i="27"/>
  <c r="G5" i="27"/>
  <c r="T7" i="26"/>
  <c r="K7" i="26"/>
  <c r="G7" i="26"/>
  <c r="T13" i="25"/>
  <c r="G13" i="25"/>
  <c r="K13" i="25"/>
  <c r="Y4" i="67"/>
  <c r="X4" i="67"/>
  <c r="V4" i="67"/>
  <c r="U4" i="67"/>
  <c r="T4" i="67"/>
  <c r="R4" i="67"/>
  <c r="Q4" i="67"/>
  <c r="P4" i="67"/>
  <c r="O4" i="67"/>
  <c r="N4" i="67"/>
  <c r="M4" i="67"/>
  <c r="K4" i="67"/>
  <c r="J4" i="67"/>
  <c r="I4" i="67"/>
  <c r="G4" i="67"/>
  <c r="E4" i="67"/>
  <c r="D4" i="67"/>
  <c r="C4" i="67"/>
  <c r="T8" i="24"/>
  <c r="K8" i="24"/>
  <c r="T8" i="23"/>
  <c r="K8" i="23"/>
  <c r="G8" i="23"/>
  <c r="T6" i="22"/>
  <c r="K6" i="22"/>
  <c r="G21" i="21"/>
  <c r="K21" i="21"/>
  <c r="T21" i="21"/>
  <c r="K6" i="20"/>
  <c r="T6" i="20"/>
  <c r="G6" i="20"/>
  <c r="T16" i="18" l="1"/>
  <c r="K16" i="18"/>
  <c r="G16" i="18"/>
  <c r="T7" i="17"/>
  <c r="K7" i="17"/>
  <c r="G7" i="17"/>
  <c r="T5" i="16"/>
  <c r="K5" i="16"/>
  <c r="G5" i="16"/>
  <c r="T8" i="15"/>
  <c r="K8" i="15"/>
  <c r="G8" i="15"/>
  <c r="T4" i="14"/>
  <c r="K4" i="14"/>
  <c r="G4" i="14"/>
  <c r="T27" i="13"/>
  <c r="R27" i="13"/>
  <c r="E27" i="13"/>
  <c r="C4" i="41" l="1"/>
  <c r="D4" i="41"/>
  <c r="E4" i="41"/>
  <c r="I4" i="41"/>
  <c r="J4" i="41"/>
  <c r="N4" i="41"/>
  <c r="O4" i="41"/>
  <c r="P4" i="41"/>
  <c r="Q4" i="41"/>
  <c r="R4" i="41"/>
  <c r="U4" i="41"/>
  <c r="V4" i="41"/>
  <c r="X4" i="41"/>
  <c r="Y4" i="41"/>
  <c r="C26" i="38"/>
  <c r="D26" i="38"/>
  <c r="E26" i="38"/>
  <c r="I26" i="38"/>
  <c r="J26" i="38"/>
  <c r="M26" i="38"/>
  <c r="N26" i="38"/>
  <c r="O26" i="38"/>
  <c r="P26" i="38"/>
  <c r="Q26" i="38"/>
  <c r="R26" i="38"/>
  <c r="U26" i="38"/>
  <c r="V26" i="38"/>
  <c r="X26" i="38"/>
  <c r="Y26" i="38"/>
  <c r="C4" i="37"/>
  <c r="D4" i="37"/>
  <c r="E4" i="37"/>
  <c r="I4" i="37"/>
  <c r="J4" i="37"/>
  <c r="M4" i="37"/>
  <c r="N4" i="37"/>
  <c r="O4" i="37"/>
  <c r="P4" i="37"/>
  <c r="Q4" i="37"/>
  <c r="R4" i="37"/>
  <c r="U4" i="37"/>
  <c r="V4" i="37"/>
  <c r="X4" i="37"/>
  <c r="Y4" i="37"/>
  <c r="C6" i="36"/>
  <c r="D6" i="36"/>
  <c r="E6" i="36"/>
  <c r="I6" i="36"/>
  <c r="J6" i="36"/>
  <c r="M6" i="36"/>
  <c r="N6" i="36"/>
  <c r="O6" i="36"/>
  <c r="P6" i="36"/>
  <c r="Q6" i="36"/>
  <c r="R6" i="36"/>
  <c r="U6" i="36"/>
  <c r="V6" i="36"/>
  <c r="X6" i="36"/>
  <c r="Y6" i="36"/>
  <c r="C11" i="35"/>
  <c r="D11" i="35"/>
  <c r="E11" i="35"/>
  <c r="I11" i="35"/>
  <c r="J11" i="35"/>
  <c r="M11" i="35"/>
  <c r="N11" i="35"/>
  <c r="O11" i="35"/>
  <c r="P11" i="35"/>
  <c r="Q11" i="35"/>
  <c r="R11" i="35"/>
  <c r="U11" i="35"/>
  <c r="V11" i="35"/>
  <c r="X11" i="35"/>
  <c r="Y11" i="35"/>
  <c r="C5" i="34"/>
  <c r="D5" i="34"/>
  <c r="E5" i="34"/>
  <c r="I5" i="34"/>
  <c r="J5" i="34"/>
  <c r="M5" i="34"/>
  <c r="N5" i="34"/>
  <c r="O5" i="34"/>
  <c r="P5" i="34"/>
  <c r="Q5" i="34"/>
  <c r="R5" i="34"/>
  <c r="U5" i="34"/>
  <c r="V5" i="34"/>
  <c r="X5" i="34"/>
  <c r="Y5" i="34"/>
  <c r="C7" i="32"/>
  <c r="D7" i="32"/>
  <c r="E7" i="32"/>
  <c r="I7" i="32"/>
  <c r="J7" i="32"/>
  <c r="M7" i="32"/>
  <c r="N7" i="32"/>
  <c r="O7" i="32"/>
  <c r="P7" i="32"/>
  <c r="Q7" i="32"/>
  <c r="S7" i="32"/>
  <c r="U7" i="32"/>
  <c r="V7" i="32"/>
  <c r="X7" i="32"/>
  <c r="Y7" i="32"/>
  <c r="C7" i="31"/>
  <c r="D7" i="31"/>
  <c r="E7" i="31"/>
  <c r="I7" i="31"/>
  <c r="J7" i="31"/>
  <c r="M7" i="31"/>
  <c r="N7" i="31"/>
  <c r="O7" i="31"/>
  <c r="P7" i="31"/>
  <c r="Q7" i="31"/>
  <c r="R7" i="31"/>
  <c r="U7" i="31"/>
  <c r="V7" i="31"/>
  <c r="X7" i="31"/>
  <c r="Y7" i="31"/>
  <c r="C7" i="30"/>
  <c r="D7" i="30"/>
  <c r="E7" i="30"/>
  <c r="I7" i="30"/>
  <c r="J7" i="30"/>
  <c r="M7" i="30"/>
  <c r="N7" i="30"/>
  <c r="O7" i="30"/>
  <c r="P7" i="30"/>
  <c r="Q7" i="30"/>
  <c r="R7" i="30"/>
  <c r="U7" i="30"/>
  <c r="V7" i="30"/>
  <c r="X7" i="30"/>
  <c r="Y7" i="30"/>
  <c r="C97" i="29"/>
  <c r="D97" i="29"/>
  <c r="E97" i="29"/>
  <c r="I97" i="29"/>
  <c r="J97" i="29"/>
  <c r="M97" i="29"/>
  <c r="N97" i="29"/>
  <c r="O97" i="29"/>
  <c r="P97" i="29"/>
  <c r="Q97" i="29"/>
  <c r="R97" i="29"/>
  <c r="U97" i="29"/>
  <c r="V97" i="29"/>
  <c r="X97" i="29"/>
  <c r="Y97" i="29"/>
  <c r="C4" i="28" l="1"/>
  <c r="D4" i="28"/>
  <c r="E4" i="28"/>
  <c r="I4" i="28"/>
  <c r="J4" i="28"/>
  <c r="M4" i="28"/>
  <c r="N4" i="28"/>
  <c r="O4" i="28"/>
  <c r="P4" i="28"/>
  <c r="Q4" i="28"/>
  <c r="R4" i="28"/>
  <c r="U4" i="28"/>
  <c r="V4" i="28"/>
  <c r="X4" i="28"/>
  <c r="Y4" i="28"/>
  <c r="C5" i="27"/>
  <c r="D5" i="27"/>
  <c r="E5" i="27"/>
  <c r="I5" i="27"/>
  <c r="J5" i="27"/>
  <c r="M5" i="27"/>
  <c r="N5" i="27"/>
  <c r="O5" i="27"/>
  <c r="P5" i="27"/>
  <c r="Q5" i="27"/>
  <c r="R5" i="27"/>
  <c r="U5" i="27"/>
  <c r="V5" i="27"/>
  <c r="X5" i="27"/>
  <c r="Y5" i="27"/>
  <c r="C7" i="26"/>
  <c r="D7" i="26"/>
  <c r="E7" i="26"/>
  <c r="I7" i="26"/>
  <c r="J7" i="26"/>
  <c r="M7" i="26"/>
  <c r="N7" i="26"/>
  <c r="O7" i="26"/>
  <c r="P7" i="26"/>
  <c r="Q7" i="26"/>
  <c r="R7" i="26"/>
  <c r="U7" i="26"/>
  <c r="V7" i="26"/>
  <c r="X7" i="26"/>
  <c r="Y7" i="26"/>
  <c r="C13" i="25"/>
  <c r="D13" i="25"/>
  <c r="E13" i="25"/>
  <c r="I13" i="25"/>
  <c r="J13" i="25"/>
  <c r="M13" i="25"/>
  <c r="N13" i="25"/>
  <c r="O13" i="25"/>
  <c r="P13" i="25"/>
  <c r="Q13" i="25"/>
  <c r="R13" i="25"/>
  <c r="U13" i="25"/>
  <c r="V13" i="25"/>
  <c r="X13" i="25"/>
  <c r="Y13" i="25"/>
  <c r="C8" i="24"/>
  <c r="D8" i="24"/>
  <c r="E8" i="24"/>
  <c r="I8" i="24"/>
  <c r="J8" i="24"/>
  <c r="M8" i="24"/>
  <c r="N8" i="24"/>
  <c r="O8" i="24"/>
  <c r="P8" i="24"/>
  <c r="Q8" i="24"/>
  <c r="R8" i="24"/>
  <c r="U8" i="24"/>
  <c r="V8" i="24"/>
  <c r="X8" i="24"/>
  <c r="Y8" i="24"/>
  <c r="C8" i="23"/>
  <c r="D8" i="23"/>
  <c r="E8" i="23"/>
  <c r="I8" i="23"/>
  <c r="J8" i="23"/>
  <c r="M8" i="23"/>
  <c r="N8" i="23"/>
  <c r="O8" i="23"/>
  <c r="P8" i="23"/>
  <c r="Q8" i="23"/>
  <c r="R8" i="23"/>
  <c r="U8" i="23"/>
  <c r="V8" i="23"/>
  <c r="X8" i="23"/>
  <c r="Y8" i="23"/>
  <c r="C6" i="22"/>
  <c r="D6" i="22"/>
  <c r="E6" i="22"/>
  <c r="I6" i="22"/>
  <c r="J6" i="22"/>
  <c r="M6" i="22"/>
  <c r="N6" i="22"/>
  <c r="O6" i="22"/>
  <c r="P6" i="22"/>
  <c r="Q6" i="22"/>
  <c r="R6" i="22"/>
  <c r="U6" i="22"/>
  <c r="V6" i="22"/>
  <c r="X6" i="22"/>
  <c r="Y6" i="22"/>
  <c r="C21" i="21"/>
  <c r="D21" i="21"/>
  <c r="E21" i="21"/>
  <c r="I21" i="21"/>
  <c r="J21" i="21"/>
  <c r="M21" i="21"/>
  <c r="N21" i="21"/>
  <c r="O21" i="21"/>
  <c r="P21" i="21"/>
  <c r="Q21" i="21"/>
  <c r="R21" i="21"/>
  <c r="U21" i="21"/>
  <c r="V21" i="21"/>
  <c r="X21" i="21"/>
  <c r="Y21" i="21"/>
  <c r="Y6" i="20"/>
  <c r="C6" i="20"/>
  <c r="D6" i="20"/>
  <c r="E6" i="20"/>
  <c r="I6" i="20"/>
  <c r="M6" i="20"/>
  <c r="N6" i="20"/>
  <c r="O6" i="20"/>
  <c r="P6" i="20"/>
  <c r="Q6" i="20"/>
  <c r="R6" i="20"/>
  <c r="U6" i="20"/>
  <c r="V6" i="20"/>
  <c r="X6" i="20"/>
  <c r="C16" i="18"/>
  <c r="D16" i="18"/>
  <c r="E16" i="18"/>
  <c r="I16" i="18"/>
  <c r="J16" i="18"/>
  <c r="M16" i="18"/>
  <c r="N16" i="18"/>
  <c r="O16" i="18"/>
  <c r="P16" i="18"/>
  <c r="Q16" i="18"/>
  <c r="R16" i="18"/>
  <c r="U16" i="18"/>
  <c r="V16" i="18"/>
  <c r="X16" i="18"/>
  <c r="Y16" i="18"/>
  <c r="C7" i="17"/>
  <c r="D7" i="17"/>
  <c r="E7" i="17"/>
  <c r="I7" i="17"/>
  <c r="J7" i="17"/>
  <c r="M7" i="17"/>
  <c r="N7" i="17"/>
  <c r="O7" i="17"/>
  <c r="P7" i="17"/>
  <c r="Q7" i="17"/>
  <c r="R7" i="17"/>
  <c r="U7" i="17"/>
  <c r="V7" i="17"/>
  <c r="X7" i="17"/>
  <c r="Y7" i="17"/>
  <c r="C5" i="16"/>
  <c r="D5" i="16"/>
  <c r="E5" i="16"/>
  <c r="I5" i="16"/>
  <c r="J5" i="16"/>
  <c r="M5" i="16"/>
  <c r="N5" i="16"/>
  <c r="O5" i="16"/>
  <c r="P5" i="16"/>
  <c r="Q5" i="16"/>
  <c r="R5" i="16"/>
  <c r="U5" i="16"/>
  <c r="V5" i="16"/>
  <c r="X5" i="16"/>
  <c r="Y5" i="16"/>
  <c r="C27" i="13"/>
  <c r="D8" i="15"/>
  <c r="E8" i="15"/>
  <c r="I8" i="15"/>
  <c r="J8" i="15"/>
  <c r="M8" i="15"/>
  <c r="N8" i="15"/>
  <c r="O8" i="15"/>
  <c r="P8" i="15"/>
  <c r="Q8" i="15"/>
  <c r="R8" i="15"/>
  <c r="U8" i="15"/>
  <c r="V8" i="15"/>
  <c r="X8" i="15"/>
  <c r="Y8" i="15"/>
  <c r="C8" i="15"/>
  <c r="C4" i="14"/>
  <c r="D4" i="14"/>
  <c r="E4" i="14"/>
  <c r="I4" i="14"/>
  <c r="J4" i="14"/>
  <c r="M4" i="14"/>
  <c r="N4" i="14"/>
  <c r="O4" i="14"/>
  <c r="P4" i="14"/>
  <c r="Q4" i="14"/>
  <c r="R4" i="14"/>
  <c r="U4" i="14"/>
  <c r="V4" i="14"/>
  <c r="X4" i="14"/>
  <c r="Y4" i="14"/>
  <c r="Y27" i="13"/>
  <c r="D27" i="13"/>
  <c r="G27" i="13"/>
  <c r="I27" i="13"/>
  <c r="J27" i="13"/>
  <c r="K27" i="13"/>
  <c r="M27" i="13"/>
  <c r="N27" i="13"/>
  <c r="O27" i="13"/>
  <c r="P27" i="13"/>
  <c r="Q27" i="13"/>
  <c r="U27" i="13"/>
  <c r="V27" i="13"/>
  <c r="X27" i="13"/>
  <c r="Z5" i="16" l="1"/>
</calcChain>
</file>

<file path=xl/sharedStrings.xml><?xml version="1.0" encoding="utf-8"?>
<sst xmlns="http://schemas.openxmlformats.org/spreadsheetml/2006/main" count="2770" uniqueCount="1111">
  <si>
    <t>Riverside</t>
  </si>
  <si>
    <t>Los Angeles</t>
  </si>
  <si>
    <t>Tehama</t>
  </si>
  <si>
    <t>Sonoma</t>
  </si>
  <si>
    <t>Alameda</t>
  </si>
  <si>
    <t>Tulare</t>
  </si>
  <si>
    <t>Santa Cruz</t>
  </si>
  <si>
    <t>Stanislaus</t>
  </si>
  <si>
    <t>Orange</t>
  </si>
  <si>
    <t>San Bernardino</t>
  </si>
  <si>
    <t>Fresno</t>
  </si>
  <si>
    <t>Marin</t>
  </si>
  <si>
    <t>San Joaquin</t>
  </si>
  <si>
    <t>Humboldt</t>
  </si>
  <si>
    <t>Sacramento</t>
  </si>
  <si>
    <t>San Diego</t>
  </si>
  <si>
    <t>Kern</t>
  </si>
  <si>
    <t>San Mateo</t>
  </si>
  <si>
    <t>Sutter</t>
  </si>
  <si>
    <t>Placer</t>
  </si>
  <si>
    <t>Mendocino</t>
  </si>
  <si>
    <t>Solano</t>
  </si>
  <si>
    <t>Glenn</t>
  </si>
  <si>
    <t>Merced</t>
  </si>
  <si>
    <t>Madera</t>
  </si>
  <si>
    <t>San Luis Obispo</t>
  </si>
  <si>
    <t>Santa Clara</t>
  </si>
  <si>
    <t>Butte</t>
  </si>
  <si>
    <t>Monterey</t>
  </si>
  <si>
    <t>Del Norte</t>
  </si>
  <si>
    <t>Santa Barbara</t>
  </si>
  <si>
    <t>Colusa</t>
  </si>
  <si>
    <t>Yolo</t>
  </si>
  <si>
    <t>Kings</t>
  </si>
  <si>
    <t>San Francisco</t>
  </si>
  <si>
    <t>Contra Costa</t>
  </si>
  <si>
    <t>Lake</t>
  </si>
  <si>
    <t>Napa</t>
  </si>
  <si>
    <t>Ventura</t>
  </si>
  <si>
    <t>El Dorado</t>
  </si>
  <si>
    <t>Calaveras</t>
  </si>
  <si>
    <t>Yuba</t>
  </si>
  <si>
    <t>Mono</t>
  </si>
  <si>
    <t>Fowler High</t>
  </si>
  <si>
    <t>Plumas</t>
  </si>
  <si>
    <t>Lassen</t>
  </si>
  <si>
    <t>Amador</t>
  </si>
  <si>
    <t>San Benito</t>
  </si>
  <si>
    <t>Imperial</t>
  </si>
  <si>
    <t>Nevada</t>
  </si>
  <si>
    <t>Participating Counties</t>
  </si>
  <si>
    <t>Participating Schools Total</t>
  </si>
  <si>
    <t>American Sign Language Total</t>
  </si>
  <si>
    <t>French Total</t>
  </si>
  <si>
    <t>German Total</t>
  </si>
  <si>
    <t xml:space="preserve"> Japanese Total</t>
  </si>
  <si>
    <t>Korean Total</t>
  </si>
  <si>
    <t>Latin Total</t>
  </si>
  <si>
    <t>Spanish Total</t>
  </si>
  <si>
    <t>Vietnamese Total</t>
  </si>
  <si>
    <t>Other Total</t>
  </si>
  <si>
    <t>Seal Total</t>
  </si>
  <si>
    <t xml:space="preserve">Sacramento </t>
  </si>
  <si>
    <t>Participating Districts Total</t>
  </si>
  <si>
    <t>Arabic Total</t>
  </si>
  <si>
    <t>Italian Total</t>
  </si>
  <si>
    <t>Participating Districts</t>
  </si>
  <si>
    <t>Participating Schools</t>
  </si>
  <si>
    <t>Hmong Total</t>
  </si>
  <si>
    <t>Japanese Total</t>
  </si>
  <si>
    <t>Participating District</t>
  </si>
  <si>
    <t>Participating School</t>
  </si>
  <si>
    <t>Del Norte High</t>
  </si>
  <si>
    <t>South Tahoe High</t>
  </si>
  <si>
    <t>Coalinga High</t>
  </si>
  <si>
    <t>Parlier High</t>
  </si>
  <si>
    <t>Selma High</t>
  </si>
  <si>
    <t>Orland High</t>
  </si>
  <si>
    <t>Eureka Senior High</t>
  </si>
  <si>
    <t>Calexico High</t>
  </si>
  <si>
    <t>Tagalog (Filipino) Total</t>
  </si>
  <si>
    <t>Hebrew Total</t>
  </si>
  <si>
    <t>Armenian Total</t>
  </si>
  <si>
    <t>Portuguese Total</t>
  </si>
  <si>
    <t>Russian Total</t>
  </si>
  <si>
    <t>Northcoast Preparatory and Performing Arts Academy</t>
  </si>
  <si>
    <t>Brawley Union High</t>
  </si>
  <si>
    <t>Inyo</t>
  </si>
  <si>
    <t>Bishop Union High</t>
  </si>
  <si>
    <t>Total Seals per LEA</t>
  </si>
  <si>
    <t>Bengali Total</t>
  </si>
  <si>
    <t>Farsi (Persian) Total</t>
  </si>
  <si>
    <t>Hindi Total</t>
  </si>
  <si>
    <t>Punjabi Total</t>
  </si>
  <si>
    <t>Urdu Total</t>
  </si>
  <si>
    <t xml:space="preserve">Urdu Total </t>
  </si>
  <si>
    <t xml:space="preserve">Punjabi Total </t>
  </si>
  <si>
    <t>Shasta</t>
  </si>
  <si>
    <t>Sierra</t>
  </si>
  <si>
    <t>Siskiyou</t>
  </si>
  <si>
    <t>McFarland High School Early College</t>
  </si>
  <si>
    <t>Wasco High</t>
  </si>
  <si>
    <t>Los Angeles Unified</t>
  </si>
  <si>
    <t xml:space="preserve">California Department of Education </t>
  </si>
  <si>
    <t>Chinese (Mandarin or Cantonese) Total</t>
  </si>
  <si>
    <t>University High</t>
  </si>
  <si>
    <t>Kingsburg High</t>
  </si>
  <si>
    <t>Laton High</t>
  </si>
  <si>
    <t>Mendota High</t>
  </si>
  <si>
    <t>Yosemite Valley Charter</t>
  </si>
  <si>
    <t>Orange Cove High; Reedley High; Reedley Middle College High</t>
  </si>
  <si>
    <t>Arcata High; McKinleyville High; Six Rivers Charter High</t>
  </si>
  <si>
    <t>South Fork High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</si>
  <si>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</si>
  <si>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>Lassen High</t>
  </si>
  <si>
    <t>Los Angeles Unified - Participating Schools</t>
  </si>
  <si>
    <t>2023–24 State Seal of Biliteracy: List of Participating Counties, Districts, and Schools</t>
  </si>
  <si>
    <t>Alameda Unified</t>
  </si>
  <si>
    <t>Albany City Unified</t>
  </si>
  <si>
    <t>Aspire Lionel Wilson College Preparatory Academy</t>
  </si>
  <si>
    <t>Berkeley Unified</t>
  </si>
  <si>
    <t>California School for the Deaf-Fremont (State Special Schl)</t>
  </si>
  <si>
    <t>Castro Valley Unified</t>
  </si>
  <si>
    <t>Connecting Waters Charter - East Bay</t>
  </si>
  <si>
    <t>Dublin Unified</t>
  </si>
  <si>
    <t>East Bay Innovation Academy</t>
  </si>
  <si>
    <t>Envision Academy for Arts &amp; Technology</t>
  </si>
  <si>
    <t>Fremont Unified</t>
  </si>
  <si>
    <t>Hayward Unified</t>
  </si>
  <si>
    <t>Impact Academy of Arts &amp; Technology</t>
  </si>
  <si>
    <t>Leadership Public Schools - Hayward</t>
  </si>
  <si>
    <t xml:space="preserve">Livermore Valley Joint Unified </t>
  </si>
  <si>
    <t>LPS Oakland R &amp; D Campus</t>
  </si>
  <si>
    <t>New Haven Unified School</t>
  </si>
  <si>
    <t>Newark Unified</t>
  </si>
  <si>
    <t>Oakland Unified</t>
  </si>
  <si>
    <t>Oakland Unity High</t>
  </si>
  <si>
    <t>Piedmont City Unified</t>
  </si>
  <si>
    <t>Pleasanton Unified</t>
  </si>
  <si>
    <t>San Leandro Unified</t>
  </si>
  <si>
    <t>San Lorenzo Unified</t>
  </si>
  <si>
    <t>Total: 24</t>
  </si>
  <si>
    <t>August 2024</t>
  </si>
  <si>
    <t>Alameda High; Alameda Science and Technology Institute; Encinal Junior/Senior High</t>
  </si>
  <si>
    <t>Albany High</t>
  </si>
  <si>
    <t>American High; Circle of Independent Learning; Irvington High; John F. Kennedy High; Mission San Jose High; Vista Alternative High;  Washington High</t>
  </si>
  <si>
    <t>Arroyo High; San Lorenzo High</t>
  </si>
  <si>
    <t>Berkeley High; Berkeley Technology Academy; Berkeley Independent Study</t>
  </si>
  <si>
    <t>California School for the Deaf-Fremont</t>
  </si>
  <si>
    <t>Castro Valley High; Castro Valley Virtual Academy</t>
  </si>
  <si>
    <t>Dublin High</t>
  </si>
  <si>
    <t>Granada High School; Livermore High</t>
  </si>
  <si>
    <t>Hayward High; Mt. Eden High; Tennyson High</t>
  </si>
  <si>
    <t>James Logan High</t>
  </si>
  <si>
    <t>Newark Memorial High</t>
  </si>
  <si>
    <t>Piedmont High</t>
  </si>
  <si>
    <t>San Leandro High</t>
  </si>
  <si>
    <t>Amador County Unified School District</t>
  </si>
  <si>
    <t>Total: 1</t>
  </si>
  <si>
    <t>Amador High; Argonaut High</t>
  </si>
  <si>
    <t>2</t>
  </si>
  <si>
    <t>Biggs Unified</t>
  </si>
  <si>
    <t>Chico Unified</t>
  </si>
  <si>
    <t>Durham Unified</t>
  </si>
  <si>
    <t>Gridley Unified</t>
  </si>
  <si>
    <t>Paradise Unified</t>
  </si>
  <si>
    <t>Total: 5</t>
  </si>
  <si>
    <t>Biggs High</t>
  </si>
  <si>
    <t>Chico High; Oak Bridge Academy; Pleasant Valley High</t>
  </si>
  <si>
    <t>Durham High</t>
  </si>
  <si>
    <t>Gridley High</t>
  </si>
  <si>
    <t>Paradise Senior High</t>
  </si>
  <si>
    <t>7</t>
  </si>
  <si>
    <t>Bret Harte Union High</t>
  </si>
  <si>
    <t>Calaveras Unified</t>
  </si>
  <si>
    <t>Total: 2</t>
  </si>
  <si>
    <t>Bret High Union High</t>
  </si>
  <si>
    <t>Calaveras High</t>
  </si>
  <si>
    <t>Colusa Unified</t>
  </si>
  <si>
    <t>Maxwell Unified</t>
  </si>
  <si>
    <t>Pierce Joint Unified</t>
  </si>
  <si>
    <t>Williams Unified</t>
  </si>
  <si>
    <t>Colusa High</t>
  </si>
  <si>
    <t>Maxwell Sr High</t>
  </si>
  <si>
    <t>Pierce High</t>
  </si>
  <si>
    <t>Williams Junior/Senior High</t>
  </si>
  <si>
    <t>Total: 4</t>
  </si>
  <si>
    <t>4</t>
  </si>
  <si>
    <t>Acalanes High; Campolindo High; Las Lomas High; Miramonte High</t>
  </si>
  <si>
    <t>Antioch High; Deer Valley High; Dozier-Libbey Medical High</t>
  </si>
  <si>
    <t>Aspire Richmond Ca. College Preparatory Academy</t>
  </si>
  <si>
    <t>Clayton Valley Charter High</t>
  </si>
  <si>
    <t>Invictus Academy of Richmond</t>
  </si>
  <si>
    <t>John Swett High</t>
  </si>
  <si>
    <t>Making Waves Academy</t>
  </si>
  <si>
    <t>Alhambra Senior High</t>
  </si>
  <si>
    <t>Concord High; College Park High; Horizons School: Independent Study; Mt. Diablo High; Northgate High; Ygnacio Valley High</t>
  </si>
  <si>
    <t>Pittsburg Senior High</t>
  </si>
  <si>
    <t>California High; San Ramon Valley High</t>
  </si>
  <si>
    <t>Summit Public School K2</t>
  </si>
  <si>
    <t>Summit Public School: Tamalpais</t>
  </si>
  <si>
    <t>Acalanes Union High</t>
  </si>
  <si>
    <t>Antioch Unified</t>
  </si>
  <si>
    <t>John Swett Unified</t>
  </si>
  <si>
    <t>Martinez Unified</t>
  </si>
  <si>
    <t>Mt. Diablo Unified</t>
  </si>
  <si>
    <t>Pittsburg Unified</t>
  </si>
  <si>
    <t>San Ramon Valley Unified</t>
  </si>
  <si>
    <t>Total: 13</t>
  </si>
  <si>
    <t>Del Norte County Unified</t>
  </si>
  <si>
    <t>1</t>
  </si>
  <si>
    <t>Clarksville Charter</t>
  </si>
  <si>
    <t>El Dorado Union High</t>
  </si>
  <si>
    <t>Lake Tahoe Unified</t>
  </si>
  <si>
    <t>El Dorado High; Oak Ridge High; Ponderosa High; Union Mine High</t>
  </si>
  <si>
    <t>Total: 3</t>
  </si>
  <si>
    <t>6</t>
  </si>
  <si>
    <t>Caruthers Unified</t>
  </si>
  <si>
    <t>Central Unified</t>
  </si>
  <si>
    <t>Clovis Unified</t>
  </si>
  <si>
    <t>Coalinga-Huron Unified</t>
  </si>
  <si>
    <t>Firebaugh-Las Deltas Unified</t>
  </si>
  <si>
    <t>Fowler Unified</t>
  </si>
  <si>
    <t>Fresno Unified</t>
  </si>
  <si>
    <t>Kerman Unified</t>
  </si>
  <si>
    <t>Kings Canyon Joint Unified</t>
  </si>
  <si>
    <t>Kingsburg Joint Union High</t>
  </si>
  <si>
    <t>Laton Unified</t>
  </si>
  <si>
    <t>Mendota Unified</t>
  </si>
  <si>
    <t>Parlier Unified</t>
  </si>
  <si>
    <t>Sanger Unified</t>
  </si>
  <si>
    <t>Selma Unified</t>
  </si>
  <si>
    <t>Washington Unified</t>
  </si>
  <si>
    <t>Caruthers High</t>
  </si>
  <si>
    <t>Central East High; Central High; Justin Garza High</t>
  </si>
  <si>
    <t>Buchanan High; Clovis East High; Clovis High; Clovis North High; Clovis West High; Clovis Online Charter</t>
  </si>
  <si>
    <t>Firebaugh High</t>
  </si>
  <si>
    <t>Bullard High; 	Design Science Middle College High; Edison High; Erma Duncan Polytechnical High; Fresno High; Herbert Hoover High; J. E. Young Academic Center; McLane High; Roosevelt High, Sunnyside High</t>
  </si>
  <si>
    <t>Enterprise High; Kerman High; Kerman Unified Online</t>
  </si>
  <si>
    <t xml:space="preserve">Washington High </t>
  </si>
  <si>
    <t>Sanger High; Sanger West High</t>
  </si>
  <si>
    <t>Total: 18</t>
  </si>
  <si>
    <t>Glenn County Office of Education</t>
  </si>
  <si>
    <t>Hamilton Unified</t>
  </si>
  <si>
    <t>Orland Joint Unified</t>
  </si>
  <si>
    <t>William Finch Charter School</t>
  </si>
  <si>
    <t>Hamilton High</t>
  </si>
  <si>
    <t>3</t>
  </si>
  <si>
    <t>Eureka City Schools</t>
  </si>
  <si>
    <t>Fortuna Union High</t>
  </si>
  <si>
    <t>Northern Humboldt Union High</t>
  </si>
  <si>
    <t>Southern Humboldt Joint Unified</t>
  </si>
  <si>
    <t>Academy of the Redwoods</t>
  </si>
  <si>
    <t>Calexico Unified</t>
  </si>
  <si>
    <t>Central Union High</t>
  </si>
  <si>
    <t>Holtville Unified</t>
  </si>
  <si>
    <t>San Pasqual Valley Unified</t>
  </si>
  <si>
    <t>Central Union High; Desert Oasis High (Continuation); Southwest High</t>
  </si>
  <si>
    <t>Holtville High</t>
  </si>
  <si>
    <t>San Pasqual Valley High</t>
  </si>
  <si>
    <t>Bishop Unified</t>
  </si>
  <si>
    <t>Delano Joint Union High</t>
  </si>
  <si>
    <t>Heartland Charter</t>
  </si>
  <si>
    <t>Kern County Office of Education</t>
  </si>
  <si>
    <t>Kern High</t>
  </si>
  <si>
    <t>McFarland Unified</t>
  </si>
  <si>
    <t>Sierra Sands Unified</t>
  </si>
  <si>
    <t>Tehachapi Unified</t>
  </si>
  <si>
    <t>Wasco Union High</t>
  </si>
  <si>
    <t>Wonderful College Prep Academy</t>
  </si>
  <si>
    <t>Wonderful College Prep Academy - Lost Hills</t>
  </si>
  <si>
    <t>Total: 10</t>
  </si>
  <si>
    <t>Cesar E. Chavez High School; Delano High School; Robert F. Kennedy High School</t>
  </si>
  <si>
    <t>Valley Oaks Charter</t>
  </si>
  <si>
    <t>Burroughs High</t>
  </si>
  <si>
    <t>Tehachapi High</t>
  </si>
  <si>
    <t>Hanford Joint Union High</t>
  </si>
  <si>
    <t>Lemoore Middle College High</t>
  </si>
  <si>
    <t>Lemoore Online College Preparatory High</t>
  </si>
  <si>
    <t>Lemoore Union High</t>
  </si>
  <si>
    <t>Hanford High; Hanford West High; Sierra Pacific High</t>
  </si>
  <si>
    <t>Lemoore High</t>
  </si>
  <si>
    <t>California Connections Academy North Bay</t>
  </si>
  <si>
    <t>Konocti Unified</t>
  </si>
  <si>
    <t>Lower Lake High</t>
  </si>
  <si>
    <t>Lassen Union High</t>
  </si>
  <si>
    <t>ABC Unified</t>
  </si>
  <si>
    <t>Alhambra Unified</t>
  </si>
  <si>
    <t>Alliance Academy Schools</t>
  </si>
  <si>
    <t>Alliance Morgan McKinzie High</t>
  </si>
  <si>
    <t>Anahuacalmecac International University Preparatory of North America</t>
  </si>
  <si>
    <t>Animo Charter Schools</t>
  </si>
  <si>
    <t>Antelope Valley Union High</t>
  </si>
  <si>
    <t>Arcadia Unified</t>
  </si>
  <si>
    <t>Aspire Ollin University Preparatory Academy</t>
  </si>
  <si>
    <t>Aspire Pacific Academy</t>
  </si>
  <si>
    <t>Azusa Unified</t>
  </si>
  <si>
    <t>Bassett Unified</t>
  </si>
  <si>
    <t>Bellflower Unified</t>
  </si>
  <si>
    <t>Beverly Hills Unified</t>
  </si>
  <si>
    <t>Birmingham Community Charter High</t>
  </si>
  <si>
    <t>Bonita Unified</t>
  </si>
  <si>
    <t>Burbank Unified</t>
  </si>
  <si>
    <t>California Pacific Charter- Los Angeles</t>
  </si>
  <si>
    <t>California School of the Arts - San Gabriel Valley</t>
  </si>
  <si>
    <t>California Virtual Academy @ Los Angeles</t>
  </si>
  <si>
    <t>CATCH Prep Charter High, Inc.</t>
  </si>
  <si>
    <t>Centinela Valley Union High</t>
  </si>
  <si>
    <t>Charter Oak Unified</t>
  </si>
  <si>
    <t>Claremont Unified</t>
  </si>
  <si>
    <t>Compton Unified</t>
  </si>
  <si>
    <t>Culver City Unified</t>
  </si>
  <si>
    <t>Da Vinci Science</t>
  </si>
  <si>
    <t>Downey Unified</t>
  </si>
  <si>
    <t>Ednovate College Prep Schools</t>
  </si>
  <si>
    <t>El Camino Real Charter High</t>
  </si>
  <si>
    <t>El Monte Union High</t>
  </si>
  <si>
    <t>El Rancho Unified</t>
  </si>
  <si>
    <t>Environmental Charter High - Lawndale</t>
  </si>
  <si>
    <t>Glendale Unified</t>
  </si>
  <si>
    <t>Granada Hills Charter</t>
  </si>
  <si>
    <t>Hacienda La Puente Unified</t>
  </si>
  <si>
    <t>Hawthorne School District</t>
  </si>
  <si>
    <t>iLEAD Hybrid</t>
  </si>
  <si>
    <t>iLEAD Online</t>
  </si>
  <si>
    <t>Inglewood Unified</t>
  </si>
  <si>
    <t>La Canada Unified School District</t>
  </si>
  <si>
    <t>Larchmont Charter</t>
  </si>
  <si>
    <t>Las Virgenes Unified</t>
  </si>
  <si>
    <t>Lifeline Education Charter</t>
  </si>
  <si>
    <t>Long Beach Unified School District</t>
  </si>
  <si>
    <t>Los Angeles County Office of Education</t>
  </si>
  <si>
    <t>Los Angeles Leadership Academy</t>
  </si>
  <si>
    <t>Magnolia Science Academy</t>
  </si>
  <si>
    <t>Magnolia Science Academy 2</t>
  </si>
  <si>
    <t>Magnolia Science Academy 3</t>
  </si>
  <si>
    <t>Magnolia Science Academy 4</t>
  </si>
  <si>
    <t>Magnolia Science Academy 5</t>
  </si>
  <si>
    <t>Manhattan Beach Unified</t>
  </si>
  <si>
    <t>Math and Science College Preparatory</t>
  </si>
  <si>
    <t>Monrovia Unified</t>
  </si>
  <si>
    <t>Montebello Unified</t>
  </si>
  <si>
    <t>New Designs Charter</t>
  </si>
  <si>
    <t>New West Charter</t>
  </si>
  <si>
    <t>Norwalk-La Mirada Unified</t>
  </si>
  <si>
    <t>Opportunities for Learning - Baldwin Park</t>
  </si>
  <si>
    <t>Opportunities for Learning - William S. Hart</t>
  </si>
  <si>
    <t>Options For Youth - Duarte, Inc</t>
  </si>
  <si>
    <t>Options for Youth-Acton</t>
  </si>
  <si>
    <t>Palisades Charter High</t>
  </si>
  <si>
    <t>Palmdale Academy Charter</t>
  </si>
  <si>
    <t>Palmdale Aerospace Academy</t>
  </si>
  <si>
    <t>Palos Verdes Peninsula Unified</t>
  </si>
  <si>
    <t>Paramount Unified</t>
  </si>
  <si>
    <t>Pasadena Unified</t>
  </si>
  <si>
    <t>Pomona Unified</t>
  </si>
  <si>
    <t>Port of Los Angeles High</t>
  </si>
  <si>
    <t>PUC Community Charter Middle and PUC Community Charter Early College High</t>
  </si>
  <si>
    <t>PUC Lakeview Charter High</t>
  </si>
  <si>
    <t>PUC Triumph Charter Academy and PUC Triumph Charter High School</t>
  </si>
  <si>
    <t>Redondo Beach Unified</t>
  </si>
  <si>
    <t>Rise Kohyang High</t>
  </si>
  <si>
    <t>Rowland Unified</t>
  </si>
  <si>
    <t>San Gabriel Unified</t>
  </si>
  <si>
    <t>San Marino Unified</t>
  </si>
  <si>
    <t>Santa Clarita Valley International</t>
  </si>
  <si>
    <t>Santa Monica-Malibu Unified</t>
  </si>
  <si>
    <t>South Pasadena Unified</t>
  </si>
  <si>
    <t>Stella High Charter Academy</t>
  </si>
  <si>
    <t>Teach Tech Charter High</t>
  </si>
  <si>
    <t>Temple City Unified</t>
  </si>
  <si>
    <t>Torrance Unified</t>
  </si>
  <si>
    <t>Wallis Annenberg High</t>
  </si>
  <si>
    <t>Walnut Valley Unified</t>
  </si>
  <si>
    <t>West Covina Unified</t>
  </si>
  <si>
    <t>Whittier Union High</t>
  </si>
  <si>
    <t>William S. Hart Union High</t>
  </si>
  <si>
    <t>WISH Academy High</t>
  </si>
  <si>
    <t>Artesia High; Cerritos High; Gahr (Richard) High</t>
  </si>
  <si>
    <t>Alhambra High; Independence High; Mark Keppel Highl; San Gabriel High</t>
  </si>
  <si>
    <t>Alliance Cindy and Bill Simon Technology Academy High; Alliance Collins Family College-Ready High; Alliance Dr. Olga Mohan High; Alliance Gertz-Ressler Richard Merkin 6-12 Complex; Alliance Marine - Innovation and Technology 6-12 Complex; Alliance Judy Ivie Burton Technology High; Alliance Leichtman-Levine Family Foundation Environmental Science High; Alliance Marc &amp; Eva Stern Math and Science; Alliance Margaret M. Bloomfield Technology Academy High; Alliance Morgan McKinzie High; Alliance Patti And Peter Neuwirth Leadership Academy; Alliance Piera Barbaglia Shaheen Health Services Academy; Alliance Renee &amp; Meyer Luskin Academy High; Alliance Susan and Eric Smidt Technology High; Alliance Ted K. Tajima High; Alliance Tennenbaum Family Technology High; Alliance Ouchi-O'Donovan 6-12 Complex</t>
  </si>
  <si>
    <t>Animo City of Champions Charter High; Animo Inglewood Charter High; Animo Jackie Robinson High; Animo Leadership High; Alain Leroy Locke College Preparatory Academy; Animo Pat Brown; Animo Ralph Bunche Charter High; Animo South Los Angeles Charter; Animo Venice Charter High; Animo Watts College Preparatory Academy; Oscar De La Hoya Animo Charter High</t>
  </si>
  <si>
    <t>Antelope Valley High; Eastside High; Highland High; Lancaster High; Littlerock High; Palmdale High; Quartz Hill High; SOAR High (Students On Academic Rise); William J. (Pete) Knight High</t>
  </si>
  <si>
    <t>Arcadia High</t>
  </si>
  <si>
    <t>Azusa High</t>
  </si>
  <si>
    <t>Bassett Senior High</t>
  </si>
  <si>
    <t>Bellflower High; Mayfair High</t>
  </si>
  <si>
    <t>Beverly Hills High</t>
  </si>
  <si>
    <t>Bonita High; San Dimas High</t>
  </si>
  <si>
    <t>Burbank High; Burroughs High</t>
  </si>
  <si>
    <t>Centinela Valley Independent Study School; Hawthorne High; Lawndale High; Leuzinger High</t>
  </si>
  <si>
    <t>Charter Oak High</t>
  </si>
  <si>
    <t>Claremont High; San Antonio High (Continuation)</t>
  </si>
  <si>
    <t>Compton Early College High; Compton High; Centennial High; Manuel Dominguez High</t>
  </si>
  <si>
    <t>Culver City High</t>
  </si>
  <si>
    <t>Downey High; Warren (Earl) High</t>
  </si>
  <si>
    <t>Ednovate - Brio College Prep; Ednovate - East College Prep; Ednovate - Esperanza College Prep; Ednovate - South LA College Prep; Ednovate - USC Hybrid High College Prep</t>
  </si>
  <si>
    <t>Arroyo High; El Monte High; Mountain View High; Rosemead High; South El Monte High</t>
  </si>
  <si>
    <t>El Rancho High</t>
  </si>
  <si>
    <t>Anderson W. Clark Magnet High; Crescenta Valley High; Glendale High; Herbert Hoover High</t>
  </si>
  <si>
    <t>Glen A. Wilson High; La Puente High; Los Altos High; William Workman High</t>
  </si>
  <si>
    <t>Hawthorne Math and Science Academy</t>
  </si>
  <si>
    <t>City Honors International Preparatory High; Inglewood High; Morningside High</t>
  </si>
  <si>
    <t>Agoura High; Calabasas High</t>
  </si>
  <si>
    <t>International Polytechnic High</t>
  </si>
  <si>
    <t>Inglewood High; La Canada High; Morningside High; City Honors International Preparatory High</t>
  </si>
  <si>
    <t>Mira Costa High</t>
  </si>
  <si>
    <t>Monrovia High</t>
  </si>
  <si>
    <t>Applied Technology Center; Bell Gardens High; Montebello High; Schurr High; Vail High (Continuation)</t>
  </si>
  <si>
    <t>John H. Glenn High; Norwalk High; La MIrada High; Southeast Academy</t>
  </si>
  <si>
    <t>Palos Verdes High; Palos Verdes Peninsula High</t>
  </si>
  <si>
    <t>Buena Vista High; Odyssey STEM Academy; Paramount High</t>
  </si>
  <si>
    <t>Blair High; Early College Magnet; John Muir High; Pasadena High; Marshall Fundamental</t>
  </si>
  <si>
    <t>Diamond Ranch High; Fremont Academy of Engineering and Design; Ganesha High; Garey High; Pomona High; Village Academy of Film and Technology</t>
  </si>
  <si>
    <t>Redondo Union High</t>
  </si>
  <si>
    <t>Nogales High; Rowland High</t>
  </si>
  <si>
    <t>Gabrielino High</t>
  </si>
  <si>
    <t>San Marino High</t>
  </si>
  <si>
    <t>Malibu High; Santa Monica High</t>
  </si>
  <si>
    <t>South Pasadena Senior High</t>
  </si>
  <si>
    <t>Temple City High</t>
  </si>
  <si>
    <t>North High; South High; Torrance High; West High</t>
  </si>
  <si>
    <t>Diamond Bar High; Walnut High</t>
  </si>
  <si>
    <t>Coronado High (Continuation), Edgewood High; Mt. SAC Early College Academy at West Covina; West Covina High</t>
  </si>
  <si>
    <t>California High; La Serna High; Pioneer High; Santa Fe High, Sierra Vista High (Alternative); Whittier High</t>
  </si>
  <si>
    <t>Canyon High; Castaic High; Golden Valley High; Learning Post Academy (Alternative); Saugus High; Valencia High; West Ranch High; William S. Hart High</t>
  </si>
  <si>
    <t>(Refer to next sheet titled "Los Angeles Unified" for the list of participating schools.</t>
  </si>
  <si>
    <t>Abraham Lincoln Senior High;</t>
  </si>
  <si>
    <t>Academies of Education and Empowerment at Carson High;</t>
  </si>
  <si>
    <t>Academy of Medical Arts at Carson High;</t>
  </si>
  <si>
    <t>Alexander Hamilton Senior High;</t>
  </si>
  <si>
    <t>Ambassador-Global Leadership;</t>
  </si>
  <si>
    <t>Arleta High;</t>
  </si>
  <si>
    <t>Augustus Hawkins High;</t>
  </si>
  <si>
    <t>Bell Senior High;</t>
  </si>
  <si>
    <t>Belmont Senior High;</t>
  </si>
  <si>
    <t>Benjamin Franklin Senior High;</t>
  </si>
  <si>
    <t>Berenece Carlson Home Hospital;</t>
  </si>
  <si>
    <t>Boyle Heights Science, Technology, Engineering and Math Magnet;</t>
  </si>
  <si>
    <t>Canoga Park Senior High;</t>
  </si>
  <si>
    <t>Carson Senior High;</t>
  </si>
  <si>
    <t>Cesar E. Chavez Learning Academies-Academy of Scientific Exploration (ASE);</t>
  </si>
  <si>
    <t>Cesar E. Chavez Learning Academies-Arts/Theatre/Entertain Mag;</t>
  </si>
  <si>
    <t>Cesar E. Chavez Learning Academies-Social Justice Humanitas Academy;</t>
  </si>
  <si>
    <t>Cesar E. Chavez Learning Academies-Technology Preparatory Academy;</t>
  </si>
  <si>
    <t>Chatsworth Charter High;</t>
  </si>
  <si>
    <t>City of Angels;</t>
  </si>
  <si>
    <t>Communication and Technology at Diego Rivera Learning Complex;</t>
  </si>
  <si>
    <t>Computer Science Virtual Academy;</t>
  </si>
  <si>
    <t>Contreras Learning Center-Academic Leadership Community;</t>
  </si>
  <si>
    <t>Contreras Learning Center-Los Angeles School of Global Studies;</t>
  </si>
  <si>
    <t>Contreras Learning Center-School of Social Justice;</t>
  </si>
  <si>
    <t>Crenshaw Science, Technology, Engineering, Math and Medicine Magnet;</t>
  </si>
  <si>
    <t>Daniel Pearl Journalism &amp; Communications Magnet;</t>
  </si>
  <si>
    <t>Diego Rivera Learning Complex Green Design STEAM Academy;</t>
  </si>
  <si>
    <t>Downtown Business High;</t>
  </si>
  <si>
    <t>Dr. Maya Angelou Community High;</t>
  </si>
  <si>
    <t>Dr. Richard A. Vladovic Harbor Teacher Preparation Academy;</t>
  </si>
  <si>
    <t>Eagle Rock High;</t>
  </si>
  <si>
    <t>Early College Academy-LA Trade Tech College;</t>
  </si>
  <si>
    <t>East Los Angeles Renaissance Academy at Esteban E. Torres High No. 2;</t>
  </si>
  <si>
    <t>East Valley Senior High;</t>
  </si>
  <si>
    <t>Edward R. Roybal Learning Center;</t>
  </si>
  <si>
    <t>Elizabeth Learning Center;</t>
  </si>
  <si>
    <t>Engineering and Technology Academy at Esteban E. Torres High No. 3;</t>
  </si>
  <si>
    <t>Esteban Torres East LA Performing Arts Magnet;</t>
  </si>
  <si>
    <t>Fairfax Senior High;</t>
  </si>
  <si>
    <t>Felicitas and Gonzalo Mendez High;</t>
  </si>
  <si>
    <t>Foshay Learning Center;</t>
  </si>
  <si>
    <t>Francisco Bravo Medical Magnet High;</t>
  </si>
  <si>
    <t>Frida Kahlo High;</t>
  </si>
  <si>
    <t>Gardena Senior High;</t>
  </si>
  <si>
    <t>George S. Patton Continuation;</t>
  </si>
  <si>
    <t>George Washington Preparatory High;</t>
  </si>
  <si>
    <t>Girls Academic Leadership Academy, Dr. Michelle King School for Sci, Tech, Eng and Math;</t>
  </si>
  <si>
    <t>Grover Cleveland Charter High;</t>
  </si>
  <si>
    <t>Helen Bernstein High;</t>
  </si>
  <si>
    <t>Henry David Thoreau Continuation;</t>
  </si>
  <si>
    <t>Hilda L. Solis Learning Academy School of Technology, Business and Education;</t>
  </si>
  <si>
    <t>Hollywood Senior High;</t>
  </si>
  <si>
    <t>Humanitas Academy of Art and Technology at Esteban E. Torres High No. 4;</t>
  </si>
  <si>
    <t>Humanities and Arts (HARTS) Academy of Los Angeles;</t>
  </si>
  <si>
    <t>Huntington Park Senior High;</t>
  </si>
  <si>
    <t>International Studies Learning Center at Legacy High School Complex;</t>
  </si>
  <si>
    <t>James A. Garfield Senior High;</t>
  </si>
  <si>
    <t>James Monroe High;</t>
  </si>
  <si>
    <t>Jane Addams Continuation;</t>
  </si>
  <si>
    <t>John C. Fremont Senior High;</t>
  </si>
  <si>
    <t>John F. Kennedy High;</t>
  </si>
  <si>
    <t>John H. Francis Polytechnic;</t>
  </si>
  <si>
    <t>John Marshall Senior High;</t>
  </si>
  <si>
    <t>Jordan High;</t>
  </si>
  <si>
    <t>King/Drew Medical Magnet High;</t>
  </si>
  <si>
    <t>Lake Balboa College Preparatory Magnet K-12;</t>
  </si>
  <si>
    <t>Leadership &amp; Public Service Virtual Academy;</t>
  </si>
  <si>
    <t>Linda Esperanza Marquez High A Huntington Park Institute of Applied Medicine;</t>
  </si>
  <si>
    <t>Linda Esperanza Marquez High B LIBRA Academy;</t>
  </si>
  <si>
    <t>Linda Esperanza Marquez High C School of Social Justice;</t>
  </si>
  <si>
    <t>Los Angeles Center for Enriched Studies;</t>
  </si>
  <si>
    <t>Los Angeles High School of the Arts;</t>
  </si>
  <si>
    <t>Los Angeles Senior High;</t>
  </si>
  <si>
    <t>Manual Arts Senior High;</t>
  </si>
  <si>
    <t>Marlton;</t>
  </si>
  <si>
    <t>Math, Science, &amp; Technology Magnet Academy at Roosevelt High;</t>
  </si>
  <si>
    <t>Maywood Academy High;</t>
  </si>
  <si>
    <t>Maywood Center for Enriched Studies;</t>
  </si>
  <si>
    <t>Mervyn M. Dymally High;</t>
  </si>
  <si>
    <t>Middle College High;</t>
  </si>
  <si>
    <t>Nathaniel Narbonne Senior High;</t>
  </si>
  <si>
    <t>Nava College Preparatory Academy;</t>
  </si>
  <si>
    <t>New Open World Academy K-12;</t>
  </si>
  <si>
    <t>North Hollywood Senior High;</t>
  </si>
  <si>
    <t>Northridge Academy High;</t>
  </si>
  <si>
    <t>Orthopaedic Hospital;</t>
  </si>
  <si>
    <t>Panorama High;</t>
  </si>
  <si>
    <t>Performing Arts Community at Diego Rivera Learning Complex;</t>
  </si>
  <si>
    <t>Phineas Banning Senior High;</t>
  </si>
  <si>
    <t>Public Service Community at Diego Rivera Learning Complex;</t>
  </si>
  <si>
    <t>Ramon C. Cortines School of Visual and Performing Arts;</t>
  </si>
  <si>
    <t>Rancho Dominguez Preparatory;</t>
  </si>
  <si>
    <t>Reseda Charter High;</t>
  </si>
  <si>
    <t>Robert Fulton College Preparatory;</t>
  </si>
  <si>
    <t>San Fernando Senior High;</t>
  </si>
  <si>
    <t>San Pedro Senior High;</t>
  </si>
  <si>
    <t>Santee Education Complex;</t>
  </si>
  <si>
    <t>School for the Visual Arts and Humanities;</t>
  </si>
  <si>
    <t>School of Business and Tourism at Contreras Learning Complex;</t>
  </si>
  <si>
    <t>Science Academy STEM Magnet;</t>
  </si>
  <si>
    <t>Science, Technology, Engineering, Arts and Mathematics at Legacy High School Complex;</t>
  </si>
  <si>
    <t>Sherman Oaks Center for Enriched Studies;</t>
  </si>
  <si>
    <t>Social Justice Leadership Academy Magnet at Esteban E. Torres High No 5;</t>
  </si>
  <si>
    <t>Sotomayor Arts and Sciences Magnet;</t>
  </si>
  <si>
    <t>South East High;</t>
  </si>
  <si>
    <t>South Gate Senior High;</t>
  </si>
  <si>
    <t>STEM Academy at Bernstein High;</t>
  </si>
  <si>
    <t>Sun Valley Magnet;</t>
  </si>
  <si>
    <t>Susan Miller Dorsey Senior High;</t>
  </si>
  <si>
    <t>Sylmar Biotech Health and Engineering Magnet;</t>
  </si>
  <si>
    <t>Sylmar Charter High;</t>
  </si>
  <si>
    <t>Taft Charter High;</t>
  </si>
  <si>
    <t>Theodore Roosevelt Senior High;</t>
  </si>
  <si>
    <t>Thirty-Second Street USC Performing Arts;</t>
  </si>
  <si>
    <t>Thomas Jefferson Senior High;</t>
  </si>
  <si>
    <t>UCLA Community K-12;</t>
  </si>
  <si>
    <t>Ulysses S. Grant Senior High;</t>
  </si>
  <si>
    <t>University High School Charter;</t>
  </si>
  <si>
    <t>University Pathways Medical Magnet Academy;</t>
  </si>
  <si>
    <t>Valley Academy of Arts and Sciences;</t>
  </si>
  <si>
    <t>Valley Oaks Center for Enriched Studies;</t>
  </si>
  <si>
    <t>Van Nuys Senior High;</t>
  </si>
  <si>
    <t>Venice Senior High;</t>
  </si>
  <si>
    <t>Verdugo Hills Senior High;</t>
  </si>
  <si>
    <t>Virtual Academy of Business &amp; Entrepreneurship;</t>
  </si>
  <si>
    <t>Virtual Academy of International Studies/Humanities (World Languages and Cultures);</t>
  </si>
  <si>
    <t>Virtual Academy of the Arts &amp; Entertainment;</t>
  </si>
  <si>
    <t>Virtual Academy STEAM;</t>
  </si>
  <si>
    <t>Visual and Performing Arts at Legacy High School Complex;</t>
  </si>
  <si>
    <t>WESM Health/Sports Medicine;</t>
  </si>
  <si>
    <t>West Adams Preparatory High;</t>
  </si>
  <si>
    <t>Woodrow Wilson Senior High;</t>
  </si>
  <si>
    <t>Chowchilla Union High</t>
  </si>
  <si>
    <t>Golden Valley Unified</t>
  </si>
  <si>
    <t>Madera Unified School District</t>
  </si>
  <si>
    <t>Yosemite Unified</t>
  </si>
  <si>
    <t>Liberty High</t>
  </si>
  <si>
    <t>Madera High; Madera South High; Matilda Torres High</t>
  </si>
  <si>
    <t>Yosemite High</t>
  </si>
  <si>
    <t>Novato Unified</t>
  </si>
  <si>
    <t>San Rafael City High</t>
  </si>
  <si>
    <t>Shoreline Unified</t>
  </si>
  <si>
    <t>Tamalpais Union High</t>
  </si>
  <si>
    <t>San Marin High</t>
  </si>
  <si>
    <t>San Rafael High; Terra Linda High</t>
  </si>
  <si>
    <t>Tomales High</t>
  </si>
  <si>
    <t>Archie Williams High; Redwood High; San Andreas High (Continuation); Tamalpais High; Tamiscal High (Alternative)</t>
  </si>
  <si>
    <t>9</t>
  </si>
  <si>
    <t>Anderson Valley Unified</t>
  </si>
  <si>
    <t>Fort Bragg Unified</t>
  </si>
  <si>
    <t>Ukiah Unified</t>
  </si>
  <si>
    <t>Willits Unified</t>
  </si>
  <si>
    <t>Anderson Valley Junior-Senior High</t>
  </si>
  <si>
    <t>Fort Bragg High</t>
  </si>
  <si>
    <t>Ukiah High</t>
  </si>
  <si>
    <t>Willits High</t>
  </si>
  <si>
    <t>Delhi Unified</t>
  </si>
  <si>
    <t xml:space="preserve">Dos Palos Oro Loma Joint Unified </t>
  </si>
  <si>
    <t>Gustine Unified School District</t>
  </si>
  <si>
    <t>Hilmar Unified</t>
  </si>
  <si>
    <t>Le Grand Union High</t>
  </si>
  <si>
    <t>Los Banos Unified</t>
  </si>
  <si>
    <t>Merced County Office of Education</t>
  </si>
  <si>
    <t>Merced Union High</t>
  </si>
  <si>
    <t>Delhi High</t>
  </si>
  <si>
    <t>Dos Palos High</t>
  </si>
  <si>
    <t>Gustine High</t>
  </si>
  <si>
    <t>Hilmar High</t>
  </si>
  <si>
    <t>Granada High; Le Grand High</t>
  </si>
  <si>
    <t>Merced Scholars Charter</t>
  </si>
  <si>
    <t>Atwater High; Buhach Colony High; El Capitan High; Golden Valley High; Livingston High; Merced High</t>
  </si>
  <si>
    <t>Total: 8</t>
  </si>
  <si>
    <t>Los Banos High; Pacheco High</t>
  </si>
  <si>
    <t>15</t>
  </si>
  <si>
    <t>Eastern Sierra Unified</t>
  </si>
  <si>
    <t>Mammoth Unified</t>
  </si>
  <si>
    <t>Coleville High; Lee Vining High</t>
  </si>
  <si>
    <t>Mammoth High</t>
  </si>
  <si>
    <t>Carmel Unified</t>
  </si>
  <si>
    <t>Gonzales Unified</t>
  </si>
  <si>
    <t>Monterey Peninsula Unified</t>
  </si>
  <si>
    <t>North Monterey County Unified</t>
  </si>
  <si>
    <t>Pacific Grove Unified</t>
  </si>
  <si>
    <t>Salinas Union High</t>
  </si>
  <si>
    <t>Soledad Unified</t>
  </si>
  <si>
    <t>South Monterey County Joint Union</t>
  </si>
  <si>
    <t>Carmel High</t>
  </si>
  <si>
    <t>Gonzales High</t>
  </si>
  <si>
    <t>Marina High; Monterey High; Seaside High</t>
  </si>
  <si>
    <t>Central Bay High (Continuation); North Monterey County High; North Monterey County Center for Independent Study</t>
  </si>
  <si>
    <t>Pacific Grove High</t>
  </si>
  <si>
    <t>Alisal High; El Puente;Everett Alvarez High; Mount Toro High; North Salinas High; Rancho San Juan High; Salinas High</t>
  </si>
  <si>
    <t>Soledad High</t>
  </si>
  <si>
    <t>Greenfield High; King City High</t>
  </si>
  <si>
    <t>19</t>
  </si>
  <si>
    <t>Calistoga Joint Unified</t>
  </si>
  <si>
    <t>Napa Valley Unified</t>
  </si>
  <si>
    <t>St. Helena Unified</t>
  </si>
  <si>
    <t>Calistoga Junior/Senior High</t>
  </si>
  <si>
    <t>American Canyon High School; Napa High School; New Technology High School; Vintage High School</t>
  </si>
  <si>
    <t>St. Helena High</t>
  </si>
  <si>
    <t>Nevada Joint Union High</t>
  </si>
  <si>
    <t>Bear River High; Nevada Union High; William &amp; Marian Ghidotti High</t>
  </si>
  <si>
    <t>Anaheim Union High</t>
  </si>
  <si>
    <t>Brea-Olinda Unified</t>
  </si>
  <si>
    <t>California Connections Academy Southern California</t>
  </si>
  <si>
    <t>Capistrano Unified</t>
  </si>
  <si>
    <t>Citrus Springs Charter</t>
  </si>
  <si>
    <t>Ednovate - Legacy College Prep</t>
  </si>
  <si>
    <t>Fullerton Joint Union High</t>
  </si>
  <si>
    <t>Garden Grove Unified</t>
  </si>
  <si>
    <t>Huntington Beach Union High</t>
  </si>
  <si>
    <t xml:space="preserve">Irvine Unified </t>
  </si>
  <si>
    <t>Laguna Beach Unified</t>
  </si>
  <si>
    <t>Magnolia Science Academy Santa Ana</t>
  </si>
  <si>
    <t>Newport-Mesa Unified</t>
  </si>
  <si>
    <t>Nova Academy Early College High</t>
  </si>
  <si>
    <t>Opportunities for Learning - Capistrano</t>
  </si>
  <si>
    <t>Orange County Department of Education</t>
  </si>
  <si>
    <t>Orange County School of the Arts</t>
  </si>
  <si>
    <t>Orange Unified</t>
  </si>
  <si>
    <t>Placentia-Yorba Linda Unified</t>
  </si>
  <si>
    <t>Saddleback Valley Unified</t>
  </si>
  <si>
    <t>Samueli Academy</t>
  </si>
  <si>
    <t>Santa Ana Unified</t>
  </si>
  <si>
    <t>Tustin Unified</t>
  </si>
  <si>
    <t>Total: 23</t>
  </si>
  <si>
    <t>Brea Olinda High</t>
  </si>
  <si>
    <t>Aliso Niguel High; California Preparatory Academy; Capistrano Union High; Capistrano Valley High; Dana Hills High; San Clemente High; San Juan Hills High; Tesoro High</t>
  </si>
  <si>
    <t>Buena Park High; Fullerton Union High; La Habra High; La Sierra High (Alternative); Sonora High; Sunny Hills High; Troy High</t>
  </si>
  <si>
    <t>Bolsa Grande High; Garden Grove High; La Quinta High; Los Amigos High; Pacifica High School; Rancho Alamitos High; Santiago High</t>
  </si>
  <si>
    <t>Coast High; Edison High; Fountain Valley High School; Huntington Beach High; Marina High; Westminster High; Ocean View High; Valley Vista High</t>
  </si>
  <si>
    <t>Irvine High; Northwood High; Portola High; Rancho San Joaquin High; University High; Woodbridge High</t>
  </si>
  <si>
    <t>Laguna Beach High</t>
  </si>
  <si>
    <t>Estancia High; Corona Del Mar High; Costa Mesa High; Early College High; Monte Vista High; Newport Harbor High</t>
  </si>
  <si>
    <t>Unity Middle College High</t>
  </si>
  <si>
    <t>Canyon High; El Modena High; Orange High; Villa Park High</t>
  </si>
  <si>
    <t>El Dorado High; Esperanza High; Parkview; Valencia High; Yorba Linda High</t>
  </si>
  <si>
    <t>El Toro High; Laguna Hills High; Mission Viejo High; Silverado High; SVUSD Virtual Academy (Alternative); Trabuco Hills High</t>
  </si>
  <si>
    <t>Advanced Learning Academy; Century High School; Chavez High School; Godinez Fundamental High School; Saddleback High School; Santa Ana High School; Santa Ana Virtual Academy; Segerstrom High School; Valley High School</t>
  </si>
  <si>
    <t>Arnold O. Beckman High; Foothill High; Tustin High</t>
  </si>
  <si>
    <t>Placer Union High</t>
  </si>
  <si>
    <t>Rocklin Unified</t>
  </si>
  <si>
    <t>Roseville Joint Union High</t>
  </si>
  <si>
    <t>Tahoe-Truckee Unified</t>
  </si>
  <si>
    <t>Western Placer Unified</t>
  </si>
  <si>
    <t>Western Sierra Collegiate Academy</t>
  </si>
  <si>
    <t>Total: 6</t>
  </si>
  <si>
    <t>Colfax High; Del Oro High; Foresthill High; Maidu Virtual Charter Academy; Placer High</t>
  </si>
  <si>
    <t>Rocklin High; Whitney High</t>
  </si>
  <si>
    <t>Antelope High; Granite Bay High; Oakmont High; Roseville High; West Park High; Woodcreek High</t>
  </si>
  <si>
    <t>North Tahoe High; Tahoe Truckee High; Sierra High (Continuation)</t>
  </si>
  <si>
    <t>Lincoln High; Phoenix High (Continuation); Twelve Bridges High</t>
  </si>
  <si>
    <t>Plumas Unified</t>
  </si>
  <si>
    <t>Chester Junior/Senior High; Greenville High; Portola Junior/Senior High; Quincy Junior/Senior High</t>
  </si>
  <si>
    <t>Alvord Unified</t>
  </si>
  <si>
    <t>Banning Unified</t>
  </si>
  <si>
    <t>Beaumont Unified</t>
  </si>
  <si>
    <t>California School for the Deaf-Riverside (State Special Schl)</t>
  </si>
  <si>
    <t>Coachella Valley Unified</t>
  </si>
  <si>
    <t>Corona-Norco Unified</t>
  </si>
  <si>
    <t>Desert Sands Unified</t>
  </si>
  <si>
    <t>Hemet Unified</t>
  </si>
  <si>
    <t>Jurupa Unified</t>
  </si>
  <si>
    <t>Lake Elsinore Unified</t>
  </si>
  <si>
    <t>Moreno Valley Unified</t>
  </si>
  <si>
    <t>Murrieta Valley Unified</t>
  </si>
  <si>
    <t>Palm Springs Unified</t>
  </si>
  <si>
    <t>Perris Union High</t>
  </si>
  <si>
    <t>River Springs Charter</t>
  </si>
  <si>
    <t>Riverside Unified</t>
  </si>
  <si>
    <t>San Jacinto Unified</t>
  </si>
  <si>
    <t>San Jacinto Valley Academy</t>
  </si>
  <si>
    <t>Temecula Preparatory</t>
  </si>
  <si>
    <t>Temecula Valley Unified</t>
  </si>
  <si>
    <t>Val Verde Unified</t>
  </si>
  <si>
    <t>Hillcrest High; La Sierra High; Norte Vista High</t>
  </si>
  <si>
    <t>Banning High</t>
  </si>
  <si>
    <t>Beaumont Senior High</t>
  </si>
  <si>
    <t>California School for the Deaf-Riverside</t>
  </si>
  <si>
    <t>Coachella Valley High; Desert Mirage High; West Shores High</t>
  </si>
  <si>
    <t>Academy of Innovation; Centennial High; Corona High; Eleanor Roosevelt High; John F. Kennedy High; Norco High; Santiago High</t>
  </si>
  <si>
    <t>Horizon; Indio High; La Quinta High; Palm Desert High; Shadow Hills High; Summit High (Continuation)</t>
  </si>
  <si>
    <t>Jurupa Valley High; Patriot High; Rubidoux High</t>
  </si>
  <si>
    <t>Elsinore High; Lakeside High; Temescal Canyon High</t>
  </si>
  <si>
    <t>Canyon Springs High; Moreno Valley High; Valley View High; Vista del Lago High</t>
  </si>
  <si>
    <t>Murrieta Mesa High; Murrieta Valley High; Vista Murrieta High</t>
  </si>
  <si>
    <t>Cathedral City High; Desert Hot Springs High; Desert Learning Academy; Palm Springs High; Rancho Mirage High</t>
  </si>
  <si>
    <t>California Military Institute; Heritage High; Liberty High; Paloma Valley High; Perris High; Scholar Plus Online Learning</t>
  </si>
  <si>
    <t>Arlington High; John W. North High; Martin Luther King Jr. High; Polytechnic High; Riverside STEM Academy; Riverside Virtual</t>
  </si>
  <si>
    <t>San Jacinto High</t>
  </si>
  <si>
    <t>Chaparral High; Great Oak High; Temecula Valley High</t>
  </si>
  <si>
    <t>Citrus Hill High; Orange Vista High; Rancho Verde High; Val Verde High</t>
  </si>
  <si>
    <t>Total: 21</t>
  </si>
  <si>
    <t>Corning Union High</t>
  </si>
  <si>
    <t>Los Molinos Unified</t>
  </si>
  <si>
    <t>Corning High</t>
  </si>
  <si>
    <t>Los Molinos High</t>
  </si>
  <si>
    <t>Burton Elementary</t>
  </si>
  <si>
    <t>California Connections Academy Central Valley</t>
  </si>
  <si>
    <t>Dinuba Unified</t>
  </si>
  <si>
    <t>Exeter Unified</t>
  </si>
  <si>
    <t>Farmersville Unified</t>
  </si>
  <si>
    <t>Lindsay Unified</t>
  </si>
  <si>
    <t>Porterville Unified</t>
  </si>
  <si>
    <t>Tulare Joint Union High</t>
  </si>
  <si>
    <t>University Preparatory High</t>
  </si>
  <si>
    <t>Visalia Unified</t>
  </si>
  <si>
    <t>Woodlake Unified</t>
  </si>
  <si>
    <t>Total: 11</t>
  </si>
  <si>
    <t>Summit Charter Academy High School</t>
  </si>
  <si>
    <t>Dinuba High</t>
  </si>
  <si>
    <t>Exeter Union High</t>
  </si>
  <si>
    <t>Farmersville High</t>
  </si>
  <si>
    <t>Lindsay Senior High</t>
  </si>
  <si>
    <t>Granite Hills High; Harmony Magnet Academy; Monache High; Porterville High; Porterville Military Academy; Strathmore High School</t>
  </si>
  <si>
    <t>Mission Oak High; Tulare Union High; Tulare Western High</t>
  </si>
  <si>
    <t>El Diamante High; Golden West High; Mt. Whitney High; Redwood High; Sequoia High; Visalia Charter Independent Study; Visalia Technical Early College</t>
  </si>
  <si>
    <t>Woodlake High</t>
  </si>
  <si>
    <t>Architecture, Construction &amp; Engineering Charter High (ACE)</t>
  </si>
  <si>
    <t>Conejo Valley Unified</t>
  </si>
  <si>
    <t>Fillmore Unified</t>
  </si>
  <si>
    <t>Moorpark Unified</t>
  </si>
  <si>
    <t>Oak Park Unified</t>
  </si>
  <si>
    <t>Ojai Unified</t>
  </si>
  <si>
    <t>Oxnard Union High</t>
  </si>
  <si>
    <t>Simi Valley Unified</t>
  </si>
  <si>
    <t>Ventura Unified</t>
  </si>
  <si>
    <t>Century Academy; Newbury Park High; Thousand Oaks High; Westlake High</t>
  </si>
  <si>
    <t>Fillmore Senior High</t>
  </si>
  <si>
    <t>Moorpark High; The High School at Moorpark College</t>
  </si>
  <si>
    <t>Oak Park High</t>
  </si>
  <si>
    <t>Nordhoff High</t>
  </si>
  <si>
    <t>Adolfo Camarillo High; Channel Islands High; Hueneme High; Oxnard High; Oxnard Middle College High; Pacifica High; Rancho Campana High; Rio Mesa High</t>
  </si>
  <si>
    <t>Monte Vista School; Royal High;  Santa Susana High; Simi Valley High</t>
  </si>
  <si>
    <t>Buena High; El Camino High; Foothill Technology High; Pacific High; Ventura High</t>
  </si>
  <si>
    <t>Davis Joint Unified</t>
  </si>
  <si>
    <t>Esparto Unified</t>
  </si>
  <si>
    <t>Winters Joint Unified</t>
  </si>
  <si>
    <t>Woodland Joint Unified</t>
  </si>
  <si>
    <t>Davis Senior High School, Da Vinci High School, Davis School for Independent Study</t>
  </si>
  <si>
    <t>Esparto High</t>
  </si>
  <si>
    <t>River City High; Washington Middle College High</t>
  </si>
  <si>
    <t>Winters High</t>
  </si>
  <si>
    <t>Pioneer High; Woodland Senior High</t>
  </si>
  <si>
    <t>CORE Charter</t>
  </si>
  <si>
    <t>Marysville Joint Unified</t>
  </si>
  <si>
    <t>Wheatland Union High</t>
  </si>
  <si>
    <t>Lindhurst High; Marysville Charter Academy for the Arts; Marysville High</t>
  </si>
  <si>
    <t>5</t>
  </si>
  <si>
    <t>Center Joint Unified</t>
  </si>
  <si>
    <t>Elk Grove Unified</t>
  </si>
  <si>
    <t>Folsom-Cordova Unified</t>
  </si>
  <si>
    <t>Fortune</t>
  </si>
  <si>
    <t>Natomas Charter</t>
  </si>
  <si>
    <t>Natomas Unified</t>
  </si>
  <si>
    <t>Options for Youth-San Juan</t>
  </si>
  <si>
    <t>River Delta Unified</t>
  </si>
  <si>
    <t>Sacramento City Unified</t>
  </si>
  <si>
    <t>San Juan Unified</t>
  </si>
  <si>
    <t>Twin Rivers Unified</t>
  </si>
  <si>
    <t>Galt Joint Union High School</t>
  </si>
  <si>
    <t>Center High</t>
  </si>
  <si>
    <t>Calvine High; Cosumnes Oaks High; Elk Grove High; Florin High; Franklin High; Laguna Creek High; Monterey Trail High; Pleasant Grove High; Rio Cazadero High (Continuation); Sheldon High; Valley High; Daylor (William) High (Continuation)</t>
  </si>
  <si>
    <t>Cordova High; Folsom High; Vista del Lago High</t>
  </si>
  <si>
    <t>Galt High; Liberty Ranch High</t>
  </si>
  <si>
    <t>Delta High; Rio Vista High</t>
  </si>
  <si>
    <t>Arthur A. Benjamin-Health Professions High; C.K. McClatchy High; Hiram W. Johnson High; John F. Kennedy High; Luther Burbank High; Rosemont High; School of Egineering and Sciences; The MET; Umoja International Academy; West Campus</t>
  </si>
  <si>
    <t>Inderkum High; Leroy Greene Academy; Natomas High; Natomas Pacific Pathways Prep</t>
  </si>
  <si>
    <t>Bella Vista High; Casa Roble Fundamental High; Choices Charter; El Camino Fundamental High; El Sereno Alternative Education; Encina Preparatory High; Mesa Verde High; Mira Loma High; Rio Americano High; San Juan High</t>
  </si>
  <si>
    <t>Creative Connections Arts Academy; Foothill High; Grant Union High; Highlands High; Rio Linda High</t>
  </si>
  <si>
    <t>Total: 12</t>
  </si>
  <si>
    <t>50</t>
  </si>
  <si>
    <t>52</t>
  </si>
  <si>
    <t>San Benito High</t>
  </si>
  <si>
    <t>Hollister High</t>
  </si>
  <si>
    <t>Academy for Academic Excellence</t>
  </si>
  <si>
    <t>Apple Valley Unified</t>
  </si>
  <si>
    <t>Barstow Unified</t>
  </si>
  <si>
    <t>Bear Valley Unified</t>
  </si>
  <si>
    <t>Chaffey Joint Union High</t>
  </si>
  <si>
    <t>Chino Valley Unified</t>
  </si>
  <si>
    <t>Colton Joint Unified</t>
  </si>
  <si>
    <t>Empire Springs Charter</t>
  </si>
  <si>
    <t>Excel Academy Charter</t>
  </si>
  <si>
    <t>Fontana Unified</t>
  </si>
  <si>
    <t>Hesperia Unified</t>
  </si>
  <si>
    <t>Mojave River Academy - Route 66</t>
  </si>
  <si>
    <t>Morongo Unified</t>
  </si>
  <si>
    <t>Options for Youth-San Bernardino</t>
  </si>
  <si>
    <t>Options for Youth-Victor Valley Charter</t>
  </si>
  <si>
    <t>Public Safety Academy</t>
  </si>
  <si>
    <t>Redlands Unified</t>
  </si>
  <si>
    <t>Rialto Unified</t>
  </si>
  <si>
    <t>Rim of the World Unified</t>
  </si>
  <si>
    <t>Riverside Preparatory</t>
  </si>
  <si>
    <t>San Bernardino City Unified</t>
  </si>
  <si>
    <t>Silver Valley Unified</t>
  </si>
  <si>
    <t>Sky Mountain Charter</t>
  </si>
  <si>
    <t>Snowline Joint Unified</t>
  </si>
  <si>
    <t>Upland Unified</t>
  </si>
  <si>
    <t>Victor Valley Union High</t>
  </si>
  <si>
    <t>Total: 26</t>
  </si>
  <si>
    <t>Apple Valley High; Granite Hills High</t>
  </si>
  <si>
    <t>Barstow High</t>
  </si>
  <si>
    <t>Big Bear High</t>
  </si>
  <si>
    <t>Alta Loma High; Chaffey High; Colony High; Etiwanda High; Los Osos High; Montclair High; Ontario High; Rancho Cucamonga High; Valley View High (Continuation)</t>
  </si>
  <si>
    <t>Buena Vista Continuation High; Chino High; Chino Hills High; Don Antonio Lugo High; Ruben S. Ayala High</t>
  </si>
  <si>
    <t>Bloomington High; Colton High; Grand Terrace High School at the Ray Abril Jr. Educational Complex</t>
  </si>
  <si>
    <t>A.B. Miller High School; Birch Continuation High School; Citrus Continuation High School; Fontana High School; Jurupa Hills High School; Kaiser High School; Summit High School</t>
  </si>
  <si>
    <t>Hesperia High; Oak Hills High; Sultana High</t>
  </si>
  <si>
    <t>Twentynine Palms High; Yucca Valley High</t>
  </si>
  <si>
    <t>Citrus Valley High; Redlands East Valley High; Redlands Senior High</t>
  </si>
  <si>
    <t>Eisenhower High; Rialto High; Wilmer Amina Carter High; Zupanic Virtual Academy</t>
  </si>
  <si>
    <t>Rim of the World Senior High</t>
  </si>
  <si>
    <t>Alternative Learning Center; Arroyo Valley High; Cajon High; Indian Springs High; Middle College High; Pacific High; San Andreas High; San Bernardino High; San Gorgonio High School; Sierra High; Virtual Academy</t>
  </si>
  <si>
    <t>Silver Valley High</t>
  </si>
  <si>
    <t>Serrano High</t>
  </si>
  <si>
    <t>Upland High</t>
  </si>
  <si>
    <t>Adelanto High; Cobalt Institute of Math and Science; Lakeview Leadership Academy; Silverado High, University Preparatory; Victor Valley High</t>
  </si>
  <si>
    <t>70</t>
  </si>
  <si>
    <t>California Pacific Charter - San Diego</t>
  </si>
  <si>
    <t>Carlsbad Unified</t>
  </si>
  <si>
    <t>Chula Vista Learning Community Charter</t>
  </si>
  <si>
    <t>Classical Academy High</t>
  </si>
  <si>
    <t>Coronado Unified</t>
  </si>
  <si>
    <t>e3 Civic High School</t>
  </si>
  <si>
    <t>Escondido Charter High</t>
  </si>
  <si>
    <t>Escondido Union High</t>
  </si>
  <si>
    <t>Fallbrook Union High</t>
  </si>
  <si>
    <t>Grossmont Union High</t>
  </si>
  <si>
    <t>Guajome Park Academy Charter</t>
  </si>
  <si>
    <t>Health Sciences High and Middle College</t>
  </si>
  <si>
    <t>High Tech High</t>
  </si>
  <si>
    <t>High Tech High International</t>
  </si>
  <si>
    <t>High Tech High Media Arts</t>
  </si>
  <si>
    <t>Ingenuity Charter</t>
  </si>
  <si>
    <t>Mountain Empire Unified</t>
  </si>
  <si>
    <t>Mueller Charter (Robert L.)</t>
  </si>
  <si>
    <t>Oceanside Unified</t>
  </si>
  <si>
    <t>Pacific View Charter School</t>
  </si>
  <si>
    <t>Poway Unified</t>
  </si>
  <si>
    <t>Ramona Unified</t>
  </si>
  <si>
    <t>River Valley Charter</t>
  </si>
  <si>
    <t>San Dieguito Union High</t>
  </si>
  <si>
    <t>San Marcos Unified</t>
  </si>
  <si>
    <t>SBC - High Tech High</t>
  </si>
  <si>
    <t>Sweetwater Union High</t>
  </si>
  <si>
    <t>The O'Farrell Charter</t>
  </si>
  <si>
    <t>The Preuss School UC San Diego</t>
  </si>
  <si>
    <t>Valley Center-Pauma Unified</t>
  </si>
  <si>
    <t>Vista Springs Charter</t>
  </si>
  <si>
    <t>Vista Unified</t>
  </si>
  <si>
    <t>San Diego Unified</t>
  </si>
  <si>
    <t>Carlsbad High; Sage Creek High</t>
  </si>
  <si>
    <t>Coronado High</t>
  </si>
  <si>
    <t>Del Lago Academy - Campus of Applied Science; Escondido High; Orange Glen High; San Pasqual High</t>
  </si>
  <si>
    <t>Fallbrook High; Oasis High (Alternative)</t>
  </si>
  <si>
    <t>Campo High School; Hillside Junior/Senior High; Mountain Empire High</t>
  </si>
  <si>
    <t>El Camino High; Oceanside High; Surfside Academy</t>
  </si>
  <si>
    <t>Del Norte High; Mt. Carmel High; Poway to Palomar Middle College High; Rancho Bernardo High; Poway High; Westview High</t>
  </si>
  <si>
    <t>Ramona High</t>
  </si>
  <si>
    <t>Canyon Hills High; Clairemont Canyons Academy; Crawford High; East Village Middle College High; Henry High; Hoover High; Kearny Digital Media &amp; Design; La Jolla High; Lincoln High; Madison High; Mira Mesa High; Mission Bay High; Morse High; Mt. Everest Academy; Point Loma High; San Diego High; Scripps Ranch High; Twain High; University City High</t>
  </si>
  <si>
    <t>Canyon Crest Academy; La Costa Canyon High; San Dieguito High Academy; Sunset High; Torrey Pines High</t>
  </si>
  <si>
    <t>Mission Hills High; San Marcos High</t>
  </si>
  <si>
    <t>High Tech High Chula Vista; High Tech High Mesa; High Tech High North County</t>
  </si>
  <si>
    <t>Bonita Vista Senior High; Castle Park Senior High; Chula Vista Senior High; Eastlake High; Hilltop Senior High; Independent Studies; Mar Vista Senior High; Montgomery Senior High; Olympian High; Otay Ranch Senior High; San Ysidro High; Southwest Senior High; Sweetwater High</t>
  </si>
  <si>
    <t>Valley Center High</t>
  </si>
  <si>
    <t>Mission Vista High; Rancho Buena Vista High; Vista High</t>
  </si>
  <si>
    <t>El Cajon Valley; El Capitan; Granite Hills; Grossmont; Grossmont Middle College; Monte Vista; Mount Miguel; Santana; Valhalla; West Hills; Helix High; Steele Canyon High</t>
  </si>
  <si>
    <t>Total: 34</t>
  </si>
  <si>
    <t>98</t>
  </si>
  <si>
    <t>City Arts &amp; Leadership Academy</t>
  </si>
  <si>
    <t>KIPP San Francisco College Preparatory</t>
  </si>
  <si>
    <t>San Francisco Unified</t>
  </si>
  <si>
    <t>Asawa (Ruth) SF Sch of the Arts, A Public School; Balboa High; Burton (Phillip and Sala) Academic High; Galileo High; Independence High; Jordan (June) School for Equity; Lincoln (Abraham) High; Lowell High; Marshall (Thurgood) High; Mission High; O'Connell (John) High; S.F. International High; Wallenberg (Raoul) Traditional High; Washington (George) High; Wells (Ida B.) High</t>
  </si>
  <si>
    <t>17</t>
  </si>
  <si>
    <t>California Connections Academy Northern California</t>
  </si>
  <si>
    <t>Escalon Unified</t>
  </si>
  <si>
    <t>Lammersville Joint Unified</t>
  </si>
  <si>
    <t>Lincoln Unified</t>
  </si>
  <si>
    <t>Linden Unified</t>
  </si>
  <si>
    <t>Lodi Unified</t>
  </si>
  <si>
    <t>Manteca Unified</t>
  </si>
  <si>
    <t>Millennium Charter</t>
  </si>
  <si>
    <t>Ripon Unified</t>
  </si>
  <si>
    <t>Stockton Collegiate International Secondary</t>
  </si>
  <si>
    <t>Stockton Unified</t>
  </si>
  <si>
    <t>Tracy Joint Unified</t>
  </si>
  <si>
    <t>Venture Academy</t>
  </si>
  <si>
    <t>Escalon High</t>
  </si>
  <si>
    <t>Mountain House High</t>
  </si>
  <si>
    <t>Lincoln High</t>
  </si>
  <si>
    <t>Linden High</t>
  </si>
  <si>
    <t>Bear Creek High; Lodi High; Middle College High; Ronald E. McNair High; Tokay High</t>
  </si>
  <si>
    <t>East Union High; Lathrop High; Manteca High; Sierra High; Weston Ranch High</t>
  </si>
  <si>
    <t>Ripon High</t>
  </si>
  <si>
    <t>Cesar Chavez High; Edison High; Edward C. Merlo Institute of Environmental Studies; Franklin High School; Health Careers Academy; Jane Frederick High;  Pacific Law Academy; Stagg Senior High; Stockton Early College Academy; Weber Institute</t>
  </si>
  <si>
    <t>John C Kimball High; Merrill F. West High; Tracy High</t>
  </si>
  <si>
    <t>32</t>
  </si>
  <si>
    <t>Atascadero Unified</t>
  </si>
  <si>
    <t>Coast Unified</t>
  </si>
  <si>
    <t>Lucia Mar Unified</t>
  </si>
  <si>
    <t>Paso Robles Joint Unified</t>
  </si>
  <si>
    <t>San Luis Coastal Unified</t>
  </si>
  <si>
    <t>Templeton Unified</t>
  </si>
  <si>
    <t>Arroyo Grande High; Central Coast New Tech High; Nipomo High</t>
  </si>
  <si>
    <t>Atascadero High</t>
  </si>
  <si>
    <t>Coast Union High</t>
  </si>
  <si>
    <t>Paso Robles High</t>
  </si>
  <si>
    <t>Morro Bay High</t>
  </si>
  <si>
    <t>Templeton High</t>
  </si>
  <si>
    <t>8</t>
  </si>
  <si>
    <t>Cabrillo Unified</t>
  </si>
  <si>
    <t>Everest Public High</t>
  </si>
  <si>
    <t>Jefferson Union High</t>
  </si>
  <si>
    <t>La Honda-Pescadero Unified</t>
  </si>
  <si>
    <t>San Mateo Union High</t>
  </si>
  <si>
    <t>Sequoia Union High</t>
  </si>
  <si>
    <t>South San Francisco Unified</t>
  </si>
  <si>
    <t>Summit Preparatory Charter High</t>
  </si>
  <si>
    <t>Summit Public School: Shasta</t>
  </si>
  <si>
    <t>Half Moon Bay High</t>
  </si>
  <si>
    <t>Jefferson High; Oceana High; Terra Nova High; Westmoor High</t>
  </si>
  <si>
    <t>Pescadero High School</t>
  </si>
  <si>
    <t>Aragon High; Burlingame High; Capuchino High; Hillsdale High; Mills High; San Mateo High</t>
  </si>
  <si>
    <t>Carlmont High; East Palo Alto Academy; Menlo-Atherton High; Sequoia High; Tide Academy; Woodside High</t>
  </si>
  <si>
    <t>El Camino High; South San Francisco High</t>
  </si>
  <si>
    <t>23</t>
  </si>
  <si>
    <t>Total: 9</t>
  </si>
  <si>
    <t>California Connections Academy Central Coast</t>
  </si>
  <si>
    <t>Carpinteria Unified</t>
  </si>
  <si>
    <t>Lompoc Unified</t>
  </si>
  <si>
    <t>Orcutt Union Elementary</t>
  </si>
  <si>
    <t>Santa Barbara Unified</t>
  </si>
  <si>
    <t>Santa Maria Joint Union High</t>
  </si>
  <si>
    <t>Santa Ynez Valley Union High</t>
  </si>
  <si>
    <t>Carpinteria Senior High</t>
  </si>
  <si>
    <t>Cabrillo High; Lompoc High</t>
  </si>
  <si>
    <t>Orcutt Academy Charter</t>
  </si>
  <si>
    <t>Alta Vista Alternative High; Dos Pueblos Senior High; La Cuesta Continuation High; San Marcos Senior High; Santa Barbara Senior High</t>
  </si>
  <si>
    <t>Delta High; Ernest Righetti High; Pioneer Valley High; 	Santa Maria High</t>
  </si>
  <si>
    <t>Total: 7</t>
  </si>
  <si>
    <t>B. Roberto Cruz Leadership Academy</t>
  </si>
  <si>
    <t>Campbell Union High</t>
  </si>
  <si>
    <t>Downtown College Prep - Alum Rock</t>
  </si>
  <si>
    <t>Downtown College Preparatory</t>
  </si>
  <si>
    <t>East Side Union High</t>
  </si>
  <si>
    <t>Escuela Popular/Center for Training and Careers, Family Learning</t>
  </si>
  <si>
    <t>Fremont Union High</t>
  </si>
  <si>
    <t>Gilroy Unified</t>
  </si>
  <si>
    <t>KIPP San Jose Collegiate</t>
  </si>
  <si>
    <t>Latino College Preparatory Academy</t>
  </si>
  <si>
    <t>Los Gatos-Saratoga Union High</t>
  </si>
  <si>
    <t>Luis Valdez Leadership Academy</t>
  </si>
  <si>
    <t>Milpitas Unified</t>
  </si>
  <si>
    <t>Morgan Hill Unified</t>
  </si>
  <si>
    <t>Mountain View-Los Altos Union High</t>
  </si>
  <si>
    <t>Palo Alto Unified</t>
  </si>
  <si>
    <t>San Jose Unified</t>
  </si>
  <si>
    <t>Santa Clara Unified</t>
  </si>
  <si>
    <t>Summit Public School: Tahoma</t>
  </si>
  <si>
    <t>University Preparatory Academy Charter</t>
  </si>
  <si>
    <t>Voices College-Bound Language Academy at Morgan Hill</t>
  </si>
  <si>
    <t>Boynton High; Branham High; Del Mar High; Leigh High; Prospect High; Westmont High</t>
  </si>
  <si>
    <t>Andrew P. Hill High; Calero High; Evergreen Valley High; Independence High; James Lick High; Mt. Pleasant High;  Oak Grove High; Piedmont Hills High; Santa Teresa High; Silver Creek High; William C. Overfelt High; Yerba Buena High</t>
  </si>
  <si>
    <t>Cupertino High; Fremont High; Homestead High; Lynbrook High; Monta Vista High</t>
  </si>
  <si>
    <t>Christopher High; Dr. TJ Owens Gilroy Early College Academy; Gilroy High</t>
  </si>
  <si>
    <t>Los Gatos High; Saratoga High</t>
  </si>
  <si>
    <t>Milpitas High; Milpitas Middle College High</t>
  </si>
  <si>
    <t>Mountain View High; Los Altos High</t>
  </si>
  <si>
    <t>Henry M. Gunn High; Palo Alto High</t>
  </si>
  <si>
    <t>Abraham Lincoln High; Gunderson High; Leland High; Pioneer High; San Jose High; Willow Glen High</t>
  </si>
  <si>
    <t>Adrian Wilcox High; Mission Early College High; New Valley Continuation High; Santa Clara High; Wilson Alternative</t>
  </si>
  <si>
    <t>Ann Sobrato High; Live Oak High</t>
  </si>
  <si>
    <t>56</t>
  </si>
  <si>
    <t>California Connections Academy Monterey Bay</t>
  </si>
  <si>
    <t>Ceiba College Preparatory Academy</t>
  </si>
  <si>
    <t>Ocean Grove Charter</t>
  </si>
  <si>
    <t>Pacific Collegiate Charter</t>
  </si>
  <si>
    <t>Pajaro Valley Unfied</t>
  </si>
  <si>
    <t>San Lorenzo Valley Unified</t>
  </si>
  <si>
    <t>Santa Cruz City High</t>
  </si>
  <si>
    <t>Scotts Valley Unified</t>
  </si>
  <si>
    <t>Aptos High; Diamond Technology Institute; Pacific Coast Charter; Pajaro Valley High; PVUSD Virtual Academy; Watsonville High</t>
  </si>
  <si>
    <t>San Lorenzo Valley High</t>
  </si>
  <si>
    <t>Harbor High; Santa Cruz High; Soquel High; Ark Independent Studies</t>
  </si>
  <si>
    <t>Scotts Valley High</t>
  </si>
  <si>
    <t>16</t>
  </si>
  <si>
    <t>Anderson Union High</t>
  </si>
  <si>
    <t>Gateway Unified</t>
  </si>
  <si>
    <t>West Valley Early College High School</t>
  </si>
  <si>
    <t>Central Valley High</t>
  </si>
  <si>
    <t>Sierra-Plumas Joint Unified</t>
  </si>
  <si>
    <t>Loyalton High</t>
  </si>
  <si>
    <t>Scott Valley Unified</t>
  </si>
  <si>
    <t>Etna Union High</t>
  </si>
  <si>
    <t>Benicia Unified</t>
  </si>
  <si>
    <t>Dixon Unified</t>
  </si>
  <si>
    <t>Fairfield-Suisun Unified</t>
  </si>
  <si>
    <t>MIT Academy</t>
  </si>
  <si>
    <t>Travis Education Center</t>
  </si>
  <si>
    <t>Travis Unified</t>
  </si>
  <si>
    <t>Vacaville Unified</t>
  </si>
  <si>
    <t>Vallejo City Unified</t>
  </si>
  <si>
    <t>Benicia High</t>
  </si>
  <si>
    <t>Dixon High</t>
  </si>
  <si>
    <t>Angelo Rodriguez High; Armijo High; Fairfield High; Early College High School (under Rodriguez High School); Public Safety Academy</t>
  </si>
  <si>
    <t>Vanden High</t>
  </si>
  <si>
    <t>Buckingham Collegiate Charter Academy; Vacaville High; Will C. Wood High</t>
  </si>
  <si>
    <t>Vallejo High</t>
  </si>
  <si>
    <t>14</t>
  </si>
  <si>
    <t>California Pacific Charter - Sonoma</t>
  </si>
  <si>
    <t>Cotati-Rohnert Park Unified</t>
  </si>
  <si>
    <t>Credo High</t>
  </si>
  <si>
    <t>Healdsburg Unified</t>
  </si>
  <si>
    <t>Petaluma Joint Union High</t>
  </si>
  <si>
    <t>Pivot Charter School - North Bay</t>
  </si>
  <si>
    <t>Santa Rosa High</t>
  </si>
  <si>
    <t>Sonoma Valley Unified</t>
  </si>
  <si>
    <t>West Sonoma County Union High</t>
  </si>
  <si>
    <t>Windsor Unified</t>
  </si>
  <si>
    <t>Healdsburg High</t>
  </si>
  <si>
    <t>Casa Grande High; Petaluma High</t>
  </si>
  <si>
    <t>Elsie Allen High; Maria Carrillo High; Montgomery High; Piner High; Santa Rosa High</t>
  </si>
  <si>
    <t>Sonoma Valley High</t>
  </si>
  <si>
    <t>Rancho Cotate High; Technology High</t>
  </si>
  <si>
    <t>Analy High</t>
  </si>
  <si>
    <t>Windsor High</t>
  </si>
  <si>
    <t>Ceres Unified</t>
  </si>
  <si>
    <t>Connecting Waters Charter</t>
  </si>
  <si>
    <t>Modesto City High</t>
  </si>
  <si>
    <t>Newman Crows-Landing Unified</t>
  </si>
  <si>
    <t>Oakdale Joint Unified</t>
  </si>
  <si>
    <t>Patterson Joint Unified</t>
  </si>
  <si>
    <t>Riverbank Unified</t>
  </si>
  <si>
    <t>Turlock Unified</t>
  </si>
  <si>
    <t>Waterford Unified</t>
  </si>
  <si>
    <t>Central Valley High; Ceres High</t>
  </si>
  <si>
    <t>Fred C. Beyer High; Grace M. Davis High; James C. Enochs High; Joseph A. Gregori High; Modesto High; Peter Johansen High; Thomas Downey High</t>
  </si>
  <si>
    <t>Orestimba High</t>
  </si>
  <si>
    <t>Oakdale High</t>
  </si>
  <si>
    <t>Patterson High</t>
  </si>
  <si>
    <t>Riverbank High</t>
  </si>
  <si>
    <t>John H. Pitman High; Turlock High</t>
  </si>
  <si>
    <t>Waterford High</t>
  </si>
  <si>
    <t>East Nicolaus Joint Union High</t>
  </si>
  <si>
    <t>Feather River Charter</t>
  </si>
  <si>
    <t>Live Oak Unified</t>
  </si>
  <si>
    <t>South Sutter Charter</t>
  </si>
  <si>
    <t>Sutter Union High</t>
  </si>
  <si>
    <t>Yuba City Unified</t>
  </si>
  <si>
    <t>East Nicolaus High</t>
  </si>
  <si>
    <t>Live Oak High</t>
  </si>
  <si>
    <t>Sutter High</t>
  </si>
  <si>
    <t>Albert Powell Continuation; River Valley High; Yuba City High; Yuba City Independence Academy</t>
  </si>
  <si>
    <t>Amador Valley High; Foothill High</t>
  </si>
  <si>
    <t>Castlemont High; Coliseum College Prep Academy; Fremont High; Independent Study; Sojourner Truth; LIFE Academy; Madison Park Academy 6-12; MetWest High; Oakland High; Oakland International High; Oakland Technical High; Skyline High</t>
  </si>
  <si>
    <t>22</t>
  </si>
  <si>
    <t>39</t>
  </si>
  <si>
    <t>29</t>
  </si>
  <si>
    <t>Anaheim High; Cambridge Virtual Academy; Cyress High; Gilbert High (Continuation); John F. Kennedy High; Katella High; Loara High; Magnolia High; Oxford Academy; Polaris High
Savanna High; Western High</t>
  </si>
  <si>
    <t>91</t>
  </si>
  <si>
    <t>20</t>
  </si>
  <si>
    <t>68</t>
  </si>
  <si>
    <t>24</t>
  </si>
  <si>
    <t>27</t>
  </si>
  <si>
    <t>Avalon K-12; Cabrillo High; California Academy of Mathematics and Science; Educational Partnership High; Ernest S. McBride, Sr. High;Eunice Sato Academy of Math &amp; Science;  Jordan High; Lakewood High;  Millikan High; Polytechnic High; Renaissance High School for the Arts; Richard D. Browning High; Wilson High</t>
  </si>
  <si>
    <t>Tuolumne</t>
  </si>
  <si>
    <t>Grand Total: 54</t>
  </si>
  <si>
    <t>Sonora Union High</t>
  </si>
  <si>
    <t>Sonora High</t>
  </si>
  <si>
    <t>Summerville Union High</t>
  </si>
  <si>
    <t>Connections Visual and Performing Arts Academy; Summerville High</t>
  </si>
  <si>
    <t>Lynwood High; Marco Antonio Firebaugh High</t>
  </si>
  <si>
    <t>Lynwood Unified</t>
  </si>
  <si>
    <t>Total: 94</t>
  </si>
  <si>
    <t>334</t>
  </si>
  <si>
    <t>Academy of Innovation; Hamilton High; Hemet High; Tahquitz; West Valley High; Western Center Academy</t>
  </si>
  <si>
    <t>Red Bluff High</t>
  </si>
  <si>
    <t>Red Bluff High School</t>
  </si>
  <si>
    <t xml:space="preserve">Palo Verde Unifed </t>
  </si>
  <si>
    <t xml:space="preserve">Palo Verde High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</si>
</sst>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30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33" borderId="0" xfId="0" applyFill="1"/>
    <xf numFmtId="0" fontId="16" fillId="0" borderId="1" xfId="3" applyAlignment="1">
      <alignment wrapText="1"/>
    </xf>
    <xf numFmtId="3" fontId="0" fillId="0" borderId="9" xfId="0" applyNumberFormat="1" applyBorder="1" applyAlignment="1">
      <alignment horizontal="right"/>
    </xf>
    <xf numFmtId="0" fontId="16" fillId="0" borderId="1" xfId="3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16" fillId="0" borderId="1" xfId="3" applyAlignment="1">
      <alignment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6" fillId="0" borderId="1" xfId="3" applyFill="1" applyAlignment="1">
      <alignment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right" wrapText="1"/>
    </xf>
    <xf numFmtId="0" fontId="16" fillId="0" borderId="0" xfId="2" applyFont="1" applyFill="1" applyAlignment="1">
      <alignment wrapText="1"/>
    </xf>
    <xf numFmtId="49" fontId="0" fillId="0" borderId="0" xfId="0" applyNumberForma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7" fillId="0" borderId="0" xfId="2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03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5.%20State%20Seal%20Biliteracy%20(SSB)\3.%202023-24\SSB%20Data\SSB%20Annual%20Reports\FINAL%20DATA%20TO%20GINA\2023-24%20List%20of%20Districts%20and%20Schools%20Participating%20-%20Copy.xlsx" TargetMode="External"/><Relationship Id="rId1" Type="http://schemas.openxmlformats.org/officeDocument/2006/relationships/externalLinkPath" Target="2023-24%20List%20of%20Districts%20and%20Schools%20Participating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nty Totals"/>
      <sheetName val="Alameda"/>
      <sheetName val="Amador"/>
      <sheetName val="Butte"/>
      <sheetName val="Calaveras"/>
      <sheetName val="Colusa"/>
      <sheetName val="Contra Costa"/>
      <sheetName val="Del Norte"/>
      <sheetName val="El Dorado"/>
      <sheetName val="Fresno"/>
      <sheetName val="Glenn"/>
      <sheetName val="Humboldt"/>
      <sheetName val="Imperial"/>
      <sheetName val="Inyo"/>
      <sheetName val="Kern"/>
      <sheetName val="Kings"/>
      <sheetName val="Lake"/>
      <sheetName val="Lassen"/>
      <sheetName val="Los Angeles"/>
      <sheetName val="Los Angeles Unified"/>
      <sheetName val="Madera"/>
      <sheetName val="Marin"/>
      <sheetName val="Mendocino"/>
      <sheetName val="Merced"/>
      <sheetName val="Mono"/>
      <sheetName val="Monterey"/>
      <sheetName val="Napa"/>
      <sheetName val="Nevada"/>
      <sheetName val="Orange"/>
      <sheetName val="Placer"/>
      <sheetName val="Plumas"/>
      <sheetName val="Riverside"/>
      <sheetName val="Sacramento"/>
      <sheetName val="San Benito"/>
      <sheetName val="San Bernardino"/>
      <sheetName val="San Diego"/>
      <sheetName val="San Francisco"/>
      <sheetName val="San Joaquin"/>
      <sheetName val="San Luis Obispo"/>
      <sheetName val="San Mateo"/>
      <sheetName val="Santa Barbara"/>
      <sheetName val="Santa Clara"/>
      <sheetName val="Santa Cruz"/>
      <sheetName val="Shasta"/>
      <sheetName val="Sierra"/>
      <sheetName val="Siskiyou"/>
      <sheetName val="Solano"/>
      <sheetName val="Sonoma"/>
      <sheetName val="Stanislaus"/>
      <sheetName val="Sutter"/>
      <sheetName val="Tehama"/>
      <sheetName val="Tuolumne"/>
      <sheetName val="Tulare"/>
      <sheetName val="Ventura"/>
      <sheetName val="Yolo"/>
      <sheetName val="Yuba"/>
      <sheetName val="2023-24 List of Districts and 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C594E87-15EC-4EF1-AE6D-6B96C70A4086}" name="Table3043" displayName="Table3043" ref="A4:AA59" totalsRowCount="1" headerRowDxfId="2502">
  <autoFilter ref="A4:AA58" xr:uid="{00000000-0009-0000-0100-000003000000}"/>
  <tableColumns count="27">
    <tableColumn id="1" xr3:uid="{ACBFF693-740D-4C8C-893E-DA84BCCA6FDC}" name="Participating Counties" totalsRowLabel="Grand Total: 54"/>
    <tableColumn id="14" xr3:uid="{34C8B25E-C959-4C0C-BF8B-0E0286B28F88}" name="Participating Districts Total" totalsRowFunction="custom" dataDxfId="2501" totalsRowDxfId="2500">
      <totalsRowFormula>SUM(B5:B58)</totalsRowFormula>
    </tableColumn>
    <tableColumn id="2" xr3:uid="{DC30CC23-70D1-4B53-A136-EEFB0940CB00}" name="Participating Schools Total" totalsRowFunction="custom" dataDxfId="2499" totalsRowDxfId="2498">
      <totalsRowFormula>SUM(C5:C58)</totalsRowFormula>
    </tableColumn>
    <tableColumn id="3" xr3:uid="{1215A1E8-1D74-457F-86E5-037AD7C67F45}" name="American Sign Language Total" totalsRowFunction="custom" dataDxfId="2497" totalsRowDxfId="2496">
      <totalsRowFormula>SUM(D5:D58)</totalsRowFormula>
    </tableColumn>
    <tableColumn id="16" xr3:uid="{A04EC3C6-378F-46F9-800E-1BB87F0BFD86}" name="Arabic Total" totalsRowFunction="custom" dataDxfId="2495" totalsRowDxfId="2494">
      <totalsRowFormula>SUM(E5:E58)</totalsRowFormula>
    </tableColumn>
    <tableColumn id="4" xr3:uid="{39403E78-4D8F-4370-AADB-4EDFD67F90AD}" name="Armenian Total" totalsRowFunction="custom" dataDxfId="2493" totalsRowDxfId="2492">
      <totalsRowFormula>SUM(F5:F58)</totalsRowFormula>
    </tableColumn>
    <tableColumn id="25" xr3:uid="{157DC12E-67C5-44C7-80E5-CC969D6D555F}" name="Bengali Total" totalsRowFunction="custom" dataDxfId="2491" totalsRowDxfId="2490">
      <totalsRowFormula>SUM(G5:G58)</totalsRowFormula>
    </tableColumn>
    <tableColumn id="20" xr3:uid="{2CDCFDDC-6135-4C12-AA25-82BD6CB922B0}" name="Chinese (Mandarin or Cantonese) Total" totalsRowFunction="custom" dataDxfId="2489" totalsRowDxfId="2488">
      <totalsRowFormula>SUM(H5:H58)</totalsRowFormula>
    </tableColumn>
    <tableColumn id="26" xr3:uid="{CB9A2D42-55A2-4A94-BB2E-7AD682B588B2}" name="Farsi (Persian) Total" totalsRowFunction="custom" dataDxfId="2487" totalsRowDxfId="2486">
      <totalsRowFormula>SUM(I5:I58)</totalsRowFormula>
    </tableColumn>
    <tableColumn id="5" xr3:uid="{D6CA6532-9E63-4F17-94F2-035C7658DCA5}" name="French Total" totalsRowFunction="custom" dataDxfId="2485" totalsRowDxfId="2484">
      <totalsRowFormula>SUM(J5:J58)</totalsRowFormula>
    </tableColumn>
    <tableColumn id="6" xr3:uid="{7CC74F2C-FC44-402F-8ABF-3299602BCD6A}" name="German Total" totalsRowFunction="custom" dataDxfId="2483" totalsRowDxfId="2482">
      <totalsRowFormula>SUM(K5:K58)</totalsRowFormula>
    </tableColumn>
    <tableColumn id="21" xr3:uid="{BC6B6339-A646-4BBE-8874-609E6B35866E}" name="Hebrew Total" totalsRowFunction="custom" dataDxfId="2481" totalsRowDxfId="2480">
      <totalsRowFormula>SUM(L5:L58)</totalsRowFormula>
    </tableColumn>
    <tableColumn id="27" xr3:uid="{D04C5FC7-344E-4FBC-A4DC-EB37C277B487}" name="Hindi Total" totalsRowFunction="custom" dataDxfId="2479" totalsRowDxfId="2478">
      <totalsRowFormula>SUM(M5:M58)</totalsRowFormula>
    </tableColumn>
    <tableColumn id="19" xr3:uid="{8DBF9C21-173F-468D-B517-24FEDC98BBF4}" name="Hmong Total" totalsRowFunction="custom" dataDxfId="2477" totalsRowDxfId="2476">
      <totalsRowFormula>SUM(N5:N58)</totalsRowFormula>
    </tableColumn>
    <tableColumn id="17" xr3:uid="{D9680CA8-278F-4995-9C77-7C79C2C7CC5B}" name="Italian Total" totalsRowFunction="custom" dataDxfId="2475" totalsRowDxfId="2474">
      <totalsRowFormula>SUM(O5:O58)</totalsRowFormula>
    </tableColumn>
    <tableColumn id="7" xr3:uid="{FA392F67-B1FA-4D0A-A8CB-0ED08ADB6E99}" name=" Japanese Total" totalsRowFunction="custom" dataDxfId="2473" totalsRowDxfId="2472">
      <totalsRowFormula>SUM(P5:P58)</totalsRowFormula>
    </tableColumn>
    <tableColumn id="8" xr3:uid="{D14E4E7D-2324-45C1-BBB4-4473F01106A8}" name="Korean Total" totalsRowFunction="custom" dataDxfId="2471" totalsRowDxfId="2470">
      <totalsRowFormula>SUM(Q5:Q58)</totalsRowFormula>
    </tableColumn>
    <tableColumn id="9" xr3:uid="{7C5F7216-4B66-4E7B-8795-D3490E1C1029}" name="Latin Total" totalsRowFunction="custom" dataDxfId="2469" totalsRowDxfId="2468">
      <totalsRowFormula>SUM(R5:R58)</totalsRowFormula>
    </tableColumn>
    <tableColumn id="10" xr3:uid="{614FBEB9-AF63-4ADD-80FD-A54E35604BD2}" name="Portuguese Total" totalsRowFunction="custom" dataDxfId="2467" totalsRowDxfId="2466">
      <totalsRowFormula>SUM(S5:S58)</totalsRowFormula>
    </tableColumn>
    <tableColumn id="28" xr3:uid="{59157D28-A5E2-45F0-99C3-545F87985DB0}" name="Punjabi Total" totalsRowFunction="custom" dataDxfId="2465" totalsRowDxfId="2464">
      <totalsRowFormula>SUM(T5:T58)</totalsRowFormula>
    </tableColumn>
    <tableColumn id="22" xr3:uid="{93C5F127-2FEE-4131-A1E5-9F8F1F03C396}" name="Russian Total" totalsRowFunction="custom" dataDxfId="2463" totalsRowDxfId="2462">
      <totalsRowFormula>SUM(U5:U58)</totalsRowFormula>
    </tableColumn>
    <tableColumn id="11" xr3:uid="{69E745C0-5843-433A-AFEB-0CAAFD9F230D}" name="Spanish Total" totalsRowFunction="custom" dataDxfId="2461" totalsRowDxfId="2460">
      <totalsRowFormula>SUM(V5:V58)</totalsRowFormula>
    </tableColumn>
    <tableColumn id="18" xr3:uid="{CAED86CC-14D2-446E-ABF0-4CCFFF6EAD35}" name="Tagalog (Filipino) Total" totalsRowFunction="custom" dataDxfId="2459" totalsRowDxfId="2458">
      <totalsRowFormula>SUM(W5:W58)</totalsRowFormula>
    </tableColumn>
    <tableColumn id="29" xr3:uid="{0D641531-5684-4F4B-A245-19ED0EA0B159}" name="Urdu Total" totalsRowFunction="custom" dataDxfId="2457" totalsRowDxfId="2456">
      <totalsRowFormula>SUM(X5:X58)</totalsRowFormula>
    </tableColumn>
    <tableColumn id="12" xr3:uid="{197EF0CD-F6E9-434E-8BF1-19632EF06D91}" name="Vietnamese Total" totalsRowFunction="custom" dataDxfId="2455" totalsRowDxfId="2454">
      <totalsRowFormula>SUM(Y5:Y58)</totalsRowFormula>
    </tableColumn>
    <tableColumn id="13" xr3:uid="{BA521A16-22D8-4283-B713-B6573F0291A0}" name="Other Total" totalsRowFunction="custom" dataDxfId="2453" totalsRowDxfId="2452">
      <totalsRowFormula>SUM(Z5:Z58)</totalsRowFormula>
    </tableColumn>
    <tableColumn id="23" xr3:uid="{7AA02BE9-A2F8-4A78-BEA1-BA048B6BFC6B}" name="Seal Total" totalsRowFunction="custom" dataDxfId="2451" totalsRowDxfId="2450">
      <calculatedColumnFormula>SUM(D5:Z5)</calculatedColumnFormula>
      <totalsRowFormula>SUM(AA5:AA58)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0-21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Fresno" displayName="Fresno" ref="A2:Z21" totalsRowCount="1" headerRowDxfId="2166" dataDxfId="2165">
  <autoFilter ref="A2:Z20" xr:uid="{00000000-0009-0000-0100-00000B000000}"/>
  <tableColumns count="26">
    <tableColumn id="1" xr3:uid="{00000000-0010-0000-0900-000001000000}" name="Participating Districts" totalsRowLabel="Total: 18" dataDxfId="2164" totalsRowDxfId="2163"/>
    <tableColumn id="2" xr3:uid="{00000000-0010-0000-0900-000002000000}" name="Participating Schools" totalsRowLabel="39" dataDxfId="2162" totalsRowDxfId="2161"/>
    <tableColumn id="3" xr3:uid="{00000000-0010-0000-0900-000003000000}" name="American Sign Language Total" totalsRowFunction="sum" dataDxfId="2160" totalsRowDxfId="2159"/>
    <tableColumn id="4" xr3:uid="{00000000-0010-0000-0900-000004000000}" name="Arabic Total" totalsRowFunction="sum" dataDxfId="2158" totalsRowDxfId="2157"/>
    <tableColumn id="5" xr3:uid="{00000000-0010-0000-0900-000005000000}" name="Armenian Total" totalsRowFunction="sum" dataDxfId="2156" totalsRowDxfId="2155"/>
    <tableColumn id="22" xr3:uid="{39612C87-3280-4ACB-82B6-B8186ECE0A28}" name="Bengali Total" totalsRowFunction="sum" dataDxfId="2154" totalsRowDxfId="2153"/>
    <tableColumn id="18" xr3:uid="{0432F91F-B62F-4325-AEC4-36B65A0A8973}" name="Chinese (Mandarin or Cantonese) Total" totalsRowFunction="sum" dataDxfId="2152" totalsRowDxfId="2151"/>
    <tableColumn id="23" xr3:uid="{ED143C35-37E6-407D-80F1-269C5D619DFE}" name="Farsi (Persian) Total" totalsRowFunction="sum" dataDxfId="2150" totalsRowDxfId="2149"/>
    <tableColumn id="6" xr3:uid="{00000000-0010-0000-0900-000006000000}" name="French Total" totalsRowFunction="sum" dataDxfId="2148" totalsRowDxfId="2147"/>
    <tableColumn id="7" xr3:uid="{00000000-0010-0000-0900-000007000000}" name="German Total" totalsRowFunction="sum" dataDxfId="2146" totalsRowDxfId="2145"/>
    <tableColumn id="19" xr3:uid="{8454CDA4-2382-47B8-9746-E481B87E32B9}" name="Hebrew Total" totalsRowFunction="sum" dataDxfId="2144" totalsRowDxfId="2143"/>
    <tableColumn id="24" xr3:uid="{BFC4CDB4-D3A8-42F2-B444-B0ECE767A5A6}" name="Hindi Total" totalsRowFunction="sum" dataDxfId="2142" totalsRowDxfId="2141"/>
    <tableColumn id="8" xr3:uid="{00000000-0010-0000-0900-000008000000}" name="Hmong Total" totalsRowFunction="sum" dataDxfId="2140" totalsRowDxfId="2139"/>
    <tableColumn id="9" xr3:uid="{00000000-0010-0000-0900-000009000000}" name="Italian Total" totalsRowFunction="sum" dataDxfId="2138" totalsRowDxfId="2137"/>
    <tableColumn id="10" xr3:uid="{00000000-0010-0000-0900-00000A000000}" name="Japanese Total" totalsRowFunction="sum" dataDxfId="2136" totalsRowDxfId="2135"/>
    <tableColumn id="11" xr3:uid="{00000000-0010-0000-0900-00000B000000}" name="Korean Total" totalsRowFunction="sum" dataDxfId="2134" totalsRowDxfId="2133"/>
    <tableColumn id="12" xr3:uid="{00000000-0010-0000-0900-00000C000000}" name="Latin Total" totalsRowFunction="sum" dataDxfId="2132" totalsRowDxfId="2131"/>
    <tableColumn id="13" xr3:uid="{00000000-0010-0000-0900-00000D000000}" name="Portuguese Total" totalsRowFunction="sum" dataDxfId="2130" totalsRowDxfId="2129"/>
    <tableColumn id="25" xr3:uid="{E5C2959B-9098-4B3C-B644-239FED9BE5D4}" name="Punjabi Total" totalsRowFunction="sum" dataDxfId="2128" totalsRowDxfId="2127"/>
    <tableColumn id="20" xr3:uid="{35C2F16C-65E9-4794-8D43-7953C77407CE}" name="Russian Total" totalsRowFunction="sum" dataDxfId="2126" totalsRowDxfId="2125"/>
    <tableColumn id="14" xr3:uid="{00000000-0010-0000-0900-00000E000000}" name="Spanish Total" totalsRowFunction="sum" dataDxfId="2124" totalsRowDxfId="2123"/>
    <tableColumn id="15" xr3:uid="{00000000-0010-0000-0900-00000F000000}" name="Tagalog (Filipino) Total" totalsRowFunction="sum" dataDxfId="2122" totalsRowDxfId="2121"/>
    <tableColumn id="26" xr3:uid="{B4F8E8D3-F1DA-49D9-B3FE-AADAE40B7695}" name="Urdu Total" totalsRowFunction="sum" dataDxfId="2120" totalsRowDxfId="2119"/>
    <tableColumn id="16" xr3:uid="{00000000-0010-0000-0900-000010000000}" name="Vietnamese Total" totalsRowFunction="sum" dataDxfId="2118" totalsRowDxfId="2117"/>
    <tableColumn id="17" xr3:uid="{00000000-0010-0000-0900-000011000000}" name="Other Total" totalsRowFunction="sum" dataDxfId="2116" totalsRowDxfId="2115"/>
    <tableColumn id="21" xr3:uid="{D0272581-4C4B-458F-BAF0-11132E639D22}" name="Total Seals per LEA" totalsRowFunction="sum" dataDxfId="2114" totalsRowDxfId="2113">
      <calculatedColumnFormula>SUM(Fresno[[#This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Glenn" displayName="Glenn" ref="A2:Z6" totalsRowCount="1" headerRowDxfId="2112">
  <autoFilter ref="A2:Z5" xr:uid="{00000000-0009-0000-0100-00000C000000}"/>
  <tableColumns count="26">
    <tableColumn id="1" xr3:uid="{00000000-0010-0000-0A00-000001000000}" name="Participating Districts" totalsRowLabel="Total: 3" dataDxfId="2111" totalsRowDxfId="2110"/>
    <tableColumn id="2" xr3:uid="{00000000-0010-0000-0A00-000002000000}" name="Participating Schools" totalsRowLabel="3" dataDxfId="2109" totalsRowDxfId="2108"/>
    <tableColumn id="3" xr3:uid="{00000000-0010-0000-0A00-000003000000}" name="American Sign Language Total" totalsRowFunction="sum" dataDxfId="2107"/>
    <tableColumn id="4" xr3:uid="{00000000-0010-0000-0A00-000004000000}" name="Arabic Total" totalsRowFunction="sum" dataDxfId="2106"/>
    <tableColumn id="5" xr3:uid="{00000000-0010-0000-0A00-000005000000}" name="Armenian Total" totalsRowFunction="sum" dataDxfId="2105"/>
    <tableColumn id="21" xr3:uid="{79DF7C22-6750-489A-8329-82CF48E40187}" name="Bengali Total" totalsRowFunction="sum" dataDxfId="2104"/>
    <tableColumn id="23" xr3:uid="{B9EBA438-2F4B-4A96-978D-2E0131083AFF}" name="Chinese (Mandarin or Cantonese) Total" totalsRowFunction="sum" dataDxfId="2103"/>
    <tableColumn id="22" xr3:uid="{3903B94D-F401-416C-A11C-9A22D2282223}" name="Farsi (Persian) Total" totalsRowFunction="sum" dataDxfId="2102"/>
    <tableColumn id="6" xr3:uid="{00000000-0010-0000-0A00-000006000000}" name="French Total" totalsRowFunction="sum" dataDxfId="2101"/>
    <tableColumn id="7" xr3:uid="{00000000-0010-0000-0A00-000007000000}" name="German Total" totalsRowFunction="sum" dataDxfId="2100"/>
    <tableColumn id="18" xr3:uid="{55909E5B-710F-4E69-A1EE-C2CA233108C3}" name="Hebrew Total" totalsRowFunction="sum" dataDxfId="2099"/>
    <tableColumn id="24" xr3:uid="{FDB4930A-5FB2-4C0C-9BD9-5B581631EF47}" name="Hindi Total" totalsRowFunction="sum" dataDxfId="2098"/>
    <tableColumn id="8" xr3:uid="{00000000-0010-0000-0A00-000008000000}" name="Hmong Total" totalsRowFunction="sum" dataDxfId="2097"/>
    <tableColumn id="9" xr3:uid="{00000000-0010-0000-0A00-000009000000}" name="Italian Total" totalsRowFunction="sum" dataDxfId="2096"/>
    <tableColumn id="10" xr3:uid="{00000000-0010-0000-0A00-00000A000000}" name="Japanese Total" totalsRowFunction="sum" dataDxfId="2095"/>
    <tableColumn id="11" xr3:uid="{00000000-0010-0000-0A00-00000B000000}" name="Korean Total" totalsRowFunction="sum" dataDxfId="2094"/>
    <tableColumn id="12" xr3:uid="{00000000-0010-0000-0A00-00000C000000}" name="Latin Total" totalsRowFunction="sum" dataDxfId="2093"/>
    <tableColumn id="13" xr3:uid="{00000000-0010-0000-0A00-00000D000000}" name="Portuguese Total" totalsRowFunction="sum" dataDxfId="2092"/>
    <tableColumn id="25" xr3:uid="{40E38DC2-EFAF-47C4-B5FF-B56DE6177053}" name="Punjabi Total" totalsRowFunction="sum" dataDxfId="2091"/>
    <tableColumn id="19" xr3:uid="{0E0723D8-5FCB-4271-8F2A-AF9EEEB56FD4}" name="Russian Total" totalsRowFunction="sum" dataDxfId="2090"/>
    <tableColumn id="14" xr3:uid="{00000000-0010-0000-0A00-00000E000000}" name="Spanish Total" totalsRowFunction="sum" dataDxfId="2089"/>
    <tableColumn id="15" xr3:uid="{00000000-0010-0000-0A00-00000F000000}" name="Tagalog (Filipino) Total" totalsRowFunction="sum" dataDxfId="2088"/>
    <tableColumn id="26" xr3:uid="{A0AA2F69-2309-41F6-AFDA-A1D6CEF8ACB3}" name="Urdu Total" totalsRowFunction="sum" dataDxfId="2087"/>
    <tableColumn id="16" xr3:uid="{00000000-0010-0000-0A00-000010000000}" name="Vietnamese Total" totalsRowFunction="sum" dataDxfId="2086"/>
    <tableColumn id="17" xr3:uid="{00000000-0010-0000-0A00-000011000000}" name="Other Total" totalsRowFunction="sum" dataDxfId="2085"/>
    <tableColumn id="20" xr3:uid="{E2D86AE9-3569-41E5-B538-73256EF81096}" name="Total Seals per LEA" totalsRowFunction="sum" dataDxfId="2084">
      <calculatedColumnFormula>SUM(Glenn[[#This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Humboldt" displayName="Humboldt" ref="A2:Z8" totalsRowCount="1" headerRowDxfId="2083">
  <autoFilter ref="A2:Z7" xr:uid="{00000000-0009-0000-0100-00000D000000}"/>
  <tableColumns count="26">
    <tableColumn id="1" xr3:uid="{00000000-0010-0000-0B00-000001000000}" name="Participating Districts" totalsRowLabel="Total: 5" dataDxfId="2082" totalsRowDxfId="2081"/>
    <tableColumn id="2" xr3:uid="{00000000-0010-0000-0B00-000002000000}" name="Participating Schools" totalsRowLabel="7" dataDxfId="2080" totalsRowDxfId="2079"/>
    <tableColumn id="3" xr3:uid="{00000000-0010-0000-0B00-000003000000}" name="American Sign Language Total" totalsRowFunction="sum" dataDxfId="2078"/>
    <tableColumn id="4" xr3:uid="{00000000-0010-0000-0B00-000004000000}" name="Arabic Total" totalsRowFunction="sum" dataDxfId="2077"/>
    <tableColumn id="5" xr3:uid="{00000000-0010-0000-0B00-000005000000}" name="Armenian Total" totalsRowFunction="sum" dataDxfId="2076"/>
    <tableColumn id="22" xr3:uid="{F8145B4D-EE17-4CA0-B3B4-7A629A12F9CD}" name="Bengali Total" totalsRowFunction="sum" dataDxfId="2075"/>
    <tableColumn id="18" xr3:uid="{3A2035EB-F525-47D3-A7D3-F9C75E5ECD29}" name="Chinese (Mandarin or Cantonese) Total" totalsRowFunction="sum" dataDxfId="2074"/>
    <tableColumn id="23" xr3:uid="{42F7AEAD-34B5-46A3-BDE3-146CC48953A6}" name="Farsi (Persian) Total" totalsRowFunction="sum" dataDxfId="2073"/>
    <tableColumn id="6" xr3:uid="{00000000-0010-0000-0B00-000006000000}" name="French Total" totalsRowFunction="sum" dataDxfId="2072"/>
    <tableColumn id="7" xr3:uid="{00000000-0010-0000-0B00-000007000000}" name="German Total" totalsRowFunction="sum" dataDxfId="2071"/>
    <tableColumn id="19" xr3:uid="{2A9D3EDE-E8EC-4AE6-9090-DCC989B7D6CA}" name="Hebrew Total" totalsRowFunction="sum" dataDxfId="2070"/>
    <tableColumn id="24" xr3:uid="{325F0F28-553C-43EC-B1BC-07B9569444B1}" name="Hindi Total" totalsRowFunction="sum" dataDxfId="2069"/>
    <tableColumn id="8" xr3:uid="{00000000-0010-0000-0B00-000008000000}" name="Hmong Total" totalsRowFunction="sum" dataDxfId="2068"/>
    <tableColumn id="9" xr3:uid="{00000000-0010-0000-0B00-000009000000}" name="Italian Total" totalsRowFunction="sum" dataDxfId="2067"/>
    <tableColumn id="10" xr3:uid="{00000000-0010-0000-0B00-00000A000000}" name="Japanese Total" totalsRowFunction="sum" dataDxfId="2066"/>
    <tableColumn id="11" xr3:uid="{00000000-0010-0000-0B00-00000B000000}" name="Korean Total" totalsRowFunction="sum" dataDxfId="2065"/>
    <tableColumn id="12" xr3:uid="{00000000-0010-0000-0B00-00000C000000}" name="Latin Total" totalsRowFunction="sum" dataDxfId="2064"/>
    <tableColumn id="13" xr3:uid="{00000000-0010-0000-0B00-00000D000000}" name="Portuguese Total" totalsRowFunction="sum" dataDxfId="2063"/>
    <tableColumn id="25" xr3:uid="{125C3C5C-263F-45D3-B19E-83FA5EC9B170}" name="Punjabi Total" totalsRowFunction="sum" dataDxfId="2062"/>
    <tableColumn id="20" xr3:uid="{425845BC-0864-4E79-B367-F104D302DBC0}" name="Russian Total" totalsRowFunction="sum" dataDxfId="2061"/>
    <tableColumn id="14" xr3:uid="{00000000-0010-0000-0B00-00000E000000}" name="Spanish Total" totalsRowFunction="sum" dataDxfId="2060"/>
    <tableColumn id="15" xr3:uid="{00000000-0010-0000-0B00-00000F000000}" name="Tagalog (Filipino) Total" totalsRowFunction="sum" dataDxfId="2059"/>
    <tableColumn id="26" xr3:uid="{D638EC3A-5166-4913-894E-F162B810E851}" name="Urdu Total" totalsRowFunction="sum" dataDxfId="2058"/>
    <tableColumn id="16" xr3:uid="{00000000-0010-0000-0B00-000010000000}" name="Vietnamese Total" totalsRowFunction="sum" dataDxfId="2057"/>
    <tableColumn id="17" xr3:uid="{00000000-0010-0000-0B00-000011000000}" name="Other Total" totalsRowFunction="sum" dataDxfId="2056"/>
    <tableColumn id="21" xr3:uid="{5DB46CF1-B662-4479-8B4C-74AA2A126C4E}" name="Total Seals per LEA" totalsRowFunction="sum" dataDxfId="2055">
      <calculatedColumnFormula>SUM(Humboldt[[#This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Imperial" displayName="Imperial" ref="A2:Z8" totalsRowCount="1" headerRowDxfId="2054" dataDxfId="2053">
  <autoFilter ref="A2:Z7" xr:uid="{00000000-0009-0000-0100-00000E000000}"/>
  <tableColumns count="26">
    <tableColumn id="1" xr3:uid="{00000000-0010-0000-0C00-000001000000}" name="Participating Districts" totalsRowLabel="Total: 5" dataDxfId="2052" totalsRowDxfId="2051"/>
    <tableColumn id="2" xr3:uid="{00000000-0010-0000-0C00-000002000000}" name="Participating Schools" totalsRowLabel="7" dataDxfId="2050" totalsRowDxfId="2049"/>
    <tableColumn id="3" xr3:uid="{00000000-0010-0000-0C00-000003000000}" name="American Sign Language Total" totalsRowFunction="sum" dataDxfId="2048"/>
    <tableColumn id="4" xr3:uid="{00000000-0010-0000-0C00-000004000000}" name="Arabic Total" totalsRowFunction="sum" dataDxfId="2047"/>
    <tableColumn id="5" xr3:uid="{00000000-0010-0000-0C00-000005000000}" name="Armenian Total" totalsRowFunction="sum" dataDxfId="2046"/>
    <tableColumn id="22" xr3:uid="{0EC4DE8F-D38A-4540-B69E-35C676133C44}" name="Bengali Total" totalsRowFunction="sum" dataDxfId="2045"/>
    <tableColumn id="18" xr3:uid="{03277F98-130F-4C88-937D-C4B9113C0A2D}" name="Chinese (Mandarin or Cantonese) Total" totalsRowFunction="sum" dataDxfId="2044"/>
    <tableColumn id="23" xr3:uid="{85E831F7-7502-4576-8877-BADDF6B612B7}" name="Farsi (Persian) Total" totalsRowFunction="sum" dataDxfId="2043"/>
    <tableColumn id="6" xr3:uid="{00000000-0010-0000-0C00-000006000000}" name="French Total" totalsRowFunction="sum" dataDxfId="2042"/>
    <tableColumn id="7" xr3:uid="{00000000-0010-0000-0C00-000007000000}" name="German Total" totalsRowFunction="sum" dataDxfId="2041"/>
    <tableColumn id="19" xr3:uid="{54222E2C-CBC1-4673-A25E-2743E439840D}" name="Hebrew Total" totalsRowFunction="sum" dataDxfId="2040"/>
    <tableColumn id="24" xr3:uid="{B0DD678A-F9D3-4270-A3B9-14DB0C32E672}" name="Hindi Total" totalsRowFunction="sum" dataDxfId="2039"/>
    <tableColumn id="8" xr3:uid="{00000000-0010-0000-0C00-000008000000}" name="Hmong Total" totalsRowFunction="sum" dataDxfId="2038"/>
    <tableColumn id="9" xr3:uid="{00000000-0010-0000-0C00-000009000000}" name="Italian Total" totalsRowFunction="sum" dataDxfId="2037"/>
    <tableColumn id="10" xr3:uid="{00000000-0010-0000-0C00-00000A000000}" name="Japanese Total" totalsRowFunction="sum" dataDxfId="2036"/>
    <tableColumn id="11" xr3:uid="{00000000-0010-0000-0C00-00000B000000}" name="Korean Total" totalsRowFunction="sum" dataDxfId="2035"/>
    <tableColumn id="12" xr3:uid="{00000000-0010-0000-0C00-00000C000000}" name="Latin Total" totalsRowFunction="sum" dataDxfId="2034"/>
    <tableColumn id="13" xr3:uid="{00000000-0010-0000-0C00-00000D000000}" name="Portuguese Total" totalsRowFunction="sum" dataDxfId="2033"/>
    <tableColumn id="25" xr3:uid="{09D8AF32-550B-4E14-AE75-F3A8BDE72953}" name="Punjabi Total" totalsRowFunction="sum" dataDxfId="2032"/>
    <tableColumn id="20" xr3:uid="{D32A0357-BC2D-4365-8F65-CC57AC54862E}" name="Russian Total" totalsRowFunction="sum" dataDxfId="2031"/>
    <tableColumn id="14" xr3:uid="{00000000-0010-0000-0C00-00000E000000}" name="Spanish Total" totalsRowFunction="sum" dataDxfId="2030"/>
    <tableColumn id="15" xr3:uid="{00000000-0010-0000-0C00-00000F000000}" name="Tagalog (Filipino) Total" totalsRowFunction="sum" dataDxfId="2029"/>
    <tableColumn id="26" xr3:uid="{6AA9637A-C66B-4141-9233-3CED327C12F6}" name="Urdu Total" totalsRowFunction="sum" dataDxfId="2028"/>
    <tableColumn id="16" xr3:uid="{00000000-0010-0000-0C00-000010000000}" name="Vietnamese Total" totalsRowFunction="sum" dataDxfId="2027"/>
    <tableColumn id="17" xr3:uid="{00000000-0010-0000-0C00-000011000000}" name="Other Total" totalsRowFunction="sum" dataDxfId="2026"/>
    <tableColumn id="21" xr3:uid="{AB152DAF-789F-4AA5-A07C-9BB34914928D}" name="Total Seals per LEA" totalsRowFunction="sum" dataDxfId="2025">
      <calculatedColumnFormula>SUM(Imperial[[#This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CF3ABEC-F181-4E6B-9C3C-20778EA32A00}" name="Inyo" displayName="Inyo" ref="A2:Z4" totalsRowCount="1" headerRowDxfId="2024" dataDxfId="2023" totalsRowDxfId="2022">
  <autoFilter ref="A2:Z3" xr:uid="{00000000-0009-0000-0100-00000E000000}"/>
  <tableColumns count="26">
    <tableColumn id="1" xr3:uid="{038CF285-EB4D-481C-A87C-C716A093068E}" name="Participating Districts" totalsRowLabel="Total: 1" dataDxfId="2021" totalsRowDxfId="2020"/>
    <tableColumn id="2" xr3:uid="{DCEF91F3-CF42-4921-BEC1-670A314C6712}" name="Participating Schools" totalsRowLabel="1" dataDxfId="2019" totalsRowDxfId="2018"/>
    <tableColumn id="3" xr3:uid="{D9B9A219-B5CE-4791-9F4F-92AB76291011}" name="American Sign Language Total" totalsRowFunction="sum" dataDxfId="2017" totalsRowDxfId="2016"/>
    <tableColumn id="4" xr3:uid="{DAC0DD72-AAC3-49C4-A588-88900218342A}" name="Arabic Total" totalsRowFunction="sum" dataDxfId="2015" totalsRowDxfId="2014"/>
    <tableColumn id="5" xr3:uid="{CDA73840-A1F8-4F26-B313-CC6D03D4EC26}" name="Armenian Total" totalsRowFunction="sum" dataDxfId="2013" totalsRowDxfId="2012"/>
    <tableColumn id="22" xr3:uid="{34AB279F-3993-4D5B-95A2-3D2951BB29D6}" name="Bengali Total" totalsRowFunction="sum" dataDxfId="2011" totalsRowDxfId="2010"/>
    <tableColumn id="18" xr3:uid="{67FF82CC-5750-45F5-8DD8-470CB66CBE0C}" name="Chinese (Mandarin or Cantonese) Total" totalsRowFunction="sum" dataDxfId="2009" totalsRowDxfId="2008"/>
    <tableColumn id="23" xr3:uid="{FC79BF6D-A26B-453E-9EF7-BB049E569515}" name="Farsi (Persian) Total" totalsRowFunction="sum" dataDxfId="2007" totalsRowDxfId="2006"/>
    <tableColumn id="6" xr3:uid="{DDE3366F-3F83-4793-BCA1-D450AEB9B9A1}" name="French Total" totalsRowFunction="sum" dataDxfId="2005" totalsRowDxfId="2004"/>
    <tableColumn id="7" xr3:uid="{3CC77FB5-583C-40C7-95E0-61D1B339817B}" name="German Total" totalsRowFunction="sum" dataDxfId="2003" totalsRowDxfId="2002"/>
    <tableColumn id="19" xr3:uid="{7FD50FDD-E208-45FD-94ED-CA1C57589332}" name="Hebrew Total" totalsRowFunction="sum" dataDxfId="2001" totalsRowDxfId="2000"/>
    <tableColumn id="24" xr3:uid="{185B1E95-CD62-46F7-964C-433AF74CFDA6}" name="Hindi Total" totalsRowFunction="sum" dataDxfId="1999" totalsRowDxfId="1998"/>
    <tableColumn id="8" xr3:uid="{18CD96B8-B151-4F26-B4C7-9518CCD86682}" name="Hmong Total" totalsRowFunction="sum" dataDxfId="1997" totalsRowDxfId="1996"/>
    <tableColumn id="9" xr3:uid="{21401A75-B35A-4AB5-BE2A-C844947A674C}" name="Italian Total" totalsRowFunction="sum" dataDxfId="1995" totalsRowDxfId="1994"/>
    <tableColumn id="10" xr3:uid="{5167B37B-6B73-4519-B40A-ED3311F26F9D}" name="Japanese Total" totalsRowFunction="sum" dataDxfId="1993" totalsRowDxfId="1992"/>
    <tableColumn id="11" xr3:uid="{DF8A14D6-5990-4E47-BFFE-2DEA9DBCD8E2}" name="Korean Total" totalsRowFunction="sum" dataDxfId="1991" totalsRowDxfId="1990"/>
    <tableColumn id="12" xr3:uid="{F5BDBDE4-7AB3-4A2D-8594-74BD1275776C}" name="Latin Total" totalsRowFunction="sum" dataDxfId="1989" totalsRowDxfId="1988"/>
    <tableColumn id="13" xr3:uid="{D543A431-828A-442D-982C-3DBD862C0FEA}" name="Portuguese Total" totalsRowFunction="sum" dataDxfId="1987" totalsRowDxfId="1986"/>
    <tableColumn id="25" xr3:uid="{0A87A047-34F3-4927-85DF-F25270A85C36}" name="Punjabi Total" totalsRowFunction="sum" dataDxfId="1985" totalsRowDxfId="1984"/>
    <tableColumn id="20" xr3:uid="{2949413D-F969-4724-82E5-91E8E4FB9BFE}" name="Russian Total" totalsRowFunction="sum" dataDxfId="1983" totalsRowDxfId="1982"/>
    <tableColumn id="14" xr3:uid="{C4EA7B8E-F986-4568-A1B4-41B547CF9551}" name="Spanish Total" totalsRowFunction="sum" dataDxfId="1981" totalsRowDxfId="1980"/>
    <tableColumn id="15" xr3:uid="{7EA9A6FD-27FE-40D7-A026-722004A30D09}" name="Tagalog (Filipino) Total" totalsRowFunction="sum" dataDxfId="1979" totalsRowDxfId="1978"/>
    <tableColumn id="26" xr3:uid="{5E2C8CDC-8DC0-42B7-A96C-989D688A10EA}" name="Urdu Total" totalsRowFunction="sum" dataDxfId="1977" totalsRowDxfId="1976"/>
    <tableColumn id="16" xr3:uid="{FCECB4BD-7C12-40C4-AE90-03B6112F28AC}" name="Vietnamese Total" totalsRowFunction="sum" dataDxfId="1975" totalsRowDxfId="1974"/>
    <tableColumn id="17" xr3:uid="{7EAB945E-CC0B-49BA-A8B6-3B5361F13E96}" name="Other Total" totalsRowFunction="sum" dataDxfId="1973" totalsRowDxfId="1972"/>
    <tableColumn id="21" xr3:uid="{C8246734-DA16-4BF3-A76A-2C2C0CDCADFB}" name="Total Seals per LEA" totalsRowFunction="sum" dataDxfId="1971" totalsRowDxfId="1970">
      <calculatedColumnFormula>SUM(Inyo[[American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nyo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Kern" displayName="Kern" ref="A2:Z13" totalsRowCount="1" headerRowDxfId="1969" dataDxfId="1968">
  <autoFilter ref="A2:Z12" xr:uid="{00000000-0009-0000-0100-00000F000000}"/>
  <tableColumns count="26">
    <tableColumn id="1" xr3:uid="{00000000-0010-0000-0D00-000001000000}" name="Participating Districts" totalsRowLabel="Total: 10" dataDxfId="1967" totalsRowDxfId="1966"/>
    <tableColumn id="2" xr3:uid="{00000000-0010-0000-0D00-000002000000}" name="Participating Schools" totalsRowLabel="29" dataDxfId="1965" totalsRowDxfId="1964"/>
    <tableColumn id="3" xr3:uid="{00000000-0010-0000-0D00-000003000000}" name="American Sign Language Total" totalsRowFunction="sum" dataDxfId="1963" totalsRowDxfId="1962"/>
    <tableColumn id="4" xr3:uid="{00000000-0010-0000-0D00-000004000000}" name="Arabic Total" totalsRowFunction="sum" dataDxfId="1961" totalsRowDxfId="1960"/>
    <tableColumn id="5" xr3:uid="{00000000-0010-0000-0D00-000005000000}" name="Armenian Total" totalsRowFunction="sum" dataDxfId="1959" totalsRowDxfId="1958"/>
    <tableColumn id="22" xr3:uid="{7F1B5E66-AFFE-48F9-A8F1-08DFCCEC177A}" name="Bengali Total" totalsRowFunction="sum" dataDxfId="1957" totalsRowDxfId="1956"/>
    <tableColumn id="18" xr3:uid="{F49FC476-B928-450E-ADA3-53D93EF825F8}" name="Chinese (Mandarin or Cantonese) Total" totalsRowFunction="sum" dataDxfId="1955" totalsRowDxfId="1954"/>
    <tableColumn id="23" xr3:uid="{EAE3468F-0127-4DBA-BF81-D922C37D8E79}" name="Farsi (Persian) Total" totalsRowFunction="sum" dataDxfId="1953" totalsRowDxfId="1952"/>
    <tableColumn id="6" xr3:uid="{00000000-0010-0000-0D00-000006000000}" name="French Total" totalsRowFunction="sum" dataDxfId="1951" totalsRowDxfId="1950"/>
    <tableColumn id="7" xr3:uid="{00000000-0010-0000-0D00-000007000000}" name="German Total" totalsRowFunction="sum" dataDxfId="1949" totalsRowDxfId="1948"/>
    <tableColumn id="19" xr3:uid="{186FAFF0-790C-4597-9C7F-D90BCBAAC645}" name="Hebrew Total" totalsRowFunction="sum" dataDxfId="1947" totalsRowDxfId="1946"/>
    <tableColumn id="24" xr3:uid="{0FD9030B-A817-4166-8CF6-CB21B107E85E}" name="Hindi Total" totalsRowFunction="sum" dataDxfId="1945" totalsRowDxfId="1944"/>
    <tableColumn id="8" xr3:uid="{00000000-0010-0000-0D00-000008000000}" name="Hmong Total" totalsRowFunction="sum" dataDxfId="1943" totalsRowDxfId="1942"/>
    <tableColumn id="9" xr3:uid="{00000000-0010-0000-0D00-000009000000}" name="Italian Total" totalsRowFunction="sum" dataDxfId="1941" totalsRowDxfId="1940"/>
    <tableColumn id="10" xr3:uid="{00000000-0010-0000-0D00-00000A000000}" name="Japanese Total" totalsRowFunction="sum" dataDxfId="1939" totalsRowDxfId="1938"/>
    <tableColumn id="11" xr3:uid="{00000000-0010-0000-0D00-00000B000000}" name="Korean Total" totalsRowFunction="sum" dataDxfId="1937" totalsRowDxfId="1936"/>
    <tableColumn id="12" xr3:uid="{00000000-0010-0000-0D00-00000C000000}" name="Latin Total" totalsRowFunction="sum" dataDxfId="1935" totalsRowDxfId="1934"/>
    <tableColumn id="13" xr3:uid="{00000000-0010-0000-0D00-00000D000000}" name="Portuguese Total" totalsRowFunction="sum" dataDxfId="1933" totalsRowDxfId="1932"/>
    <tableColumn id="25" xr3:uid="{30B52E7E-ECBE-45BD-A1AC-4938A8AC55D3}" name="Punjabi Total" totalsRowFunction="sum" dataDxfId="1931" totalsRowDxfId="1930"/>
    <tableColumn id="20" xr3:uid="{6EBF68AC-BFCD-4478-B2CB-698E4D4AD692}" name="Russian Total" totalsRowFunction="sum" dataDxfId="1929" totalsRowDxfId="1928"/>
    <tableColumn id="14" xr3:uid="{00000000-0010-0000-0D00-00000E000000}" name="Spanish Total" totalsRowFunction="sum" dataDxfId="1927" totalsRowDxfId="1926"/>
    <tableColumn id="15" xr3:uid="{00000000-0010-0000-0D00-00000F000000}" name="Tagalog (Filipino) Total" totalsRowFunction="sum" dataDxfId="1925" totalsRowDxfId="1924"/>
    <tableColumn id="26" xr3:uid="{86DF0F6B-2CEC-402F-8CC0-2D5BD763380B}" name="Urdu Total" totalsRowFunction="sum" dataDxfId="1923" totalsRowDxfId="1922"/>
    <tableColumn id="16" xr3:uid="{00000000-0010-0000-0D00-000010000000}" name="Vietnamese Total" totalsRowFunction="sum" dataDxfId="1921" totalsRowDxfId="1920"/>
    <tableColumn id="17" xr3:uid="{00000000-0010-0000-0D00-000011000000}" name="Other Total" totalsRowFunction="sum" dataDxfId="1919" totalsRowDxfId="1918"/>
    <tableColumn id="21" xr3:uid="{3CBF2BA1-F178-4015-81D8-A5C9F1400523}" name="Total Seals per LEA" totalsRowFunction="sum" dataDxfId="1917" totalsRowDxfId="1916">
      <calculatedColumnFormula>SUM(Kern[[#This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Kings" displayName="Kings" ref="A2:Z7" totalsRowCount="1" headerRowDxfId="1915" dataDxfId="1914">
  <autoFilter ref="A2:Z6" xr:uid="{00000000-0009-0000-0100-000010000000}"/>
  <tableColumns count="26">
    <tableColumn id="1" xr3:uid="{00000000-0010-0000-0E00-000001000000}" name="Participating Districts" totalsRowLabel="Total: 4" dataDxfId="1913" totalsRowDxfId="1912"/>
    <tableColumn id="2" xr3:uid="{00000000-0010-0000-0E00-000002000000}" name="Participating Schools" totalsRowLabel="6" dataDxfId="1911" totalsRowDxfId="1910"/>
    <tableColumn id="3" xr3:uid="{00000000-0010-0000-0E00-000003000000}" name="American Sign Language Total" totalsRowFunction="sum" dataDxfId="1909"/>
    <tableColumn id="4" xr3:uid="{00000000-0010-0000-0E00-000004000000}" name="Arabic Total" totalsRowFunction="sum" dataDxfId="1908"/>
    <tableColumn id="5" xr3:uid="{00000000-0010-0000-0E00-000005000000}" name="Armenian Total" totalsRowFunction="sum" dataDxfId="1907"/>
    <tableColumn id="22" xr3:uid="{B9F35F79-0D6E-4D99-9FC9-0E5BA0C9AA47}" name="Bengali Total" totalsRowFunction="sum" dataDxfId="1906"/>
    <tableColumn id="18" xr3:uid="{0ED752D0-EC43-4693-91FE-5551747E2A03}" name="Chinese (Mandarin or Cantonese) Total" totalsRowFunction="sum" dataDxfId="1905"/>
    <tableColumn id="23" xr3:uid="{12B83D7C-FB49-47F3-A9ED-519B1DB80C57}" name="Farsi (Persian) Total" totalsRowFunction="sum" dataDxfId="1904"/>
    <tableColumn id="6" xr3:uid="{00000000-0010-0000-0E00-000006000000}" name="French Total" totalsRowFunction="sum" dataDxfId="1903"/>
    <tableColumn id="7" xr3:uid="{00000000-0010-0000-0E00-000007000000}" name="German Total" totalsRowFunction="sum" dataDxfId="1902"/>
    <tableColumn id="19" xr3:uid="{1332E72A-8808-472F-9D15-DD1A483474DD}" name="Hebrew Total" totalsRowFunction="sum" dataDxfId="1901"/>
    <tableColumn id="24" xr3:uid="{6E470A07-BD3E-47C5-98B3-B41B623555BA}" name="Hindi Total" totalsRowFunction="sum" dataDxfId="1900"/>
    <tableColumn id="8" xr3:uid="{00000000-0010-0000-0E00-000008000000}" name="Hmong Total" totalsRowFunction="sum" dataDxfId="1899"/>
    <tableColumn id="9" xr3:uid="{00000000-0010-0000-0E00-000009000000}" name="Italian Total" totalsRowFunction="sum" dataDxfId="1898"/>
    <tableColumn id="10" xr3:uid="{00000000-0010-0000-0E00-00000A000000}" name="Japanese Total" totalsRowFunction="sum" dataDxfId="1897"/>
    <tableColumn id="11" xr3:uid="{00000000-0010-0000-0E00-00000B000000}" name="Korean Total" totalsRowFunction="sum" dataDxfId="1896"/>
    <tableColumn id="12" xr3:uid="{00000000-0010-0000-0E00-00000C000000}" name="Latin Total" totalsRowFunction="sum" dataDxfId="1895"/>
    <tableColumn id="13" xr3:uid="{00000000-0010-0000-0E00-00000D000000}" name="Portuguese Total" totalsRowFunction="sum" dataDxfId="1894"/>
    <tableColumn id="25" xr3:uid="{EC0A2389-D3F3-4531-885B-8F60901B3C02}" name="Punjabi Total" totalsRowFunction="sum" dataDxfId="1893"/>
    <tableColumn id="20" xr3:uid="{C4A9B077-EF8B-40AA-AF4E-95DD678C1079}" name="Russian Total" totalsRowFunction="sum" dataDxfId="1892"/>
    <tableColumn id="14" xr3:uid="{00000000-0010-0000-0E00-00000E000000}" name="Spanish Total" totalsRowFunction="sum" dataDxfId="1891"/>
    <tableColumn id="15" xr3:uid="{00000000-0010-0000-0E00-00000F000000}" name="Tagalog (Filipino) Total" totalsRowFunction="sum" dataDxfId="1890"/>
    <tableColumn id="26" xr3:uid="{B7FF1AB2-81F4-42F8-A54F-CC26E044E6F9}" name="Urdu Total" totalsRowFunction="sum" dataDxfId="1889"/>
    <tableColumn id="16" xr3:uid="{00000000-0010-0000-0E00-000010000000}" name="Vietnamese Total" totalsRowFunction="sum" dataDxfId="1888"/>
    <tableColumn id="17" xr3:uid="{00000000-0010-0000-0E00-000011000000}" name="Other Total" totalsRowFunction="sum" dataDxfId="1887"/>
    <tableColumn id="21" xr3:uid="{3C5952A8-D3D5-4A95-BC25-9FFFBB683F48}" name="Total Seals per LEA" totalsRowFunction="sum" dataDxfId="1886">
      <calculatedColumnFormula>SUM(Kings[[#This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Lake" displayName="Lake" ref="A2:Z5" totalsRowCount="1" headerRowDxfId="1885">
  <autoFilter ref="A2:Z4" xr:uid="{00000000-0009-0000-0100-000011000000}"/>
  <tableColumns count="26">
    <tableColumn id="1" xr3:uid="{00000000-0010-0000-0F00-000001000000}" name="Participating Districts" totalsRowLabel="Total: 2" dataDxfId="1884" totalsRowDxfId="1883"/>
    <tableColumn id="2" xr3:uid="{00000000-0010-0000-0F00-000002000000}" name="Participating Schools" totalsRowLabel="2" dataDxfId="1882" totalsRowDxfId="1881"/>
    <tableColumn id="3" xr3:uid="{00000000-0010-0000-0F00-000003000000}" name="American Sign Language Total" totalsRowFunction="sum" dataDxfId="1880"/>
    <tableColumn id="4" xr3:uid="{00000000-0010-0000-0F00-000004000000}" name="Arabic Total" totalsRowFunction="sum" dataDxfId="1879"/>
    <tableColumn id="5" xr3:uid="{00000000-0010-0000-0F00-000005000000}" name="Armenian Total" totalsRowFunction="sum" dataDxfId="1878"/>
    <tableColumn id="22" xr3:uid="{B3D92626-FB40-4A93-8A77-AC0D33EDE27E}" name="Bengali Total" totalsRowFunction="sum" dataDxfId="1877"/>
    <tableColumn id="18" xr3:uid="{495F133B-A9A5-49FD-99AE-AD66AAFCD12E}" name="Chinese (Mandarin or Cantonese) Total" totalsRowFunction="sum" dataDxfId="1876"/>
    <tableColumn id="23" xr3:uid="{0584EF07-E0CF-4210-9030-0DCE03CB567B}" name="Farsi (Persian) Total" totalsRowFunction="sum" dataDxfId="1875"/>
    <tableColumn id="6" xr3:uid="{00000000-0010-0000-0F00-000006000000}" name="French Total" totalsRowFunction="sum" dataDxfId="1874"/>
    <tableColumn id="7" xr3:uid="{00000000-0010-0000-0F00-000007000000}" name="German Total" totalsRowFunction="sum" dataDxfId="1873"/>
    <tableColumn id="19" xr3:uid="{721552F2-979A-427E-872E-A26BEB554885}" name="Hebrew Total" totalsRowFunction="sum" dataDxfId="1872"/>
    <tableColumn id="24" xr3:uid="{18754836-3EF0-4CD5-9E4B-69A5F2A39D81}" name="Hindi Total" totalsRowFunction="sum" dataDxfId="1871"/>
    <tableColumn id="8" xr3:uid="{00000000-0010-0000-0F00-000008000000}" name="Hmong Total" totalsRowFunction="sum" dataDxfId="1870"/>
    <tableColumn id="9" xr3:uid="{00000000-0010-0000-0F00-000009000000}" name="Italian Total" totalsRowFunction="sum" dataDxfId="1869"/>
    <tableColumn id="10" xr3:uid="{00000000-0010-0000-0F00-00000A000000}" name="Japanese Total" totalsRowFunction="sum" dataDxfId="1868"/>
    <tableColumn id="11" xr3:uid="{00000000-0010-0000-0F00-00000B000000}" name="Korean Total" totalsRowFunction="sum" dataDxfId="1867"/>
    <tableColumn id="12" xr3:uid="{00000000-0010-0000-0F00-00000C000000}" name="Latin Total" totalsRowFunction="sum" dataDxfId="1866"/>
    <tableColumn id="13" xr3:uid="{00000000-0010-0000-0F00-00000D000000}" name="Portuguese Total" totalsRowFunction="sum" dataDxfId="1865"/>
    <tableColumn id="25" xr3:uid="{FCA344B1-8984-4831-92A7-6068D6150B9B}" name="Punjabi Total" totalsRowFunction="sum" dataDxfId="1864"/>
    <tableColumn id="20" xr3:uid="{017C9197-B74F-4E7E-9CD5-F59B718A952E}" name="Russian Total" totalsRowFunction="sum" dataDxfId="1863"/>
    <tableColumn id="14" xr3:uid="{00000000-0010-0000-0F00-00000E000000}" name="Spanish Total" totalsRowFunction="sum" dataDxfId="1862"/>
    <tableColumn id="15" xr3:uid="{00000000-0010-0000-0F00-00000F000000}" name="Tagalog (Filipino) Total" totalsRowFunction="sum" dataDxfId="1861"/>
    <tableColumn id="26" xr3:uid="{ECB6EAFA-46A0-419E-88D7-5D3A3CAEAC8C}" name="Urdu Total" totalsRowFunction="sum" dataDxfId="1860"/>
    <tableColumn id="16" xr3:uid="{00000000-0010-0000-0F00-000010000000}" name="Vietnamese Total" totalsRowFunction="sum" dataDxfId="1859"/>
    <tableColumn id="17" xr3:uid="{00000000-0010-0000-0F00-000011000000}" name="Other Total" totalsRowFunction="sum" dataDxfId="1858"/>
    <tableColumn id="21" xr3:uid="{9623DDAB-EFC8-4B13-B78B-3E95BAA4D961}" name="Total Seals per LEA" totalsRowFunction="sum" dataDxfId="1857">
      <calculatedColumnFormula>SUM(Lake[[#This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Lassen" displayName="Lassen" ref="A2:Z4" totalsRowCount="1" headerRowDxfId="1856">
  <autoFilter ref="A2:Z3" xr:uid="{00000000-0009-0000-0100-000012000000}"/>
  <tableColumns count="26">
    <tableColumn id="1" xr3:uid="{00000000-0010-0000-1000-000001000000}" name="Participating District" totalsRowLabel="Total: 1" dataDxfId="1855" totalsRowDxfId="1854"/>
    <tableColumn id="2" xr3:uid="{00000000-0010-0000-1000-000002000000}" name="Participating School" totalsRowLabel="1" dataDxfId="1853" totalsRowDxfId="1852"/>
    <tableColumn id="3" xr3:uid="{00000000-0010-0000-1000-000003000000}" name="American Sign Language Total" totalsRowFunction="sum" dataDxfId="1851"/>
    <tableColumn id="4" xr3:uid="{00000000-0010-0000-1000-000004000000}" name="Arabic Total" totalsRowFunction="sum" dataDxfId="1850"/>
    <tableColumn id="5" xr3:uid="{00000000-0010-0000-1000-000005000000}" name="Armenian Total" totalsRowFunction="sum" dataDxfId="1849"/>
    <tableColumn id="22" xr3:uid="{3A105161-E48A-4FD9-B6EA-A8CF17263F85}" name="Bengali Total" totalsRowFunction="sum" dataDxfId="1848"/>
    <tableColumn id="18" xr3:uid="{305BE9A7-5C7E-4F69-B163-1E48E4277321}" name="Chinese (Mandarin or Cantonese) Total" totalsRowFunction="sum" dataDxfId="1847"/>
    <tableColumn id="23" xr3:uid="{270B7F50-59E6-4AB3-B292-CBFAE9257102}" name="Farsi (Persian) Total" totalsRowFunction="sum" dataDxfId="1846"/>
    <tableColumn id="6" xr3:uid="{00000000-0010-0000-1000-000006000000}" name="French Total" totalsRowFunction="sum" dataDxfId="1845"/>
    <tableColumn id="7" xr3:uid="{00000000-0010-0000-1000-000007000000}" name="German Total" totalsRowFunction="sum" dataDxfId="1844"/>
    <tableColumn id="19" xr3:uid="{CAD98D34-B9E5-4057-9DDC-6650D1133D3F}" name="Hebrew Total" totalsRowFunction="sum" dataDxfId="1843"/>
    <tableColumn id="24" xr3:uid="{0474E44F-155C-41CC-BA1B-B689DB04C7F9}" name="Hindi Total" totalsRowFunction="sum" dataDxfId="1842"/>
    <tableColumn id="8" xr3:uid="{00000000-0010-0000-1000-000008000000}" name="Hmong Total" totalsRowFunction="sum" dataDxfId="1841"/>
    <tableColumn id="9" xr3:uid="{00000000-0010-0000-1000-000009000000}" name="Italian Total" totalsRowFunction="sum" dataDxfId="1840"/>
    <tableColumn id="10" xr3:uid="{00000000-0010-0000-1000-00000A000000}" name="Japanese Total" totalsRowFunction="sum" dataDxfId="1839"/>
    <tableColumn id="11" xr3:uid="{00000000-0010-0000-1000-00000B000000}" name="Korean Total" totalsRowFunction="sum" dataDxfId="1838"/>
    <tableColumn id="12" xr3:uid="{00000000-0010-0000-1000-00000C000000}" name="Latin Total" totalsRowFunction="sum" dataDxfId="1837"/>
    <tableColumn id="13" xr3:uid="{00000000-0010-0000-1000-00000D000000}" name="Portuguese Total" totalsRowFunction="sum" dataDxfId="1836"/>
    <tableColumn id="25" xr3:uid="{F2CDEB3A-649C-4BA4-B95F-01D2315CEA62}" name="Punjabi Total " totalsRowFunction="sum" dataDxfId="1835"/>
    <tableColumn id="20" xr3:uid="{DF72FF0E-DB9B-4368-AE1D-6EAD26B08B89}" name="Russian Total" totalsRowFunction="sum" dataDxfId="1834"/>
    <tableColumn id="14" xr3:uid="{00000000-0010-0000-1000-00000E000000}" name="Spanish Total" totalsRowFunction="sum" dataDxfId="1833"/>
    <tableColumn id="15" xr3:uid="{00000000-0010-0000-1000-00000F000000}" name="Tagalog (Filipino) Total" totalsRowFunction="sum" dataDxfId="1832"/>
    <tableColumn id="26" xr3:uid="{6C9DF5F6-A4DB-4BB3-8547-701BDEBDB7D1}" name="Urdu Total" totalsRowFunction="sum" dataDxfId="1831"/>
    <tableColumn id="16" xr3:uid="{00000000-0010-0000-1000-000010000000}" name="Vietnamese Total" totalsRowFunction="sum" dataDxfId="1830"/>
    <tableColumn id="17" xr3:uid="{00000000-0010-0000-1000-000011000000}" name="Other Total" totalsRowFunction="sum" dataDxfId="1829"/>
    <tableColumn id="21" xr3:uid="{9E96504D-0A28-4E6F-BD99-88AEAC575CD7}" name="Total Seals per LEA" totalsRowFunction="sum" dataDxfId="1828">
      <calculatedColumnFormula>SUM(Lassen[[American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LosAngeles" displayName="LosAngeles" ref="A2:Z97" totalsRowCount="1" headerRowDxfId="1827">
  <autoFilter ref="A2:Z96" xr:uid="{00000000-0009-0000-0100-000013000000}"/>
  <tableColumns count="26">
    <tableColumn id="1" xr3:uid="{00000000-0010-0000-1100-000001000000}" name="Participating Districts" totalsRowLabel="Total: 94" totalsRowDxfId="1826"/>
    <tableColumn id="2" xr3:uid="{00000000-0010-0000-1100-000002000000}" name="Participating Schools" totalsRowLabel="334" dataDxfId="1825" totalsRowDxfId="1824"/>
    <tableColumn id="3" xr3:uid="{00000000-0010-0000-1100-000003000000}" name="American Sign Language Total" totalsRowFunction="sum" dataDxfId="1823" totalsRowDxfId="1822"/>
    <tableColumn id="4" xr3:uid="{00000000-0010-0000-1100-000004000000}" name="Arabic Total" totalsRowFunction="sum" dataDxfId="1821" totalsRowDxfId="1820"/>
    <tableColumn id="5" xr3:uid="{00000000-0010-0000-1100-000005000000}" name="Armenian Total" totalsRowFunction="sum" dataDxfId="1819" totalsRowDxfId="1818"/>
    <tableColumn id="22" xr3:uid="{2AECE8AD-C972-4E50-975F-423621D5E0B1}" name="Bengali Total" totalsRowFunction="sum" dataDxfId="1817" totalsRowDxfId="1816"/>
    <tableColumn id="18" xr3:uid="{BA3AE528-3E2D-4F34-A558-CC296FFD1212}" name="Chinese (Mandarin or Cantonese) Total" totalsRowFunction="sum" dataDxfId="1815" totalsRowDxfId="1814"/>
    <tableColumn id="23" xr3:uid="{6AAF18F1-415D-4164-87E4-D52ABCC852F5}" name="Farsi (Persian) Total" totalsRowFunction="sum" dataDxfId="1813" totalsRowDxfId="1812"/>
    <tableColumn id="6" xr3:uid="{00000000-0010-0000-1100-000006000000}" name="French Total" totalsRowFunction="sum" dataDxfId="1811" totalsRowDxfId="1810"/>
    <tableColumn id="7" xr3:uid="{00000000-0010-0000-1100-000007000000}" name="German Total" totalsRowFunction="sum" dataDxfId="1809" totalsRowDxfId="1808"/>
    <tableColumn id="19" xr3:uid="{CEF23F97-838D-45FE-B656-7F218BE668F9}" name="Hebrew Total" totalsRowFunction="sum" dataDxfId="1807" totalsRowDxfId="1806"/>
    <tableColumn id="24" xr3:uid="{AC0A1816-0ED4-401F-8547-E9322837A970}" name="Hindi Total" totalsRowFunction="sum" dataDxfId="1805" totalsRowDxfId="1804"/>
    <tableColumn id="8" xr3:uid="{00000000-0010-0000-1100-000008000000}" name="Hmong Total" totalsRowFunction="sum" dataDxfId="1803" totalsRowDxfId="1802"/>
    <tableColumn id="9" xr3:uid="{00000000-0010-0000-1100-000009000000}" name="Italian Total" totalsRowFunction="sum" dataDxfId="1801" totalsRowDxfId="1800"/>
    <tableColumn id="10" xr3:uid="{00000000-0010-0000-1100-00000A000000}" name="Japanese Total" totalsRowFunction="sum" dataDxfId="1799" totalsRowDxfId="1798"/>
    <tableColumn id="11" xr3:uid="{00000000-0010-0000-1100-00000B000000}" name="Korean Total" totalsRowFunction="sum" dataDxfId="1797" totalsRowDxfId="1796"/>
    <tableColumn id="12" xr3:uid="{00000000-0010-0000-1100-00000C000000}" name="Latin Total" totalsRowFunction="sum" dataDxfId="1795" totalsRowDxfId="1794"/>
    <tableColumn id="13" xr3:uid="{00000000-0010-0000-1100-00000D000000}" name="Portuguese Total" totalsRowFunction="sum" dataDxfId="1793" totalsRowDxfId="1792"/>
    <tableColumn id="25" xr3:uid="{0B28417E-F333-4161-82A3-C5333E04C2A5}" name="Punjabi Total" totalsRowFunction="sum" dataDxfId="1791" totalsRowDxfId="1790"/>
    <tableColumn id="20" xr3:uid="{3FCA8658-5464-45F2-83ED-A5A7F78CB169}" name="Russian Total" totalsRowFunction="sum" dataDxfId="1789" totalsRowDxfId="1788"/>
    <tableColumn id="14" xr3:uid="{00000000-0010-0000-1100-00000E000000}" name="Spanish Total" totalsRowFunction="sum" dataDxfId="1787" totalsRowDxfId="1786"/>
    <tableColumn id="15" xr3:uid="{00000000-0010-0000-1100-00000F000000}" name="Tagalog (Filipino) Total" totalsRowFunction="sum" dataDxfId="1785" totalsRowDxfId="1784"/>
    <tableColumn id="26" xr3:uid="{96353DB5-2BA4-43D0-9751-6F1696FE4634}" name="Urdu Total" totalsRowFunction="sum" dataDxfId="1783" totalsRowDxfId="1782"/>
    <tableColumn id="16" xr3:uid="{00000000-0010-0000-1100-000010000000}" name="Vietnamese Total" totalsRowFunction="sum" dataDxfId="1781" totalsRowDxfId="1780"/>
    <tableColumn id="17" xr3:uid="{00000000-0010-0000-1100-000011000000}" name="Other Total" totalsRowFunction="sum" dataDxfId="1779" totalsRowDxfId="1778"/>
    <tableColumn id="21" xr3:uid="{E41DABD1-9048-45CF-BA4A-85053EE0F7AC}" name="Total Seals per LEA" totalsRowFunction="sum" dataDxfId="1777" totalsRowDxfId="1776">
      <calculatedColumnFormula>SUM(LosAngeles[[#This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Z27" totalsRowCount="1" headerRowDxfId="2449" dataDxfId="2448">
  <autoFilter ref="A2:Z26" xr:uid="{00000000-0009-0000-0100-000002000000}"/>
  <tableColumns count="26">
    <tableColumn id="1" xr3:uid="{00000000-0010-0000-0100-000001000000}" name="Participating Districts" totalsRowLabel="Total: 24" dataDxfId="2447" totalsRowDxfId="2446"/>
    <tableColumn id="2" xr3:uid="{00000000-0010-0000-0100-000002000000}" name="Participating Schools" totalsRowLabel="50" dataDxfId="2445" totalsRowDxfId="2444"/>
    <tableColumn id="18" xr3:uid="{00000000-0010-0000-0100-000012000000}" name="American Sign Language Total" totalsRowFunction="sum" dataDxfId="2443" totalsRowDxfId="2442"/>
    <tableColumn id="3" xr3:uid="{00000000-0010-0000-0100-000003000000}" name="Arabic Total" totalsRowFunction="sum" dataDxfId="2441" totalsRowDxfId="2440"/>
    <tableColumn id="4" xr3:uid="{FE2F6E01-73F4-424C-8ACE-4A11F3162658}" name="Armenian Total" totalsRowFunction="sum" dataDxfId="2439" totalsRowDxfId="2438"/>
    <tableColumn id="22" xr3:uid="{68588E7F-EAC1-4BD0-89C2-DBEB76379895}" name="Bengali Total" totalsRowFunction="sum" dataDxfId="2437" totalsRowDxfId="2436"/>
    <tableColumn id="5" xr3:uid="{00000000-0010-0000-0100-000005000000}" name="Chinese (Mandarin or Cantonese) Total" totalsRowFunction="sum" dataDxfId="2435" totalsRowDxfId="2434"/>
    <tableColumn id="23" xr3:uid="{EC6BF2CA-0884-4BC9-B838-B5B7C4EAACF5}" name="Farsi (Persian) Total" totalsRowFunction="sum" dataDxfId="2433" totalsRowDxfId="2432"/>
    <tableColumn id="6" xr3:uid="{00000000-0010-0000-0100-000006000000}" name="French Total" totalsRowFunction="sum" dataDxfId="2431" totalsRowDxfId="2430"/>
    <tableColumn id="7" xr3:uid="{00000000-0010-0000-0100-000007000000}" name="German Total" totalsRowFunction="sum" dataDxfId="2429" totalsRowDxfId="2428"/>
    <tableColumn id="8" xr3:uid="{00000000-0010-0000-0100-000008000000}" name="Hebrew Total" totalsRowFunction="sum" dataDxfId="2427" totalsRowDxfId="2426"/>
    <tableColumn id="24" xr3:uid="{6D0987A4-A6BE-4FEE-ACC7-93A5B421239B}" name="Hindi Total" totalsRowFunction="sum" dataDxfId="2425" totalsRowDxfId="2424"/>
    <tableColumn id="9" xr3:uid="{00000000-0010-0000-0100-000009000000}" name="Hmong Total" totalsRowFunction="sum" dataDxfId="2423" totalsRowDxfId="2422"/>
    <tableColumn id="10" xr3:uid="{00000000-0010-0000-0100-00000A000000}" name="Italian Total" totalsRowFunction="sum" dataDxfId="2421" totalsRowDxfId="2420"/>
    <tableColumn id="11" xr3:uid="{00000000-0010-0000-0100-00000B000000}" name="Japanese Total" totalsRowFunction="sum" dataDxfId="2419" totalsRowDxfId="2418"/>
    <tableColumn id="12" xr3:uid="{00000000-0010-0000-0100-00000C000000}" name="Korean Total" totalsRowFunction="sum" dataDxfId="2417" totalsRowDxfId="2416"/>
    <tableColumn id="13" xr3:uid="{00000000-0010-0000-0100-00000D000000}" name="Latin Total" totalsRowFunction="sum" dataDxfId="2415" totalsRowDxfId="2414"/>
    <tableColumn id="19" xr3:uid="{3AB27456-C8A0-4F84-97A2-9B65B872BC68}" name="Portuguese Total" totalsRowFunction="sum" dataDxfId="2413" totalsRowDxfId="2412"/>
    <tableColumn id="25" xr3:uid="{98535F64-6044-44E7-925F-B8435E4EE05B}" name="Punjabi Total" totalsRowFunction="sum" dataDxfId="2411" totalsRowDxfId="2410"/>
    <tableColumn id="20" xr3:uid="{27F38954-6CB6-40B8-8B8E-B9B11311D980}" name="Russian Total" totalsRowFunction="sum" dataDxfId="2409" totalsRowDxfId="2408"/>
    <tableColumn id="14" xr3:uid="{00000000-0010-0000-0100-00000E000000}" name="Spanish Total" totalsRowFunction="sum" dataDxfId="2407" totalsRowDxfId="2406"/>
    <tableColumn id="15" xr3:uid="{00000000-0010-0000-0100-00000F000000}" name="Tagalog (Filipino) Total" totalsRowFunction="sum" dataDxfId="2405" totalsRowDxfId="2404"/>
    <tableColumn id="26" xr3:uid="{11ABA669-2E24-49AF-9D10-D44A62B16904}" name="Urdu Total" totalsRowFunction="sum" dataDxfId="2403" totalsRowDxfId="2402"/>
    <tableColumn id="16" xr3:uid="{00000000-0010-0000-0100-000010000000}" name="Vietnamese Total" totalsRowFunction="sum" dataDxfId="2401" totalsRowDxfId="2400"/>
    <tableColumn id="17" xr3:uid="{00000000-0010-0000-0100-000011000000}" name="Other Total" totalsRowFunction="sum" dataDxfId="2399" totalsRowDxfId="2398"/>
    <tableColumn id="21" xr3:uid="{E2CFAE4C-C294-4BD4-A235-4C30B9097555}" name="Total Seals per LEA" totalsRowFunction="sum" dataDxfId="2397" totalsRowDxfId="2396">
      <calculatedColumnFormula>SUM(Table2[[#This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6FD45BE-F86C-4560-BC24-2CE3D7898926}" name="LAUSD" displayName="LAUSD" ref="A2:A135" totalsRowShown="0">
  <autoFilter ref="A2:A135" xr:uid="{56FD45BE-F86C-4560-BC24-2CE3D7898926}"/>
  <tableColumns count="1">
    <tableColumn id="1" xr3:uid="{C5F65FC3-97F5-476D-A54B-2EE22E9699E8}" name="Los Angeles Unified - Participating Schools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able of Los Angeles Unified Participating Schoo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dera" displayName="Madera" ref="A2:Z7" totalsRowCount="1" headerRowDxfId="1775">
  <autoFilter ref="A2:Z6" xr:uid="{00000000-0009-0000-0100-000014000000}"/>
  <tableColumns count="26">
    <tableColumn id="1" xr3:uid="{00000000-0010-0000-1200-000001000000}" name="Participating Districts" totalsRowLabel="Total: 4" dataDxfId="1774" totalsRowDxfId="1773"/>
    <tableColumn id="2" xr3:uid="{00000000-0010-0000-1200-000002000000}" name="Participating Schools" totalsRowLabel="6" dataDxfId="1772" totalsRowDxfId="1771"/>
    <tableColumn id="3" xr3:uid="{00000000-0010-0000-1200-000003000000}" name="American Sign Language Total" totalsRowFunction="sum" dataDxfId="1770"/>
    <tableColumn id="4" xr3:uid="{00000000-0010-0000-1200-000004000000}" name="Arabic Total" totalsRowFunction="sum" dataDxfId="1769"/>
    <tableColumn id="5" xr3:uid="{00000000-0010-0000-1200-000005000000}" name="Armenian Total" totalsRowFunction="sum" dataDxfId="1768"/>
    <tableColumn id="22" xr3:uid="{79AE5D4D-F4DB-4B04-B389-0E1C561612E2}" name="Bengali Total" totalsRowFunction="sum" dataDxfId="1767"/>
    <tableColumn id="18" xr3:uid="{B2EF307D-EFE0-4E07-BAAC-AB16C2C88D45}" name="Chinese (Mandarin or Cantonese) Total" totalsRowFunction="sum" dataDxfId="1766"/>
    <tableColumn id="23" xr3:uid="{DED694E7-609B-4D69-9633-08C114248D24}" name="Farsi (Persian) Total" totalsRowFunction="sum" dataDxfId="1765"/>
    <tableColumn id="6" xr3:uid="{00000000-0010-0000-1200-000006000000}" name="French Total" totalsRowFunction="sum" dataDxfId="1764"/>
    <tableColumn id="7" xr3:uid="{00000000-0010-0000-1200-000007000000}" name="German Total" totalsRowFunction="sum" dataDxfId="1763"/>
    <tableColumn id="19" xr3:uid="{0288805B-9BF2-4DF0-ADA1-305B04D0C175}" name="Hebrew Total" totalsRowFunction="sum" dataDxfId="1762"/>
    <tableColumn id="24" xr3:uid="{F5B39D3F-B199-4721-8FDA-910EAC039537}" name="Hindi Total" totalsRowFunction="sum" dataDxfId="1761"/>
    <tableColumn id="8" xr3:uid="{00000000-0010-0000-1200-000008000000}" name="Hmong Total" totalsRowFunction="sum" dataDxfId="1760"/>
    <tableColumn id="9" xr3:uid="{00000000-0010-0000-1200-000009000000}" name="Italian Total" totalsRowFunction="sum" dataDxfId="1759"/>
    <tableColumn id="10" xr3:uid="{00000000-0010-0000-1200-00000A000000}" name="Japanese Total" totalsRowFunction="sum" dataDxfId="1758"/>
    <tableColumn id="11" xr3:uid="{00000000-0010-0000-1200-00000B000000}" name="Korean Total" totalsRowFunction="sum" dataDxfId="1757"/>
    <tableColumn id="12" xr3:uid="{00000000-0010-0000-1200-00000C000000}" name="Latin Total" totalsRowFunction="sum" dataDxfId="1756"/>
    <tableColumn id="13" xr3:uid="{00000000-0010-0000-1200-00000D000000}" name="Portuguese Total" totalsRowFunction="sum" dataDxfId="1755"/>
    <tableColumn id="25" xr3:uid="{888D7B59-1770-4424-A697-70927C4B366C}" name="Punjabi Total" totalsRowFunction="sum" dataDxfId="1754"/>
    <tableColumn id="20" xr3:uid="{A457FA86-59FF-4CDF-8618-1804C0CCE47F}" name="Russian Total" totalsRowFunction="sum" dataDxfId="1753"/>
    <tableColumn id="14" xr3:uid="{00000000-0010-0000-1200-00000E000000}" name="Spanish Total" totalsRowFunction="sum" dataDxfId="1752"/>
    <tableColumn id="15" xr3:uid="{00000000-0010-0000-1200-00000F000000}" name="Tagalog (Filipino) Total" totalsRowFunction="sum" dataDxfId="1751"/>
    <tableColumn id="26" xr3:uid="{0D794E25-EF99-45DC-BA04-147ED4A371F8}" name="Urdu Total" totalsRowFunction="sum" dataDxfId="1750"/>
    <tableColumn id="16" xr3:uid="{00000000-0010-0000-1200-000010000000}" name="Vietnamese Total" totalsRowFunction="sum" dataDxfId="1749"/>
    <tableColumn id="17" xr3:uid="{00000000-0010-0000-1200-000011000000}" name="Other Total" totalsRowFunction="sum" dataDxfId="1748"/>
    <tableColumn id="21" xr3:uid="{78251EC7-1FEC-4EBB-A201-A5DC94C037E7}" name="Total Seals per LEA" totalsRowFunction="sum" dataDxfId="1747">
      <calculatedColumnFormula>SUM(Madera[[#This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dera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Marin" displayName="Marin" ref="A2:Z7" totalsRowCount="1" headerRowDxfId="1746" dataDxfId="1745">
  <autoFilter ref="A2:Z6" xr:uid="{00000000-0009-0000-0100-000015000000}"/>
  <tableColumns count="26">
    <tableColumn id="1" xr3:uid="{00000000-0010-0000-1300-000001000000}" name="Participating Districts" totalsRowLabel="Total: 4" dataDxfId="1744" totalsRowDxfId="1743"/>
    <tableColumn id="2" xr3:uid="{00000000-0010-0000-1300-000002000000}" name="Participating Schools" totalsRowLabel="9" dataDxfId="1742" totalsRowDxfId="1741"/>
    <tableColumn id="3" xr3:uid="{00000000-0010-0000-1300-000003000000}" name="American Sign Language Total" totalsRowFunction="sum" dataDxfId="1740"/>
    <tableColumn id="4" xr3:uid="{00000000-0010-0000-1300-000004000000}" name="Arabic Total" totalsRowFunction="sum" dataDxfId="1739"/>
    <tableColumn id="5" xr3:uid="{00000000-0010-0000-1300-000005000000}" name="Armenian Total" totalsRowFunction="sum" dataDxfId="1738"/>
    <tableColumn id="22" xr3:uid="{5C659472-4B33-46C3-9346-4D7135D5DE85}" name="Bengali Total" totalsRowFunction="sum" dataDxfId="1737"/>
    <tableColumn id="18" xr3:uid="{38FEE3E9-DD73-455B-8856-BDB75668D561}" name="Chinese (Mandarin or Cantonese) Total" totalsRowFunction="sum" dataDxfId="1736"/>
    <tableColumn id="23" xr3:uid="{C1FE93CB-281F-4731-BEFF-17CEB5DD19A1}" name="Farsi (Persian) Total" totalsRowFunction="sum" dataDxfId="1735"/>
    <tableColumn id="6" xr3:uid="{00000000-0010-0000-1300-000006000000}" name="French Total" totalsRowFunction="sum" dataDxfId="1734"/>
    <tableColumn id="7" xr3:uid="{00000000-0010-0000-1300-000007000000}" name="German Total" totalsRowFunction="sum" dataDxfId="1733"/>
    <tableColumn id="19" xr3:uid="{041C3CCD-A5E8-48C6-82D7-3754EC8BF12D}" name="Hebrew Total" totalsRowFunction="sum" dataDxfId="1732"/>
    <tableColumn id="24" xr3:uid="{C920A8C8-C545-4E49-AE7D-F7F2476EF584}" name="Hindi Total" totalsRowFunction="sum" dataDxfId="1731"/>
    <tableColumn id="8" xr3:uid="{00000000-0010-0000-1300-000008000000}" name="Hmong Total" totalsRowFunction="sum" dataDxfId="1730"/>
    <tableColumn id="9" xr3:uid="{00000000-0010-0000-1300-000009000000}" name="Italian Total" totalsRowFunction="sum" dataDxfId="1729"/>
    <tableColumn id="10" xr3:uid="{00000000-0010-0000-1300-00000A000000}" name="Japanese Total" totalsRowFunction="sum" dataDxfId="1728"/>
    <tableColumn id="11" xr3:uid="{00000000-0010-0000-1300-00000B000000}" name="Korean Total" totalsRowFunction="sum" dataDxfId="1727"/>
    <tableColumn id="12" xr3:uid="{00000000-0010-0000-1300-00000C000000}" name="Latin Total" totalsRowFunction="sum" dataDxfId="1726"/>
    <tableColumn id="13" xr3:uid="{00000000-0010-0000-1300-00000D000000}" name="Portuguese Total" totalsRowFunction="sum" dataDxfId="1725"/>
    <tableColumn id="25" xr3:uid="{09365142-FF8C-469F-B9C3-E7572DCCA545}" name="Punjabi Total" totalsRowFunction="sum" dataDxfId="1724"/>
    <tableColumn id="20" xr3:uid="{E22A27D8-BDE1-4E9A-84EB-3857674B736C}" name="Russian Total" totalsRowFunction="sum" dataDxfId="1723"/>
    <tableColumn id="14" xr3:uid="{00000000-0010-0000-1300-00000E000000}" name="Spanish Total" totalsRowFunction="sum" dataDxfId="1722"/>
    <tableColumn id="15" xr3:uid="{00000000-0010-0000-1300-00000F000000}" name="Tagalog (Filipino) Total" totalsRowFunction="sum" dataDxfId="1721"/>
    <tableColumn id="26" xr3:uid="{9D081350-5094-4C6A-B8DE-698F76FE839F}" name="Urdu Total" totalsRowFunction="sum" dataDxfId="1720"/>
    <tableColumn id="16" xr3:uid="{00000000-0010-0000-1300-000010000000}" name="Vietnamese Total" totalsRowFunction="sum" dataDxfId="1719"/>
    <tableColumn id="17" xr3:uid="{00000000-0010-0000-1300-000011000000}" name="Other Total" totalsRowFunction="sum" dataDxfId="1718"/>
    <tableColumn id="21" xr3:uid="{D8B00520-DADD-4956-862D-EAA9075CD461}" name="Total Seals per LEA" totalsRowFunction="sum" dataDxfId="1717">
      <calculatedColumnFormula>SUM(Marin[[#This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rin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Mendocino" displayName="Mendocino" ref="A2:Z7" totalsRowCount="1" headerRowDxfId="1716">
  <autoFilter ref="A2:Z6" xr:uid="{00000000-0009-0000-0100-000016000000}"/>
  <tableColumns count="26">
    <tableColumn id="1" xr3:uid="{00000000-0010-0000-1400-000001000000}" name="Participating Districts" totalsRowLabel="Total: 4" dataDxfId="1715" totalsRowDxfId="1714"/>
    <tableColumn id="2" xr3:uid="{00000000-0010-0000-1400-000002000000}" name="Participating Schools" totalsRowLabel="4" dataDxfId="1713" totalsRowDxfId="1712"/>
    <tableColumn id="3" xr3:uid="{00000000-0010-0000-1400-000003000000}" name="American Sign Language Total" totalsRowFunction="sum" dataDxfId="1711"/>
    <tableColumn id="4" xr3:uid="{00000000-0010-0000-1400-000004000000}" name="Arabic Total" totalsRowFunction="sum" dataDxfId="1710"/>
    <tableColumn id="5" xr3:uid="{00000000-0010-0000-1400-000005000000}" name="Armenian Total" totalsRowFunction="sum" dataDxfId="1709"/>
    <tableColumn id="22" xr3:uid="{80C0C61A-F1EC-4952-BABA-2F2B629BEA80}" name="Bengali Total" totalsRowFunction="sum" dataDxfId="1708"/>
    <tableColumn id="21" xr3:uid="{5727EC65-574C-4752-A072-8317522731ED}" name="Chinese (Mandarin or Cantonese) Total" totalsRowFunction="sum" dataDxfId="1707"/>
    <tableColumn id="23" xr3:uid="{E1F98CC4-23B4-449A-ADEC-244CCD7C7F0E}" name="Farsi (Persian) Total" totalsRowFunction="sum" dataDxfId="1706"/>
    <tableColumn id="6" xr3:uid="{00000000-0010-0000-1400-000006000000}" name="French Total" totalsRowFunction="sum" dataDxfId="1705"/>
    <tableColumn id="7" xr3:uid="{00000000-0010-0000-1400-000007000000}" name="German Total" totalsRowFunction="sum" dataDxfId="1704"/>
    <tableColumn id="19" xr3:uid="{1B7C87A6-888A-4CDA-8C46-02EF63B4AEF7}" name="Hebrew Total" totalsRowFunction="sum" dataDxfId="1703"/>
    <tableColumn id="24" xr3:uid="{0B20624D-ADAA-4474-BE3F-AADFE365A4A7}" name="Hindi Total" totalsRowFunction="sum" dataDxfId="1702"/>
    <tableColumn id="8" xr3:uid="{00000000-0010-0000-1400-000008000000}" name="Hmong Total" totalsRowFunction="sum" dataDxfId="1701"/>
    <tableColumn id="9" xr3:uid="{00000000-0010-0000-1400-000009000000}" name="Italian Total" totalsRowFunction="sum" dataDxfId="1700"/>
    <tableColumn id="10" xr3:uid="{00000000-0010-0000-1400-00000A000000}" name="Japanese Total" totalsRowFunction="sum" dataDxfId="1699"/>
    <tableColumn id="11" xr3:uid="{00000000-0010-0000-1400-00000B000000}" name="Korean Total" totalsRowFunction="sum" dataDxfId="1698"/>
    <tableColumn id="12" xr3:uid="{00000000-0010-0000-1400-00000C000000}" name="Latin Total" totalsRowFunction="sum" dataDxfId="1697"/>
    <tableColumn id="20" xr3:uid="{4217E9A9-4A0F-493D-B9C0-ADE119468A0C}" name="Russian Total" totalsRowFunction="sum" dataDxfId="1696"/>
    <tableColumn id="13" xr3:uid="{00000000-0010-0000-1400-00000D000000}" name="Portuguese Total" totalsRowFunction="sum" dataDxfId="1695"/>
    <tableColumn id="25" xr3:uid="{4A39BA52-E756-4907-87F6-0F37648AB980}" name="Punjabi Total" totalsRowFunction="sum" dataDxfId="1694"/>
    <tableColumn id="14" xr3:uid="{00000000-0010-0000-1400-00000E000000}" name="Spanish Total" totalsRowFunction="sum" dataDxfId="1693"/>
    <tableColumn id="15" xr3:uid="{00000000-0010-0000-1400-00000F000000}" name="Tagalog (Filipino) Total" totalsRowFunction="sum" dataDxfId="1692"/>
    <tableColumn id="26" xr3:uid="{8025965F-6309-4DAA-8CFD-4A3855F00A88}" name="Urdu Total" totalsRowFunction="sum" dataDxfId="1691"/>
    <tableColumn id="16" xr3:uid="{00000000-0010-0000-1400-000010000000}" name="Vietnamese Total" totalsRowFunction="sum" dataDxfId="1690"/>
    <tableColumn id="17" xr3:uid="{00000000-0010-0000-1400-000011000000}" name="Other Total" totalsRowFunction="sum" dataDxfId="1689"/>
    <tableColumn id="18" xr3:uid="{1117297E-C7C5-49D8-8290-F23A2BC58E37}" name="Total Seals per LEA" totalsRowFunction="sum" dataDxfId="1688">
      <calculatedColumnFormula>SUM(Mendocino[[#This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endocino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Merced" displayName="Merced" ref="A2:Z11" totalsRowCount="1" headerRowDxfId="1687" dataDxfId="1686">
  <autoFilter ref="A2:Z10" xr:uid="{00000000-0009-0000-0100-000017000000}"/>
  <tableColumns count="26">
    <tableColumn id="1" xr3:uid="{00000000-0010-0000-1500-000001000000}" name="Participating Districts" totalsRowLabel="Total: 8" dataDxfId="1685" totalsRowDxfId="1684"/>
    <tableColumn id="2" xr3:uid="{00000000-0010-0000-1500-000002000000}" name="Participating Schools" totalsRowLabel="15" dataDxfId="1683" totalsRowDxfId="1682"/>
    <tableColumn id="3" xr3:uid="{00000000-0010-0000-1500-000003000000}" name="American Sign Language Total" totalsRowFunction="sum" dataDxfId="1681"/>
    <tableColumn id="4" xr3:uid="{00000000-0010-0000-1500-000004000000}" name="Arabic Total" totalsRowFunction="sum" dataDxfId="1680"/>
    <tableColumn id="5" xr3:uid="{00000000-0010-0000-1500-000005000000}" name="Armenian Total" totalsRowFunction="sum" dataDxfId="1679"/>
    <tableColumn id="22" xr3:uid="{FF5C478A-0250-4E47-8A5A-2C90A8AB6CD1}" name="Bengali Total" totalsRowFunction="sum" dataDxfId="1678"/>
    <tableColumn id="18" xr3:uid="{1A9C1240-0C99-4A63-B1F7-FC0DEA6B4D9B}" name="Chinese (Mandarin or Cantonese) Total" totalsRowFunction="sum" dataDxfId="1677"/>
    <tableColumn id="26" xr3:uid="{FFFD7BDC-8BC3-4DCD-8B61-503886510736}" name="Farsi (Persian) Total" totalsRowFunction="sum" dataDxfId="1676"/>
    <tableColumn id="6" xr3:uid="{00000000-0010-0000-1500-000006000000}" name="French Total" totalsRowFunction="sum" dataDxfId="1675"/>
    <tableColumn id="7" xr3:uid="{00000000-0010-0000-1500-000007000000}" name="German Total" totalsRowFunction="sum" dataDxfId="1674"/>
    <tableColumn id="19" xr3:uid="{E621819A-D420-4088-A245-1DA7A912D1D4}" name="Hebrew Total" totalsRowFunction="sum" dataDxfId="1673"/>
    <tableColumn id="23" xr3:uid="{6180A395-ADCE-4F78-8F49-EAA16670B4FF}" name="Hindi Total" totalsRowFunction="sum" dataDxfId="1672"/>
    <tableColumn id="8" xr3:uid="{00000000-0010-0000-1500-000008000000}" name="Hmong Total" totalsRowFunction="sum" dataDxfId="1671"/>
    <tableColumn id="9" xr3:uid="{00000000-0010-0000-1500-000009000000}" name="Italian Total" totalsRowFunction="sum" dataDxfId="1670"/>
    <tableColumn id="10" xr3:uid="{00000000-0010-0000-1500-00000A000000}" name="Japanese Total" totalsRowFunction="sum" dataDxfId="1669"/>
    <tableColumn id="11" xr3:uid="{00000000-0010-0000-1500-00000B000000}" name="Korean Total" totalsRowFunction="sum" dataDxfId="1668"/>
    <tableColumn id="12" xr3:uid="{00000000-0010-0000-1500-00000C000000}" name="Latin Total" totalsRowFunction="sum" dataDxfId="1667"/>
    <tableColumn id="13" xr3:uid="{00000000-0010-0000-1500-00000D000000}" name="Portuguese Total" totalsRowFunction="sum" dataDxfId="1666"/>
    <tableColumn id="24" xr3:uid="{7E91CE50-70B1-4610-8F81-E3381CE642F4}" name="Punjabi Total" totalsRowFunction="sum" dataDxfId="1665"/>
    <tableColumn id="20" xr3:uid="{00F67901-1548-4073-9917-2929E1E11BE0}" name="Russian Total" totalsRowFunction="sum" dataDxfId="1664"/>
    <tableColumn id="14" xr3:uid="{00000000-0010-0000-1500-00000E000000}" name="Spanish Total" totalsRowFunction="sum" dataDxfId="1663"/>
    <tableColumn id="15" xr3:uid="{00000000-0010-0000-1500-00000F000000}" name="Tagalog (Filipino) Total" totalsRowFunction="sum" dataDxfId="1662"/>
    <tableColumn id="25" xr3:uid="{AC3B9EB6-72CE-4655-AE25-EB277F399F1D}" name="Urdu Total" totalsRowFunction="sum" dataDxfId="1661"/>
    <tableColumn id="16" xr3:uid="{00000000-0010-0000-1500-000010000000}" name="Vietnamese Total" totalsRowFunction="sum" dataDxfId="1660"/>
    <tableColumn id="17" xr3:uid="{00000000-0010-0000-1500-000011000000}" name="Other Total" totalsRowFunction="sum" dataDxfId="1659"/>
    <tableColumn id="21" xr3:uid="{3BCB57E9-7A80-48EA-A381-22FBE3B30A5A}" name="Total Seals per LEA" totalsRowFunction="sum" dataDxfId="1658">
      <calculatedColumnFormula>SUM(Merced[[#This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erced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Mono" displayName="Mono" ref="A2:Z5" totalsRowCount="1" headerRowDxfId="1657" dataDxfId="1656">
  <autoFilter ref="A2:Z4" xr:uid="{00000000-0009-0000-0100-000018000000}"/>
  <tableColumns count="26">
    <tableColumn id="1" xr3:uid="{00000000-0010-0000-1600-000001000000}" name="Participating Districts" totalsRowLabel="Total: 2" dataDxfId="1655" totalsRowDxfId="1654"/>
    <tableColumn id="2" xr3:uid="{00000000-0010-0000-1600-000002000000}" name="Participating Schools" totalsRowLabel="3" dataDxfId="1653" totalsRowDxfId="1652"/>
    <tableColumn id="3" xr3:uid="{00000000-0010-0000-1600-000003000000}" name="American Sign Language Total" totalsRowFunction="sum" dataDxfId="1651"/>
    <tableColumn id="4" xr3:uid="{00000000-0010-0000-1600-000004000000}" name="Arabic Total" totalsRowFunction="sum" dataDxfId="1650"/>
    <tableColumn id="5" xr3:uid="{00000000-0010-0000-1600-000005000000}" name="Armenian Total" totalsRowFunction="sum" dataDxfId="1649"/>
    <tableColumn id="22" xr3:uid="{B5EF5756-3DEF-4878-B3C7-CDC1C22C4A82}" name="Bengali Total" totalsRowFunction="sum" dataDxfId="1648"/>
    <tableColumn id="18" xr3:uid="{C7312AD9-6F70-4599-9FB5-0C8B3F59C943}" name="Chinese (Mandarin or Cantonese) Total" totalsRowFunction="sum" dataDxfId="1647"/>
    <tableColumn id="23" xr3:uid="{26B548FF-DCB2-49B3-98EF-C83EA7E1C23F}" name="Farsi (Persian) Total" totalsRowFunction="sum" dataDxfId="1646"/>
    <tableColumn id="6" xr3:uid="{00000000-0010-0000-1600-000006000000}" name="French Total" totalsRowFunction="sum" dataDxfId="1645"/>
    <tableColumn id="7" xr3:uid="{00000000-0010-0000-1600-000007000000}" name="German Total" totalsRowFunction="sum" dataDxfId="1644"/>
    <tableColumn id="19" xr3:uid="{946AAB3F-8A21-431B-A470-C6E88AB2A78F}" name="Hebrew Total" totalsRowFunction="sum" dataDxfId="1643"/>
    <tableColumn id="24" xr3:uid="{0F70FB45-8D09-46FF-BC58-025C5DA33575}" name="Hindi Total" totalsRowFunction="sum" dataDxfId="1642"/>
    <tableColumn id="8" xr3:uid="{00000000-0010-0000-1600-000008000000}" name="Hmong Total" totalsRowFunction="sum" dataDxfId="1641"/>
    <tableColumn id="9" xr3:uid="{00000000-0010-0000-1600-000009000000}" name="Italian Total" totalsRowFunction="sum" dataDxfId="1640"/>
    <tableColumn id="10" xr3:uid="{00000000-0010-0000-1600-00000A000000}" name="Japanese Total" totalsRowFunction="sum" dataDxfId="1639"/>
    <tableColumn id="11" xr3:uid="{00000000-0010-0000-1600-00000B000000}" name="Korean Total" totalsRowFunction="sum" dataDxfId="1638"/>
    <tableColumn id="12" xr3:uid="{00000000-0010-0000-1600-00000C000000}" name="Latin Total" totalsRowFunction="sum" dataDxfId="1637"/>
    <tableColumn id="13" xr3:uid="{00000000-0010-0000-1600-00000D000000}" name="Portuguese Total" totalsRowFunction="sum" dataDxfId="1636"/>
    <tableColumn id="25" xr3:uid="{59F8D003-92C3-4431-80DC-B3AEECE6892A}" name="Punjabi Total" totalsRowFunction="sum" dataDxfId="1635"/>
    <tableColumn id="20" xr3:uid="{085E8907-77F5-45E7-BD3A-72A34E2F044B}" name="Russian Total" totalsRowFunction="sum" dataDxfId="1634"/>
    <tableColumn id="14" xr3:uid="{00000000-0010-0000-1600-00000E000000}" name="Spanish Total" totalsRowFunction="sum" dataDxfId="1633"/>
    <tableColumn id="15" xr3:uid="{00000000-0010-0000-1600-00000F000000}" name="Tagalog (Filipino) Total" totalsRowFunction="sum" dataDxfId="1632"/>
    <tableColumn id="26" xr3:uid="{454401BA-4690-46E4-9FD0-948832D464CC}" name="Urdu Total" totalsRowFunction="sum" dataDxfId="1631"/>
    <tableColumn id="16" xr3:uid="{00000000-0010-0000-1600-000010000000}" name="Vietnamese Total" totalsRowFunction="sum" dataDxfId="1630"/>
    <tableColumn id="17" xr3:uid="{00000000-0010-0000-1600-000011000000}" name="Other Total" totalsRowFunction="sum" dataDxfId="1629"/>
    <tableColumn id="21" xr3:uid="{63A4E1C2-59EC-4FF7-8C0F-795C08FD61C6}" name="Total Seals per LEA" totalsRowFunction="sum" dataDxfId="1628">
      <calculatedColumnFormula>SUM(Mono[[#This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ono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Monterey" displayName="Monterey" ref="A2:Z11" totalsRowCount="1" headerRowDxfId="1627" dataDxfId="1626">
  <autoFilter ref="A2:Z10" xr:uid="{00000000-0009-0000-0100-000019000000}"/>
  <tableColumns count="26">
    <tableColumn id="1" xr3:uid="{00000000-0010-0000-1700-000001000000}" name="Participating Districts" totalsRowLabel="Total: 8" dataDxfId="1625" totalsRowDxfId="1624"/>
    <tableColumn id="2" xr3:uid="{00000000-0010-0000-1700-000002000000}" name="Participating Schools" totalsRowLabel="19" dataDxfId="1623" totalsRowDxfId="1622"/>
    <tableColumn id="3" xr3:uid="{00000000-0010-0000-1700-000003000000}" name="American Sign Language Total" totalsRowFunction="sum" dataDxfId="1621" totalsRowDxfId="1620"/>
    <tableColumn id="4" xr3:uid="{00000000-0010-0000-1700-000004000000}" name="Arabic Total" totalsRowFunction="sum" dataDxfId="1619" totalsRowDxfId="1618"/>
    <tableColumn id="5" xr3:uid="{00000000-0010-0000-1700-000005000000}" name="Armenian Total" totalsRowFunction="sum" dataDxfId="1617" totalsRowDxfId="1616"/>
    <tableColumn id="22" xr3:uid="{E77E44D9-DD4C-48AF-B5D4-7D4F6F129EED}" name="Bengali Total" totalsRowFunction="sum" dataDxfId="1615" totalsRowDxfId="1614"/>
    <tableColumn id="18" xr3:uid="{825CD97A-E00E-45B0-9D6F-27158B99AC11}" name="Chinese (Mandarin or Cantonese) Total" totalsRowFunction="sum" dataDxfId="1613" totalsRowDxfId="1612"/>
    <tableColumn id="23" xr3:uid="{8D58C892-D31B-48F3-9555-BBD8B34C6E86}" name="Farsi (Persian) Total" totalsRowFunction="sum" dataDxfId="1611" totalsRowDxfId="1610"/>
    <tableColumn id="6" xr3:uid="{00000000-0010-0000-1700-000006000000}" name="French Total" totalsRowFunction="sum" dataDxfId="1609" totalsRowDxfId="1608"/>
    <tableColumn id="7" xr3:uid="{00000000-0010-0000-1700-000007000000}" name="German Total" totalsRowFunction="sum" dataDxfId="1607" totalsRowDxfId="1606"/>
    <tableColumn id="19" xr3:uid="{230D5063-C6A9-47A0-8263-27947442D1D7}" name="Hebrew Total" totalsRowFunction="sum" dataDxfId="1605" totalsRowDxfId="1604"/>
    <tableColumn id="24" xr3:uid="{C0EF974B-C6BA-45D3-8C9E-B5231D113109}" name="Hindi Total" totalsRowFunction="sum" dataDxfId="1603" totalsRowDxfId="1602"/>
    <tableColumn id="8" xr3:uid="{00000000-0010-0000-1700-000008000000}" name="Hmong Total" totalsRowFunction="sum" dataDxfId="1601" totalsRowDxfId="1600"/>
    <tableColumn id="9" xr3:uid="{00000000-0010-0000-1700-000009000000}" name="Italian Total" totalsRowFunction="sum" dataDxfId="1599" totalsRowDxfId="1598"/>
    <tableColumn id="10" xr3:uid="{00000000-0010-0000-1700-00000A000000}" name="Japanese Total" totalsRowFunction="sum" dataDxfId="1597" totalsRowDxfId="1596"/>
    <tableColumn id="11" xr3:uid="{00000000-0010-0000-1700-00000B000000}" name="Korean Total" totalsRowFunction="sum" dataDxfId="1595" totalsRowDxfId="1594"/>
    <tableColumn id="12" xr3:uid="{00000000-0010-0000-1700-00000C000000}" name="Latin Total" totalsRowFunction="sum" dataDxfId="1593" totalsRowDxfId="1592"/>
    <tableColumn id="13" xr3:uid="{00000000-0010-0000-1700-00000D000000}" name="Portuguese Total" totalsRowFunction="sum" dataDxfId="1591" totalsRowDxfId="1590"/>
    <tableColumn id="25" xr3:uid="{7A0F814A-8EEB-43EE-9F1D-443BAE0B4355}" name="Punjabi Total" totalsRowFunction="sum" dataDxfId="1589" totalsRowDxfId="1588"/>
    <tableColumn id="20" xr3:uid="{77FDF20E-565D-4280-BB24-0B65C3AB90B9}" name="Russian Total" totalsRowFunction="sum" dataDxfId="1587" totalsRowDxfId="1586"/>
    <tableColumn id="14" xr3:uid="{00000000-0010-0000-1700-00000E000000}" name="Spanish Total" totalsRowFunction="sum" dataDxfId="1585" totalsRowDxfId="1584"/>
    <tableColumn id="15" xr3:uid="{00000000-0010-0000-1700-00000F000000}" name="Tagalog (Filipino) Total" totalsRowFunction="sum" dataDxfId="1583" totalsRowDxfId="1582"/>
    <tableColumn id="26" xr3:uid="{A4580293-10C8-4D68-9912-FA5E9FBF48C1}" name="Urdu Total" totalsRowFunction="sum" dataDxfId="1581" totalsRowDxfId="1580"/>
    <tableColumn id="16" xr3:uid="{00000000-0010-0000-1700-000010000000}" name="Vietnamese Total" totalsRowFunction="sum" dataDxfId="1579" totalsRowDxfId="1578"/>
    <tableColumn id="17" xr3:uid="{00000000-0010-0000-1700-000011000000}" name="Other Total" totalsRowFunction="sum" dataDxfId="1577" totalsRowDxfId="1576"/>
    <tableColumn id="21" xr3:uid="{56501934-9474-492A-A18F-FC2B4433DAAF}" name="Total Seals per LEA" totalsRowFunction="sum" dataDxfId="1575" totalsRowDxfId="157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onterey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Napa" displayName="Napa" ref="A2:Z6" totalsRowCount="1" headerRowDxfId="1573" dataDxfId="1572">
  <autoFilter ref="A2:Z5" xr:uid="{00000000-0009-0000-0100-00001A000000}"/>
  <tableColumns count="26">
    <tableColumn id="1" xr3:uid="{00000000-0010-0000-1800-000001000000}" name="Participating Districts" totalsRowLabel="Total: 3" dataDxfId="1571" totalsRowDxfId="1570"/>
    <tableColumn id="2" xr3:uid="{00000000-0010-0000-1800-000002000000}" name="Participating Schools" totalsRowLabel="6" dataDxfId="1569" totalsRowDxfId="1568"/>
    <tableColumn id="3" xr3:uid="{00000000-0010-0000-1800-000003000000}" name="American Sign Language Total" totalsRowFunction="sum" dataDxfId="1567"/>
    <tableColumn id="4" xr3:uid="{00000000-0010-0000-1800-000004000000}" name="Arabic Total" totalsRowFunction="sum" dataDxfId="1566"/>
    <tableColumn id="5" xr3:uid="{00000000-0010-0000-1800-000005000000}" name="Armenian Total" totalsRowFunction="sum" dataDxfId="1565"/>
    <tableColumn id="22" xr3:uid="{5ED1C7DB-2388-48CD-9F97-E13F531E8921}" name="Bengali Total" totalsRowFunction="sum" dataDxfId="1564"/>
    <tableColumn id="18" xr3:uid="{A6DDAD92-8AAC-4E52-9E41-73C8160BBCF6}" name="Chinese (Mandarin or Cantonese) Total" totalsRowFunction="sum" dataDxfId="1563"/>
    <tableColumn id="23" xr3:uid="{D55B2EAD-93CE-4A49-A278-368DBA97BE61}" name="Farsi (Persian) Total" totalsRowFunction="sum" dataDxfId="1562"/>
    <tableColumn id="6" xr3:uid="{00000000-0010-0000-1800-000006000000}" name="French Total" totalsRowFunction="sum" dataDxfId="1561"/>
    <tableColumn id="7" xr3:uid="{00000000-0010-0000-1800-000007000000}" name="German Total" totalsRowFunction="sum" dataDxfId="1560"/>
    <tableColumn id="19" xr3:uid="{22F80B64-13AA-4860-B285-A0ADD625FAE4}" name="Hebrew Total" totalsRowFunction="sum" dataDxfId="1559"/>
    <tableColumn id="24" xr3:uid="{CF20CECE-45BF-4EEF-BA78-ECA136860FB6}" name="Hindi Total" totalsRowFunction="sum" dataDxfId="1558"/>
    <tableColumn id="8" xr3:uid="{00000000-0010-0000-1800-000008000000}" name="Hmong Total" totalsRowFunction="sum" dataDxfId="1557"/>
    <tableColumn id="9" xr3:uid="{00000000-0010-0000-1800-000009000000}" name="Italian Total" totalsRowFunction="sum" dataDxfId="1556"/>
    <tableColumn id="10" xr3:uid="{00000000-0010-0000-1800-00000A000000}" name="Japanese Total" totalsRowFunction="sum" dataDxfId="1555"/>
    <tableColumn id="11" xr3:uid="{00000000-0010-0000-1800-00000B000000}" name="Korean Total" totalsRowFunction="sum" dataDxfId="1554"/>
    <tableColumn id="12" xr3:uid="{00000000-0010-0000-1800-00000C000000}" name="Latin Total" totalsRowFunction="sum" dataDxfId="1553"/>
    <tableColumn id="13" xr3:uid="{00000000-0010-0000-1800-00000D000000}" name="Portuguese Total" totalsRowFunction="sum" dataDxfId="1552"/>
    <tableColumn id="25" xr3:uid="{5D237226-DB38-46D5-AF29-7D0EEA66CB8A}" name="Punjabi Total" totalsRowFunction="sum" dataDxfId="1551"/>
    <tableColumn id="20" xr3:uid="{9BDC90E8-20CC-426A-976A-A31D620F731E}" name="Russian Total" totalsRowFunction="sum" dataDxfId="1550"/>
    <tableColumn id="14" xr3:uid="{00000000-0010-0000-1800-00000E000000}" name="Spanish Total" totalsRowFunction="sum" dataDxfId="1549"/>
    <tableColumn id="15" xr3:uid="{00000000-0010-0000-1800-00000F000000}" name="Tagalog (Filipino) Total" totalsRowFunction="sum" dataDxfId="1548"/>
    <tableColumn id="26" xr3:uid="{934AC2C8-8744-4986-8C58-CCCBBA48C2A1}" name="Urdu Total" totalsRowFunction="sum" dataDxfId="1547"/>
    <tableColumn id="16" xr3:uid="{00000000-0010-0000-1800-000010000000}" name="Vietnamese Total" totalsRowFunction="sum" dataDxfId="1546"/>
    <tableColumn id="17" xr3:uid="{00000000-0010-0000-1800-000011000000}" name="Other Total" totalsRowFunction="sum" dataDxfId="1545"/>
    <tableColumn id="21" xr3:uid="{CE283493-489C-4B06-9BAF-56C2C9D28395}" name="Total Seals per LEA" totalsRowFunction="sum" dataDxfId="154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Nap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Nevada" displayName="Nevada" ref="A2:Z4" totalsRowCount="1" headerRowDxfId="1543" dataDxfId="1542">
  <autoFilter ref="A2:Z3" xr:uid="{00000000-0009-0000-0100-00001B000000}"/>
  <tableColumns count="26">
    <tableColumn id="1" xr3:uid="{00000000-0010-0000-1900-000001000000}" name="Participating District" totalsRowLabel="Total: 1" dataDxfId="1541" totalsRowDxfId="1540"/>
    <tableColumn id="2" xr3:uid="{00000000-0010-0000-1900-000002000000}" name="Participating Schools" totalsRowLabel="3" dataDxfId="1539" totalsRowDxfId="1538"/>
    <tableColumn id="3" xr3:uid="{00000000-0010-0000-1900-000003000000}" name="American Sign Language Total" totalsRowFunction="sum" dataDxfId="1537"/>
    <tableColumn id="4" xr3:uid="{00000000-0010-0000-1900-000004000000}" name="Arabic Total" totalsRowFunction="sum" dataDxfId="1536"/>
    <tableColumn id="5" xr3:uid="{00000000-0010-0000-1900-000005000000}" name="Armenian Total" totalsRowFunction="sum" dataDxfId="1535"/>
    <tableColumn id="22" xr3:uid="{CE49EE6D-5703-4523-9926-4165BCA32A1A}" name="Bengali Total" totalsRowFunction="sum" dataDxfId="1534"/>
    <tableColumn id="18" xr3:uid="{EA16FD63-4880-4238-B840-8BA21D50C061}" name="Chinese (Mandarin or Cantonese) Total" totalsRowFunction="sum" dataDxfId="1533"/>
    <tableColumn id="23" xr3:uid="{AF1C38C8-4B15-41D3-BFF7-EA61B5D019B9}" name="Farsi (Persian) Total" totalsRowFunction="sum" dataDxfId="1532"/>
    <tableColumn id="6" xr3:uid="{00000000-0010-0000-1900-000006000000}" name="French Total" totalsRowFunction="sum" dataDxfId="1531"/>
    <tableColumn id="7" xr3:uid="{00000000-0010-0000-1900-000007000000}" name="German Total" totalsRowFunction="sum" dataDxfId="1530"/>
    <tableColumn id="20" xr3:uid="{AADFDBAD-D391-4563-906A-83F71EAEB73C}" name="Hebrew Total" totalsRowFunction="sum" dataDxfId="1529"/>
    <tableColumn id="24" xr3:uid="{8F0F8A20-57F3-455D-BA0C-22709A2E6F5C}" name="Hindi Total" totalsRowFunction="sum" dataDxfId="1528"/>
    <tableColumn id="8" xr3:uid="{00000000-0010-0000-1900-000008000000}" name="Hmong Total" totalsRowFunction="sum" dataDxfId="1527"/>
    <tableColumn id="9" xr3:uid="{00000000-0010-0000-1900-000009000000}" name="Italian Total" totalsRowFunction="sum" dataDxfId="1526"/>
    <tableColumn id="10" xr3:uid="{00000000-0010-0000-1900-00000A000000}" name="Japanese Total" totalsRowFunction="sum" dataDxfId="1525"/>
    <tableColumn id="11" xr3:uid="{00000000-0010-0000-1900-00000B000000}" name="Korean Total" totalsRowFunction="sum" dataDxfId="1524"/>
    <tableColumn id="12" xr3:uid="{00000000-0010-0000-1900-00000C000000}" name="Latin Total" totalsRowFunction="sum" dataDxfId="1523"/>
    <tableColumn id="13" xr3:uid="{00000000-0010-0000-1900-00000D000000}" name="Portuguese Total" totalsRowFunction="sum" dataDxfId="1522"/>
    <tableColumn id="25" xr3:uid="{F3EF5A83-4677-42BF-A4BC-74DF3ABB7114}" name="Punjabi Total" totalsRowFunction="sum" dataDxfId="1521"/>
    <tableColumn id="19" xr3:uid="{CE9DBD0C-C634-4917-9BEF-E6DB9352BED2}" name="Russian Total" totalsRowFunction="sum" dataDxfId="1520"/>
    <tableColumn id="14" xr3:uid="{00000000-0010-0000-1900-00000E000000}" name="Spanish Total" totalsRowFunction="sum" dataDxfId="1519"/>
    <tableColumn id="15" xr3:uid="{00000000-0010-0000-1900-00000F000000}" name="Tagalog (Filipino) Total" totalsRowFunction="sum" dataDxfId="1518"/>
    <tableColumn id="26" xr3:uid="{4264387F-5A1D-4B58-86A5-D09608FFD305}" name="Urdu Total" totalsRowFunction="sum" dataDxfId="1517"/>
    <tableColumn id="16" xr3:uid="{00000000-0010-0000-1900-000010000000}" name="Vietnamese Total" totalsRowFunction="sum" dataDxfId="1516"/>
    <tableColumn id="17" xr3:uid="{00000000-0010-0000-1900-000011000000}" name="Other Total" totalsRowFunction="sum" dataDxfId="1515"/>
    <tableColumn id="21" xr3:uid="{3BD5490D-6333-4D26-926A-DCC50DBDD4F5}" name="Total Seals per LEA" totalsRowFunction="sum" dataDxfId="151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Nevada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Orange" displayName="Orange" ref="A2:Z26" totalsRowCount="1" headerRowDxfId="1513" dataDxfId="1512">
  <autoFilter ref="A2:Z25" xr:uid="{00000000-0009-0000-0100-00001C000000}"/>
  <tableColumns count="26">
    <tableColumn id="1" xr3:uid="{00000000-0010-0000-1A00-000001000000}" name="Participating Districts" totalsRowLabel="Total: 23" dataDxfId="1511" totalsRowDxfId="1510"/>
    <tableColumn id="2" xr3:uid="{00000000-0010-0000-1A00-000002000000}" name="Participating Schools" totalsRowLabel="91" dataDxfId="1509" totalsRowDxfId="1508"/>
    <tableColumn id="3" xr3:uid="{00000000-0010-0000-1A00-000003000000}" name="American Sign Language Total" totalsRowFunction="sum" dataDxfId="1507" totalsRowDxfId="1506"/>
    <tableColumn id="4" xr3:uid="{00000000-0010-0000-1A00-000004000000}" name="Arabic Total" totalsRowFunction="sum" dataDxfId="1505" totalsRowDxfId="1504"/>
    <tableColumn id="5" xr3:uid="{00000000-0010-0000-1A00-000005000000}" name="Armenian Total" totalsRowFunction="sum" dataDxfId="1503" totalsRowDxfId="1502"/>
    <tableColumn id="22" xr3:uid="{BEC5B8F8-0052-4540-8B1F-97F0070100C7}" name="Bengali Total" totalsRowFunction="sum" dataDxfId="1501" totalsRowDxfId="1500"/>
    <tableColumn id="18" xr3:uid="{8223933F-D118-438E-910B-279B6408CF7B}" name="Chinese (Mandarin or Cantonese) Total" totalsRowFunction="sum" dataDxfId="1499" totalsRowDxfId="1498"/>
    <tableColumn id="23" xr3:uid="{B3AF8C8D-6436-4FD1-9551-AD022BAA54B2}" name="Farsi (Persian) Total" totalsRowFunction="sum" dataDxfId="1497" totalsRowDxfId="1496"/>
    <tableColumn id="6" xr3:uid="{00000000-0010-0000-1A00-000006000000}" name="French Total" totalsRowFunction="sum" dataDxfId="1495" totalsRowDxfId="1494"/>
    <tableColumn id="7" xr3:uid="{00000000-0010-0000-1A00-000007000000}" name="German Total" totalsRowFunction="sum" dataDxfId="1493" totalsRowDxfId="1492"/>
    <tableColumn id="19" xr3:uid="{4D6FD13B-B658-4F71-A61A-1DB91BD88B21}" name="Hebrew Total" totalsRowFunction="sum" dataDxfId="1491" totalsRowDxfId="1490"/>
    <tableColumn id="24" xr3:uid="{28A278E2-4E02-4ECC-9C26-A547F610F6EA}" name="Hindi Total" totalsRowFunction="sum" dataDxfId="1489" totalsRowDxfId="1488"/>
    <tableColumn id="8" xr3:uid="{00000000-0010-0000-1A00-000008000000}" name="Hmong Total" totalsRowFunction="sum" dataDxfId="1487" totalsRowDxfId="1486"/>
    <tableColumn id="9" xr3:uid="{00000000-0010-0000-1A00-000009000000}" name="Italian Total" totalsRowFunction="sum" dataDxfId="1485" totalsRowDxfId="1484"/>
    <tableColumn id="10" xr3:uid="{00000000-0010-0000-1A00-00000A000000}" name="Japanese Total" totalsRowFunction="sum" dataDxfId="1483" totalsRowDxfId="1482"/>
    <tableColumn id="11" xr3:uid="{00000000-0010-0000-1A00-00000B000000}" name="Korean Total" totalsRowFunction="sum" dataDxfId="1481" totalsRowDxfId="1480"/>
    <tableColumn id="12" xr3:uid="{00000000-0010-0000-1A00-00000C000000}" name="Latin Total" totalsRowFunction="sum" dataDxfId="1479" totalsRowDxfId="1478"/>
    <tableColumn id="13" xr3:uid="{00000000-0010-0000-1A00-00000D000000}" name="Portuguese Total" totalsRowFunction="sum" dataDxfId="1477" totalsRowDxfId="1476"/>
    <tableColumn id="25" xr3:uid="{B8AFE11C-E726-4232-B6B1-688BB21ADE88}" name="Punjabi Total" totalsRowFunction="sum" dataDxfId="1475" totalsRowDxfId="1474"/>
    <tableColumn id="20" xr3:uid="{E22B6DF9-A50D-4738-946C-611C4C7AB73C}" name="Russian Total" totalsRowFunction="sum" dataDxfId="1473" totalsRowDxfId="1472"/>
    <tableColumn id="14" xr3:uid="{00000000-0010-0000-1A00-00000E000000}" name="Spanish Total" totalsRowFunction="sum" dataDxfId="1471" totalsRowDxfId="1470"/>
    <tableColumn id="15" xr3:uid="{00000000-0010-0000-1A00-00000F000000}" name="Tagalog (Filipino) Total" totalsRowFunction="sum" dataDxfId="1469" totalsRowDxfId="1468"/>
    <tableColumn id="26" xr3:uid="{C4719311-8D6C-49F9-B6A6-CF5077CBDCCD}" name="Urdu Total" totalsRowFunction="sum" dataDxfId="1467" totalsRowDxfId="1466"/>
    <tableColumn id="16" xr3:uid="{00000000-0010-0000-1A00-000010000000}" name="Vietnamese Total" totalsRowFunction="sum" dataDxfId="1465" totalsRowDxfId="1464"/>
    <tableColumn id="17" xr3:uid="{00000000-0010-0000-1A00-000011000000}" name="Other Total" totalsRowFunction="sum" dataDxfId="1463" totalsRowDxfId="1462"/>
    <tableColumn id="21" xr3:uid="{3248FBB5-5A9A-4D33-9291-32757DD2C77C}" name="Total Seals per LEA" totalsRowFunction="sum" dataDxfId="1461" totalsRowDxfId="146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Orange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Amador" displayName="Amador" ref="A2:Z4" totalsRowCount="1" headerRowDxfId="2395" dataDxfId="2394">
  <autoFilter ref="A2:Z3" xr:uid="{00000000-0009-0000-0100-000004000000}"/>
  <tableColumns count="26">
    <tableColumn id="1" xr3:uid="{00000000-0010-0000-0200-000001000000}" name="Participating District" totalsRowLabel="Total: 1" dataDxfId="2393" totalsRowDxfId="2392"/>
    <tableColumn id="2" xr3:uid="{00000000-0010-0000-0200-000002000000}" name="Participating Schools" totalsRowLabel="2" dataDxfId="2391" totalsRowDxfId="2390"/>
    <tableColumn id="3" xr3:uid="{00000000-0010-0000-0200-000003000000}" name="American Sign Language Total" totalsRowFunction="sum" dataDxfId="2389"/>
    <tableColumn id="4" xr3:uid="{00000000-0010-0000-0200-000004000000}" name="Arabic Total" totalsRowFunction="sum" dataDxfId="2388"/>
    <tableColumn id="5" xr3:uid="{00000000-0010-0000-0200-000005000000}" name="Armenian Total" totalsRowFunction="sum" dataDxfId="2387"/>
    <tableColumn id="23" xr3:uid="{DDC9312D-F2EF-4B77-A689-760C0CD9B9E5}" name="Bengali Total" totalsRowFunction="sum" dataDxfId="2386"/>
    <tableColumn id="18" xr3:uid="{2D76C348-7197-445E-9D71-FB981DACEBCB}" name="Chinese (Mandarin or Cantonese) Total" totalsRowFunction="sum" dataDxfId="2385"/>
    <tableColumn id="24" xr3:uid="{246295AD-46F5-4251-88A8-D2372F0B916B}" name="Farsi (Persian) Total" totalsRowFunction="sum" dataDxfId="2384"/>
    <tableColumn id="6" xr3:uid="{00000000-0010-0000-0200-000006000000}" name="French Total" totalsRowFunction="sum" dataDxfId="2383"/>
    <tableColumn id="7" xr3:uid="{00000000-0010-0000-0200-000007000000}" name="German Total" totalsRowFunction="sum" dataDxfId="2382"/>
    <tableColumn id="19" xr3:uid="{5660AF4B-FA2E-4C0D-9DA5-14682BF276C7}" name="Hebrew Total" totalsRowFunction="sum" dataDxfId="2381"/>
    <tableColumn id="28" xr3:uid="{68CD6444-24B2-4B3D-A8DC-680AE8254D97}" name="Hindi Total" totalsRowFunction="sum" dataDxfId="2380"/>
    <tableColumn id="8" xr3:uid="{00000000-0010-0000-0200-000008000000}" name="Hmong Total" totalsRowFunction="sum" dataDxfId="2379"/>
    <tableColumn id="9" xr3:uid="{00000000-0010-0000-0200-000009000000}" name="Italian Total" totalsRowFunction="sum" dataDxfId="2378"/>
    <tableColumn id="10" xr3:uid="{00000000-0010-0000-0200-00000A000000}" name="Japanese Total" totalsRowFunction="sum" dataDxfId="2377"/>
    <tableColumn id="11" xr3:uid="{00000000-0010-0000-0200-00000B000000}" name="Korean Total" totalsRowFunction="sum" dataDxfId="2376"/>
    <tableColumn id="12" xr3:uid="{00000000-0010-0000-0200-00000C000000}" name="Latin Total" totalsRowFunction="sum" dataDxfId="2375"/>
    <tableColumn id="13" xr3:uid="{00000000-0010-0000-0200-00000D000000}" name="Portuguese Total" totalsRowFunction="sum" dataDxfId="2374"/>
    <tableColumn id="26" xr3:uid="{1578CE5D-B05D-4D7B-B440-AB1927B12F51}" name="Punjabi Total" totalsRowFunction="sum" dataDxfId="2373"/>
    <tableColumn id="20" xr3:uid="{598C6059-684F-4560-A974-57BC45F309B5}" name="Russian Total" totalsRowFunction="sum" dataDxfId="2372"/>
    <tableColumn id="14" xr3:uid="{00000000-0010-0000-0200-00000E000000}" name="Spanish Total" totalsRowFunction="sum" dataDxfId="2371"/>
    <tableColumn id="15" xr3:uid="{00000000-0010-0000-0200-00000F000000}" name="Tagalog (Filipino) Total" totalsRowFunction="sum" dataDxfId="2370"/>
    <tableColumn id="27" xr3:uid="{770431CC-3729-4913-A02E-B851717741DF}" name="Urdu Total" totalsRowFunction="sum" dataDxfId="2369"/>
    <tableColumn id="16" xr3:uid="{00000000-0010-0000-0200-000010000000}" name="Vietnamese Total" totalsRowFunction="sum" dataDxfId="2368"/>
    <tableColumn id="17" xr3:uid="{00000000-0010-0000-0200-000011000000}" name="Other Total" totalsRowFunction="sum" dataDxfId="2367"/>
    <tableColumn id="21" xr3:uid="{44C6BE28-8183-43BD-AB9B-59F05515F435}" name="Total Seals per LEA" totalsRowFunction="sum" dataDxfId="2366">
      <calculatedColumnFormula>SUM(Amador[[American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C15DA03-15A6-43F2-940D-D2C0F7CBE174}" name="Placer1" displayName="Placer1" ref="A2:Z9" totalsRowCount="1" headerRowDxfId="1459" dataDxfId="1458">
  <autoFilter ref="A2:Z8" xr:uid="{00000000-0009-0000-0100-00001C000000}"/>
  <tableColumns count="26">
    <tableColumn id="1" xr3:uid="{130A82A4-E22D-46AB-B9D5-00463A7076B7}" name="Participating Districts" totalsRowLabel="Total: 6" dataDxfId="1457" totalsRowDxfId="1456"/>
    <tableColumn id="2" xr3:uid="{14F62238-F55A-44C8-A289-4700A2DF6260}" name="Participating Schools" totalsRowLabel="20" dataDxfId="1455" totalsRowDxfId="1454"/>
    <tableColumn id="3" xr3:uid="{F9EE372B-32FE-4D62-A20B-A57E1AB20DFB}" name="American Sign Language Total" totalsRowFunction="sum" dataDxfId="1453" totalsRowDxfId="1452"/>
    <tableColumn id="4" xr3:uid="{E55C1051-9939-43B8-8A90-E3367AF47F6A}" name="Arabic Total" totalsRowFunction="sum" dataDxfId="1451" totalsRowDxfId="1450"/>
    <tableColumn id="5" xr3:uid="{B73E0633-8665-411D-8C85-B77A7F1E3AF3}" name="Armenian Total" totalsRowFunction="sum" dataDxfId="1449" totalsRowDxfId="1448"/>
    <tableColumn id="22" xr3:uid="{E9E8245A-6316-40DF-9A94-DF70221E4F5C}" name="Bengali Total" totalsRowFunction="sum" dataDxfId="1447" totalsRowDxfId="1446"/>
    <tableColumn id="18" xr3:uid="{9A0E5397-74E5-4FC3-B24E-A1B1C3C2D5D3}" name="Chinese (Mandarin or Cantonese) Total" totalsRowFunction="sum" dataDxfId="1445" totalsRowDxfId="1444"/>
    <tableColumn id="23" xr3:uid="{0E84B8BE-4669-4E93-A56C-FE17A100F687}" name="Farsi (Persian) Total" totalsRowFunction="sum" dataDxfId="1443" totalsRowDxfId="1442"/>
    <tableColumn id="6" xr3:uid="{4DC24FC3-EF51-431B-8162-6B293E8BE112}" name="French Total" totalsRowFunction="sum" dataDxfId="1441" totalsRowDxfId="1440"/>
    <tableColumn id="7" xr3:uid="{F6094A35-0792-4CB7-9846-2A6FEC924943}" name="German Total" totalsRowFunction="sum" dataDxfId="1439" totalsRowDxfId="1438"/>
    <tableColumn id="19" xr3:uid="{7645C1D1-DAFC-488D-8E86-2CC5433F13DE}" name="Hebrew Total" totalsRowFunction="sum" dataDxfId="1437" totalsRowDxfId="1436"/>
    <tableColumn id="24" xr3:uid="{77BE082D-2032-4A3F-91CF-18C5907B8C71}" name="Hindi Total" totalsRowFunction="sum" dataDxfId="1435" totalsRowDxfId="1434"/>
    <tableColumn id="8" xr3:uid="{BC0C61DC-98D1-4C65-8BCE-8A60B820991B}" name="Hmong Total" totalsRowFunction="sum" dataDxfId="1433" totalsRowDxfId="1432"/>
    <tableColumn id="9" xr3:uid="{09DBFB70-894B-4F26-8E10-BEBA10119B64}" name="Italian Total" totalsRowFunction="sum" dataDxfId="1431" totalsRowDxfId="1430"/>
    <tableColumn id="10" xr3:uid="{92C3B74E-DA0C-4652-8583-133C21AF300F}" name="Japanese Total" totalsRowFunction="sum" dataDxfId="1429" totalsRowDxfId="1428"/>
    <tableColumn id="11" xr3:uid="{62FECD99-93E9-469C-AAAF-AC914E3678DF}" name="Korean Total" totalsRowFunction="sum" dataDxfId="1427" totalsRowDxfId="1426"/>
    <tableColumn id="12" xr3:uid="{8CF38FA7-6DD3-474B-AA42-B163DB785F19}" name="Latin Total" totalsRowFunction="sum" dataDxfId="1425" totalsRowDxfId="1424"/>
    <tableColumn id="13" xr3:uid="{7670490B-D8E0-44A6-9CD7-E513AA8EBAC2}" name="Portuguese Total" totalsRowFunction="sum" dataDxfId="1423" totalsRowDxfId="1422"/>
    <tableColumn id="25" xr3:uid="{56C902CC-5CFE-49CD-A64E-D22277CF7398}" name="Punjabi Total" totalsRowFunction="sum" dataDxfId="1421" totalsRowDxfId="1420"/>
    <tableColumn id="20" xr3:uid="{22ABFCAF-E327-4E26-9394-0DBDE9190D03}" name="Russian Total" totalsRowFunction="sum" dataDxfId="1419" totalsRowDxfId="1418"/>
    <tableColumn id="14" xr3:uid="{0B790BD1-FB60-4DCB-96E7-90FF3C03393E}" name="Spanish Total" totalsRowFunction="sum" dataDxfId="1417" totalsRowDxfId="1416"/>
    <tableColumn id="15" xr3:uid="{7B8F950F-D60A-443E-B41C-8CC4FEB556CB}" name="Tagalog (Filipino) Total" totalsRowFunction="sum" dataDxfId="1415" totalsRowDxfId="1414"/>
    <tableColumn id="26" xr3:uid="{B699C112-8366-4904-9A85-DC07DC12C000}" name="Urdu Total" totalsRowFunction="sum" dataDxfId="1413" totalsRowDxfId="1412"/>
    <tableColumn id="16" xr3:uid="{BCDBBD19-9542-4B04-8049-5122DB27A44B}" name="Vietnamese Total" totalsRowFunction="sum" dataDxfId="1411" totalsRowDxfId="1410"/>
    <tableColumn id="17" xr3:uid="{54B36D79-5A57-4C8A-A16C-337178FD5767}" name="Other Total" totalsRowFunction="sum" dataDxfId="1409" totalsRowDxfId="1408"/>
    <tableColumn id="21" xr3:uid="{440F6FE3-2FB0-4001-B53D-A97695B51A93}" name="Total Seals per LEA" totalsRowFunction="sum" dataDxfId="1407" totalsRowDxfId="1406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acer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Plumas" displayName="Plumas" ref="A2:Z4" totalsRowCount="1" headerRowDxfId="1405" dataDxfId="1404">
  <autoFilter ref="A2:Z3" xr:uid="{00000000-0009-0000-0100-00001E000000}"/>
  <tableColumns count="26">
    <tableColumn id="1" xr3:uid="{00000000-0010-0000-1C00-000001000000}" name="Participating District" totalsRowLabel="Total: 1" dataDxfId="1403" totalsRowDxfId="1402"/>
    <tableColumn id="2" xr3:uid="{00000000-0010-0000-1C00-000002000000}" name="Participating School" totalsRowLabel="4" dataDxfId="1401" totalsRowDxfId="1400"/>
    <tableColumn id="3" xr3:uid="{00000000-0010-0000-1C00-000003000000}" name="American Sign Language Total" totalsRowFunction="sum" dataDxfId="1399"/>
    <tableColumn id="4" xr3:uid="{00000000-0010-0000-1C00-000004000000}" name="Arabic Total" totalsRowFunction="sum" dataDxfId="1398"/>
    <tableColumn id="5" xr3:uid="{00000000-0010-0000-1C00-000005000000}" name="Armenian Total" totalsRowFunction="sum" dataDxfId="1397"/>
    <tableColumn id="22" xr3:uid="{3140E568-A810-43AC-A678-064AF2F102D8}" name="Bengali Total" totalsRowFunction="sum" dataDxfId="1396"/>
    <tableColumn id="18" xr3:uid="{60CB2C03-86F0-4868-9473-9B7ECD02D4AE}" name="Chinese (Mandarin or Cantonese) Total" totalsRowFunction="sum" dataDxfId="1395"/>
    <tableColumn id="23" xr3:uid="{DE37C41B-3463-4F16-8738-4F9A7CF0A6AC}" name="Farsi (Persian) Total" totalsRowFunction="sum" dataDxfId="1394"/>
    <tableColumn id="6" xr3:uid="{00000000-0010-0000-1C00-000006000000}" name="French Total" totalsRowFunction="sum" dataDxfId="1393"/>
    <tableColumn id="7" xr3:uid="{00000000-0010-0000-1C00-000007000000}" name="German Total" totalsRowFunction="sum" dataDxfId="1392"/>
    <tableColumn id="19" xr3:uid="{21999D75-7F0C-4621-BD00-7FFE70075580}" name="Hebrew Total" totalsRowFunction="sum" dataDxfId="1391"/>
    <tableColumn id="24" xr3:uid="{241BD2BD-76FB-498E-AF82-8CB552F0697F}" name="Hindi Total" totalsRowFunction="sum" dataDxfId="1390"/>
    <tableColumn id="8" xr3:uid="{00000000-0010-0000-1C00-000008000000}" name="Hmong Total" totalsRowFunction="sum" dataDxfId="1389"/>
    <tableColumn id="9" xr3:uid="{00000000-0010-0000-1C00-000009000000}" name="Italian Total" totalsRowFunction="sum" dataDxfId="1388"/>
    <tableColumn id="10" xr3:uid="{00000000-0010-0000-1C00-00000A000000}" name="Japanese Total" totalsRowFunction="sum" dataDxfId="1387"/>
    <tableColumn id="11" xr3:uid="{00000000-0010-0000-1C00-00000B000000}" name="Korean Total" totalsRowFunction="sum" dataDxfId="1386"/>
    <tableColumn id="12" xr3:uid="{00000000-0010-0000-1C00-00000C000000}" name="Latin Total" totalsRowFunction="sum" dataDxfId="1385"/>
    <tableColumn id="13" xr3:uid="{00000000-0010-0000-1C00-00000D000000}" name="Portuguese Total" totalsRowFunction="sum" dataDxfId="1384"/>
    <tableColumn id="25" xr3:uid="{F8C742FC-1F9D-4E91-A7E9-781FDF2AD694}" name="Punjabi Total" totalsRowFunction="sum" dataDxfId="1383"/>
    <tableColumn id="20" xr3:uid="{82C81306-F6D8-40C1-8EB1-8F0156C48D85}" name="Russian Total" totalsRowFunction="sum" dataDxfId="1382"/>
    <tableColumn id="14" xr3:uid="{00000000-0010-0000-1C00-00000E000000}" name="Spanish Total" totalsRowFunction="sum" dataDxfId="1381"/>
    <tableColumn id="15" xr3:uid="{00000000-0010-0000-1C00-00000F000000}" name="Tagalog (Filipino) Total" totalsRowFunction="sum" dataDxfId="1380"/>
    <tableColumn id="26" xr3:uid="{7FF95829-B553-4ABA-A958-0A248C459B89}" name="Urdu Total" totalsRowFunction="sum" dataDxfId="1379"/>
    <tableColumn id="16" xr3:uid="{00000000-0010-0000-1C00-000010000000}" name="Vietnamese Total" totalsRowFunction="sum" dataDxfId="1378"/>
    <tableColumn id="17" xr3:uid="{00000000-0010-0000-1C00-000011000000}" name="Other Total" totalsRowFunction="sum" dataDxfId="1377"/>
    <tableColumn id="21" xr3:uid="{CF6B799E-228D-4D84-93F1-9FF9BF3C4E47}" name="Total Seals per LEA" totalsRowFunction="sum" dataDxfId="1376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umas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96B7B67-19B0-48DC-BEA3-26339CF84C45}" name="Riverside" displayName="Riverside" ref="A2:Z25" totalsRowCount="1" headerRowDxfId="1375" dataDxfId="1374">
  <autoFilter ref="A2:Z24" xr:uid="{00000000-0009-0000-0100-00001C000000}"/>
  <tableColumns count="26">
    <tableColumn id="1" xr3:uid="{9340B01F-1A05-4E5D-BB2A-EC4B6893D9E2}" name="Participating Districts" totalsRowLabel="Total: 21" dataDxfId="51" totalsRowDxfId="25"/>
    <tableColumn id="2" xr3:uid="{441E0BBE-F327-4251-8696-B926BE90B295}" name="Participating Schools" totalsRowLabel="68" dataDxfId="50" totalsRowDxfId="24"/>
    <tableColumn id="3" xr3:uid="{46814A71-10E0-4E2F-A2AF-A34AB67FFBA3}" name="American Sign Language Total" totalsRowFunction="sum" dataDxfId="49" totalsRowDxfId="23"/>
    <tableColumn id="4" xr3:uid="{C9996DB7-08C0-4107-AE75-B6E20064D5A1}" name="Arabic Total" totalsRowFunction="sum" dataDxfId="48" totalsRowDxfId="22"/>
    <tableColumn id="5" xr3:uid="{90DA33C4-141D-4B99-91EF-11A25A48E409}" name="Armenian Total" totalsRowFunction="sum" dataDxfId="47" totalsRowDxfId="21"/>
    <tableColumn id="22" xr3:uid="{18154CC8-3CBF-4191-AA48-E85B381D83AB}" name="Bengali Total" totalsRowFunction="sum" dataDxfId="46" totalsRowDxfId="20"/>
    <tableColumn id="18" xr3:uid="{90C9E0BF-535C-4084-B04D-B12980533972}" name="Chinese (Mandarin or Cantonese) Total" totalsRowFunction="sum" dataDxfId="45" totalsRowDxfId="19"/>
    <tableColumn id="23" xr3:uid="{1D279E02-F60A-4F44-B69A-1515D46585AE}" name="Farsi (Persian) Total" totalsRowFunction="sum" dataDxfId="44" totalsRowDxfId="18"/>
    <tableColumn id="6" xr3:uid="{D1E08C2F-2641-45AD-BD57-E678C3230743}" name="French Total" totalsRowFunction="sum" dataDxfId="43" totalsRowDxfId="17"/>
    <tableColumn id="7" xr3:uid="{33F4AE9C-8556-415C-8882-5F3D7EC36C37}" name="German Total" totalsRowFunction="sum" dataDxfId="42" totalsRowDxfId="16"/>
    <tableColumn id="19" xr3:uid="{EF190E85-527F-42E2-9BD9-ACDD288CCDED}" name="Hebrew Total" totalsRowFunction="sum" dataDxfId="41" totalsRowDxfId="15"/>
    <tableColumn id="24" xr3:uid="{3C1C0E98-F23B-4F75-8777-FCD3A78AA430}" name="Hindi Total" totalsRowFunction="sum" dataDxfId="40" totalsRowDxfId="14"/>
    <tableColumn id="8" xr3:uid="{033E7B13-325D-4709-9B68-946599D9C54B}" name="Hmong Total" totalsRowFunction="sum" dataDxfId="39" totalsRowDxfId="13"/>
    <tableColumn id="9" xr3:uid="{D3B3E8FF-7246-41EE-B915-B8E87C426C49}" name="Italian Total" totalsRowFunction="sum" dataDxfId="38" totalsRowDxfId="12"/>
    <tableColumn id="10" xr3:uid="{082C9316-6C99-4A33-8CA7-3F235E15C4C6}" name="Japanese Total" totalsRowFunction="sum" dataDxfId="37" totalsRowDxfId="11"/>
    <tableColumn id="11" xr3:uid="{143CF8B1-CC92-4F5D-BBF6-548FA7A788E3}" name="Korean Total" totalsRowFunction="sum" dataDxfId="36" totalsRowDxfId="10"/>
    <tableColumn id="12" xr3:uid="{90A790B1-8307-4C96-BB9C-8451FE27F27F}" name="Latin Total" totalsRowFunction="sum" dataDxfId="35" totalsRowDxfId="9"/>
    <tableColumn id="13" xr3:uid="{44E367E7-1CE0-43CC-8F53-95C99EB95C60}" name="Portuguese Total" totalsRowFunction="sum" dataDxfId="34" totalsRowDxfId="8"/>
    <tableColumn id="25" xr3:uid="{DC914B4B-13B8-4402-8A6A-7FA57A35B9E9}" name="Punjabi Total" totalsRowFunction="sum" dataDxfId="33" totalsRowDxfId="7"/>
    <tableColumn id="20" xr3:uid="{3B553FA9-6CE6-4ACA-962E-8525D209CF9E}" name="Russian Total" totalsRowFunction="sum" dataDxfId="32" totalsRowDxfId="6"/>
    <tableColumn id="14" xr3:uid="{182CD7ED-C642-4B55-BE98-3F7F0EA82362}" name="Spanish Total" totalsRowFunction="sum" dataDxfId="31" totalsRowDxfId="5"/>
    <tableColumn id="15" xr3:uid="{A5580846-75C6-4133-8959-CC0CEAFA3388}" name="Tagalog (Filipino) Total" totalsRowFunction="sum" dataDxfId="30" totalsRowDxfId="4"/>
    <tableColumn id="26" xr3:uid="{639573B1-57F3-44A9-A46A-0C95755BB90C}" name="Urdu Total" totalsRowFunction="sum" dataDxfId="29" totalsRowDxfId="3"/>
    <tableColumn id="16" xr3:uid="{11F31E84-C285-439D-9FC2-44C6AFCE8580}" name="Vietnamese Total" totalsRowFunction="sum" dataDxfId="28" totalsRowDxfId="2"/>
    <tableColumn id="17" xr3:uid="{ACAEF0ED-CE01-43A3-8382-E203D2685A84}" name="Other Total" totalsRowFunction="sum" dataDxfId="27" totalsRowDxfId="1"/>
    <tableColumn id="21" xr3:uid="{1D604675-79C8-49AF-B60B-C33AFD9104DF}" name="Total Seals per LEA" totalsRowFunction="sum" dataDxfId="26" totalsRowDxfId="0">
      <calculatedColumnFormula>SUM(Riverside[[#This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Riverside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AED1D1E-BFF8-48CA-BB13-464EA4C98191}" name="Sacramento" displayName="Sacramento" ref="A2:Z15" totalsRowCount="1" headerRowDxfId="1373" dataDxfId="1372">
  <autoFilter ref="A2:Z14" xr:uid="{00000000-0009-0000-0100-00001C000000}"/>
  <tableColumns count="26">
    <tableColumn id="1" xr3:uid="{AC47114C-30B5-4E0E-A33B-1320B0FE1953}" name="Participating Districts" totalsRowLabel="Total: 12" dataDxfId="1371" totalsRowDxfId="1370"/>
    <tableColumn id="2" xr3:uid="{097EE7F6-F724-447B-8A74-EE9043FBA1A5}" name="Participating Schools" totalsRowLabel="52" dataDxfId="1369" totalsRowDxfId="1368"/>
    <tableColumn id="3" xr3:uid="{F802752F-E592-4AD9-9E34-727D7B790393}" name="American Sign Language Total" totalsRowFunction="sum" dataDxfId="1367" totalsRowDxfId="1366"/>
    <tableColumn id="4" xr3:uid="{A87EC60C-7E8D-47D8-9988-1A3E5A0A64B3}" name="Arabic Total" totalsRowFunction="sum" dataDxfId="1365" totalsRowDxfId="1364"/>
    <tableColumn id="5" xr3:uid="{2F4B4761-C9DB-4ED3-8DA6-D9CE1559611A}" name="Armenian Total" totalsRowFunction="sum" dataDxfId="1363" totalsRowDxfId="1362"/>
    <tableColumn id="22" xr3:uid="{40681821-56DD-48A4-B0C4-056A26916499}" name="Bengali Total" totalsRowFunction="sum" dataDxfId="1361" totalsRowDxfId="1360"/>
    <tableColumn id="18" xr3:uid="{A284FB60-BBA9-49EF-AE0B-23497AB00F32}" name="Chinese (Mandarin or Cantonese) Total" totalsRowFunction="sum" dataDxfId="1359" totalsRowDxfId="1358"/>
    <tableColumn id="23" xr3:uid="{3D2B7CD5-38F1-4F53-B171-3329E5AF7DAC}" name="Farsi (Persian) Total" totalsRowFunction="sum" dataDxfId="1357" totalsRowDxfId="1356"/>
    <tableColumn id="6" xr3:uid="{D421053F-6BD7-49AF-80FE-2AE5672D94B7}" name="French Total" totalsRowFunction="sum" dataDxfId="1355" totalsRowDxfId="1354"/>
    <tableColumn id="7" xr3:uid="{85BF34AD-BB27-430D-9958-CB217E5F2FEB}" name="German Total" totalsRowFunction="sum" dataDxfId="1353" totalsRowDxfId="1352"/>
    <tableColumn id="19" xr3:uid="{847ED280-B5B3-407A-A1FE-8411160818FD}" name="Hebrew Total" totalsRowFunction="sum" dataDxfId="1351" totalsRowDxfId="1350"/>
    <tableColumn id="24" xr3:uid="{E8D447F7-E6B7-4063-A962-7BC5FD06357F}" name="Hindi Total" totalsRowFunction="sum" dataDxfId="1349" totalsRowDxfId="1348"/>
    <tableColumn id="8" xr3:uid="{8B41B5F7-1B16-4C3B-BB36-8842F07E34FC}" name="Hmong Total" totalsRowFunction="sum" dataDxfId="1347" totalsRowDxfId="1346"/>
    <tableColumn id="9" xr3:uid="{CE396192-96B5-442A-A0D4-87814E0661E5}" name="Italian Total" totalsRowFunction="sum" dataDxfId="1345" totalsRowDxfId="1344"/>
    <tableColumn id="10" xr3:uid="{28284205-C4B0-407D-8622-6D84A91E6970}" name="Japanese Total" totalsRowFunction="sum" dataDxfId="1343" totalsRowDxfId="1342"/>
    <tableColumn id="11" xr3:uid="{F49DE8E9-7255-4503-B6AC-524137A086EB}" name="Korean Total" totalsRowFunction="sum" dataDxfId="1341" totalsRowDxfId="1340"/>
    <tableColumn id="12" xr3:uid="{CFDB662D-D3C9-4B9B-A592-4BC03B3C890F}" name="Latin Total" totalsRowFunction="sum" dataDxfId="1339" totalsRowDxfId="1338"/>
    <tableColumn id="13" xr3:uid="{C2CB4E37-A603-47E5-AB63-114649CAC4DA}" name="Portuguese Total" totalsRowFunction="sum" dataDxfId="1337" totalsRowDxfId="1336"/>
    <tableColumn id="25" xr3:uid="{8DE100AF-574B-4795-BC32-C236BF999E2C}" name="Punjabi Total" totalsRowFunction="sum" dataDxfId="1335" totalsRowDxfId="1334"/>
    <tableColumn id="20" xr3:uid="{90C8DEC8-5273-4033-BD15-A2C660956664}" name="Russian Total" totalsRowFunction="sum" dataDxfId="1333" totalsRowDxfId="1332"/>
    <tableColumn id="14" xr3:uid="{AB9141C3-8398-434E-BECA-AEB9777CC7EA}" name="Spanish Total" totalsRowFunction="sum" dataDxfId="1331" totalsRowDxfId="1330"/>
    <tableColumn id="15" xr3:uid="{86B504A7-8D45-42EC-8AC1-7F27E9686278}" name="Tagalog (Filipino) Total" totalsRowFunction="sum" dataDxfId="1329" totalsRowDxfId="1328"/>
    <tableColumn id="26" xr3:uid="{85D347EB-6349-4B11-A68B-E7730DD7ABCC}" name="Urdu Total" totalsRowFunction="sum" dataDxfId="1327" totalsRowDxfId="1326"/>
    <tableColumn id="16" xr3:uid="{353ED0EF-2B69-400F-A6AE-8D3D69598735}" name="Vietnamese Total" totalsRowFunction="sum" dataDxfId="1325" totalsRowDxfId="1324"/>
    <tableColumn id="17" xr3:uid="{0F6D5104-B0F7-483F-8C77-748A4BEE135C}" name="Other Total" totalsRowFunction="sum" dataDxfId="1323" totalsRowDxfId="1322"/>
    <tableColumn id="21" xr3:uid="{44740C32-A304-4E20-89FA-557ED033C542}" name="Total Seals per LEA" totalsRowFunction="sum" dataDxfId="1321" totalsRowDxfId="132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cramen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DA09C2A-A8F6-44BC-A220-548B6759C511}" name="SanBenito" displayName="SanBenito" ref="A2:Z4" totalsRowCount="1" headerRowDxfId="1319" dataDxfId="1318">
  <autoFilter ref="A2:Z3" xr:uid="{00000000-0009-0000-0100-00001C000000}"/>
  <tableColumns count="26">
    <tableColumn id="1" xr3:uid="{F08159DB-8313-420C-8AF2-25EC77818301}" name="Participating Districts" totalsRowLabel="Total: 1" dataDxfId="1317" totalsRowDxfId="1316"/>
    <tableColumn id="2" xr3:uid="{57615E15-633C-4CFC-AB0F-4417A01F4521}" name="Participating Schools" totalsRowLabel="1" dataDxfId="1315" totalsRowDxfId="1314"/>
    <tableColumn id="3" xr3:uid="{EF348DAD-3134-4933-8E01-5FABF0EBB3EF}" name="American Sign Language Total" totalsRowFunction="sum" dataDxfId="1313" totalsRowDxfId="1312"/>
    <tableColumn id="4" xr3:uid="{9A3B8A20-84BF-4A9B-B987-59E9AA2C7959}" name="Arabic Total" totalsRowFunction="sum" dataDxfId="1311" totalsRowDxfId="1310"/>
    <tableColumn id="5" xr3:uid="{A5C94C84-6776-487F-B217-80F28B0DFB55}" name="Armenian Total" totalsRowFunction="sum" dataDxfId="1309" totalsRowDxfId="1308"/>
    <tableColumn id="22" xr3:uid="{2D20AAA9-7FAC-40C5-9629-CDE045131642}" name="Bengali Total" totalsRowFunction="sum" dataDxfId="1307" totalsRowDxfId="1306"/>
    <tableColumn id="18" xr3:uid="{3748BFA2-4150-46DC-A8F4-2CA3C6B58C0D}" name="Chinese (Mandarin or Cantonese) Total" totalsRowFunction="sum" dataDxfId="1305" totalsRowDxfId="1304"/>
    <tableColumn id="23" xr3:uid="{EA88F3A3-E705-4E36-8B00-1739CDE238E9}" name="Farsi (Persian) Total" totalsRowFunction="sum" dataDxfId="1303" totalsRowDxfId="1302"/>
    <tableColumn id="6" xr3:uid="{E030638A-553E-4C17-8A29-EB9D2372B9FE}" name="French Total" totalsRowFunction="sum" dataDxfId="1301" totalsRowDxfId="1300"/>
    <tableColumn id="7" xr3:uid="{D2AC7EF5-4FBC-41F5-B939-6ADC5B39A65F}" name="German Total" totalsRowFunction="sum" dataDxfId="1299" totalsRowDxfId="1298"/>
    <tableColumn id="19" xr3:uid="{F075D632-E36C-492F-81F6-D55494AB28E9}" name="Hebrew Total" totalsRowFunction="sum" dataDxfId="1297" totalsRowDxfId="1296"/>
    <tableColumn id="24" xr3:uid="{DA524A9F-B3FB-4742-8845-F1EF9A6520C7}" name="Hindi Total" totalsRowFunction="sum" dataDxfId="1295" totalsRowDxfId="1294"/>
    <tableColumn id="8" xr3:uid="{74E2320A-CA14-4568-8DCD-85D46B0F30A5}" name="Hmong Total" totalsRowFunction="sum" dataDxfId="1293" totalsRowDxfId="1292"/>
    <tableColumn id="9" xr3:uid="{A22ACF92-E17A-429F-8FCD-B042C1DD33A3}" name="Italian Total" totalsRowFunction="sum" dataDxfId="1291" totalsRowDxfId="1290"/>
    <tableColumn id="10" xr3:uid="{793EDAD4-E411-4B67-8188-AEF815D0A406}" name="Japanese Total" totalsRowFunction="sum" dataDxfId="1289" totalsRowDxfId="1288"/>
    <tableColumn id="11" xr3:uid="{57209486-7A09-47F9-854D-0E25854007FE}" name="Korean Total" totalsRowFunction="sum" dataDxfId="1287" totalsRowDxfId="1286"/>
    <tableColumn id="12" xr3:uid="{CC84911B-B211-4562-8A19-9DD47BE8E776}" name="Latin Total" totalsRowFunction="sum" dataDxfId="1285" totalsRowDxfId="1284"/>
    <tableColumn id="13" xr3:uid="{81300A5E-9727-4E32-AFBB-DE97C6C97CF4}" name="Portuguese Total" totalsRowFunction="sum" dataDxfId="1283" totalsRowDxfId="1282"/>
    <tableColumn id="25" xr3:uid="{E27F475F-F2FA-4A5E-AD34-F5636A8D2FA8}" name="Punjabi Total" totalsRowFunction="sum" dataDxfId="1281" totalsRowDxfId="1280"/>
    <tableColumn id="20" xr3:uid="{0A15BD28-D42E-43D6-B72A-C3983747FE1D}" name="Russian Total" totalsRowFunction="sum" dataDxfId="1279" totalsRowDxfId="1278"/>
    <tableColumn id="14" xr3:uid="{938AF6C1-4A16-4FEA-876A-81B1F2E81846}" name="Spanish Total" totalsRowFunction="sum" dataDxfId="1277" totalsRowDxfId="1276"/>
    <tableColumn id="15" xr3:uid="{C14A9490-C385-4DED-BF7F-EF2EC452BA3A}" name="Tagalog (Filipino) Total" totalsRowFunction="sum" dataDxfId="1275" totalsRowDxfId="1274"/>
    <tableColumn id="26" xr3:uid="{CE153833-D172-4401-997B-34ADA4F8E8FC}" name="Urdu Total" totalsRowFunction="sum" dataDxfId="1273" totalsRowDxfId="1272"/>
    <tableColumn id="16" xr3:uid="{35CC99AF-5185-48F2-A583-BA9CF5DB6FD3}" name="Vietnamese Total" totalsRowFunction="sum" dataDxfId="1271" totalsRowDxfId="1270"/>
    <tableColumn id="17" xr3:uid="{E13815C2-6DF1-4FA7-8E52-70022A02F48B}" name="Other Total" totalsRowFunction="sum" dataDxfId="1269" totalsRowDxfId="1268"/>
    <tableColumn id="21" xr3:uid="{5B4A6A76-DBEE-4E72-A8C1-1247D44E8904}" name="Total Seals per LEA" totalsRowFunction="sum" dataDxfId="1267" totalsRowDxfId="1266">
      <calculatedColumnFormula>SUM(SanBenito[[#This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nit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56C8D0A-4471-47F7-9346-9E97B7C5E073}" name="SanBernardino" displayName="SanBernardino" ref="A2:Z29" totalsRowCount="1" headerRowDxfId="1265" dataDxfId="1264">
  <autoFilter ref="A2:Z28" xr:uid="{00000000-0009-0000-0100-00001C000000}"/>
  <tableColumns count="26">
    <tableColumn id="1" xr3:uid="{EC0A1EFA-786C-4E19-93A9-08870DEE1B0C}" name="Participating Districts" totalsRowLabel="Total: 26" dataDxfId="1263" totalsRowDxfId="1262"/>
    <tableColumn id="2" xr3:uid="{271FEC12-90FC-4C21-85F6-1D2CA6D5B86F}" name="Participating Schools" totalsRowLabel="70" dataDxfId="1261" totalsRowDxfId="1260"/>
    <tableColumn id="3" xr3:uid="{E932DEB6-FD7C-45E6-B245-8CD590C46797}" name="American Sign Language Total" totalsRowFunction="sum" dataDxfId="1259" totalsRowDxfId="1258"/>
    <tableColumn id="4" xr3:uid="{275B9E7B-B9C8-4449-A290-00590A6C7D25}" name="Arabic Total" totalsRowFunction="sum" dataDxfId="1257" totalsRowDxfId="1256"/>
    <tableColumn id="5" xr3:uid="{31AA25CD-5E64-4989-BBA9-2D11525E3EA9}" name="Armenian Total" totalsRowFunction="sum" dataDxfId="1255" totalsRowDxfId="1254"/>
    <tableColumn id="22" xr3:uid="{E88CF52D-3680-417E-80A1-0B1910BD9CBD}" name="Bengali Total" totalsRowFunction="sum" dataDxfId="1253" totalsRowDxfId="1252"/>
    <tableColumn id="18" xr3:uid="{E368FADA-2BC0-4524-8E34-F953DA27C24E}" name="Chinese (Mandarin or Cantonese) Total" totalsRowFunction="sum" dataDxfId="1251" totalsRowDxfId="1250"/>
    <tableColumn id="23" xr3:uid="{659F07D7-A4FC-4535-97C6-EE72C942A72B}" name="Farsi (Persian) Total" totalsRowFunction="sum" dataDxfId="1249" totalsRowDxfId="1248"/>
    <tableColumn id="6" xr3:uid="{C4A31468-B2BF-44B1-AD4E-09D177F7691E}" name="French Total" totalsRowFunction="sum" dataDxfId="1247" totalsRowDxfId="1246"/>
    <tableColumn id="7" xr3:uid="{0C5BFFD9-06CA-4D26-A548-31AF4A8E44F6}" name="German Total" totalsRowFunction="sum" dataDxfId="1245" totalsRowDxfId="1244"/>
    <tableColumn id="19" xr3:uid="{AB262A80-17A7-4E5E-9856-538AFCEA78F3}" name="Hebrew Total" totalsRowFunction="sum" dataDxfId="1243" totalsRowDxfId="1242"/>
    <tableColumn id="24" xr3:uid="{F93F660D-2B39-433C-B733-93A8929E8337}" name="Hindi Total" totalsRowFunction="sum" dataDxfId="1241" totalsRowDxfId="1240"/>
    <tableColumn id="8" xr3:uid="{5330CC2E-B645-44B9-BB26-F1109260A6A5}" name="Hmong Total" totalsRowFunction="sum" dataDxfId="1239" totalsRowDxfId="1238"/>
    <tableColumn id="9" xr3:uid="{FD8E51EC-AC6F-4FA1-A28D-98C1C6D9E38C}" name="Italian Total" totalsRowFunction="sum" dataDxfId="1237" totalsRowDxfId="1236"/>
    <tableColumn id="10" xr3:uid="{46AB8625-2D53-43CB-A010-248646EC007F}" name="Japanese Total" totalsRowFunction="sum" dataDxfId="1235" totalsRowDxfId="1234"/>
    <tableColumn id="11" xr3:uid="{86D28320-39DF-4BC3-B9F4-5A499EF32E58}" name="Korean Total" totalsRowFunction="sum" dataDxfId="1233" totalsRowDxfId="1232"/>
    <tableColumn id="12" xr3:uid="{8815FDBB-D893-48A5-89C6-7D045B5F0882}" name="Latin Total" totalsRowFunction="sum" dataDxfId="1231" totalsRowDxfId="1230"/>
    <tableColumn id="13" xr3:uid="{5FFBA51C-B2AA-4290-AAC6-82D9097F7213}" name="Portuguese Total" totalsRowFunction="sum" dataDxfId="1229" totalsRowDxfId="1228"/>
    <tableColumn id="25" xr3:uid="{9C64A464-278F-4097-9856-D99C06313192}" name="Punjabi Total" totalsRowFunction="sum" dataDxfId="1227" totalsRowDxfId="1226"/>
    <tableColumn id="20" xr3:uid="{7C0CDB97-71B1-45A8-BC6E-4428CA8BCB62}" name="Russian Total" totalsRowFunction="sum" dataDxfId="1225" totalsRowDxfId="1224"/>
    <tableColumn id="14" xr3:uid="{BB082E0A-6424-4BA9-9460-299AB229EDCE}" name="Spanish Total" totalsRowFunction="sum" dataDxfId="1223" totalsRowDxfId="1222"/>
    <tableColumn id="15" xr3:uid="{0A8E6A3B-1A20-43D5-82DA-5AB2EAE67FCC}" name="Tagalog (Filipino) Total" totalsRowFunction="sum" dataDxfId="1221" totalsRowDxfId="1220"/>
    <tableColumn id="26" xr3:uid="{E320E86C-4F5E-4F98-B456-008E3E1F3351}" name="Urdu Total" totalsRowFunction="sum" dataDxfId="1219" totalsRowDxfId="1218"/>
    <tableColumn id="16" xr3:uid="{C2117221-1142-46B8-A75E-98226F0B5FBD}" name="Vietnamese Total" totalsRowFunction="sum" dataDxfId="1217" totalsRowDxfId="1216"/>
    <tableColumn id="17" xr3:uid="{5C2EC240-FCCD-4325-93ED-FD626289DE4B}" name="Other Total" totalsRowFunction="sum" dataDxfId="1215" totalsRowDxfId="1214"/>
    <tableColumn id="21" xr3:uid="{A661FEDC-6C02-4A5C-8BE9-E2D25E98347D}" name="Total Seals per LEA" totalsRowFunction="sum" dataDxfId="1213" totalsRowDxfId="121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rnardin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08E5206-A112-4A49-A5C0-85063BF4446C}" name="SanDiego" displayName="SanDiego" ref="A2:Z37" totalsRowCount="1" headerRowDxfId="1211" dataDxfId="1210">
  <autoFilter ref="A2:Z36" xr:uid="{00000000-0009-0000-0100-00001C000000}"/>
  <tableColumns count="26">
    <tableColumn id="1" xr3:uid="{B53C3ABD-5675-4F02-9D6B-ECE657F4B2F9}" name="Participating Districts" totalsRowLabel="Total: 34" dataDxfId="1209" totalsRowDxfId="1208"/>
    <tableColumn id="2" xr3:uid="{FE8E49E2-AE58-44A9-9506-96D90194FC65}" name="Participating Schools" totalsRowLabel="98" dataDxfId="1207" totalsRowDxfId="1206"/>
    <tableColumn id="3" xr3:uid="{469B1051-69BA-44E5-90AA-8D4A6882805C}" name="American Sign Language Total" totalsRowFunction="sum" dataDxfId="1205" totalsRowDxfId="1204"/>
    <tableColumn id="4" xr3:uid="{3F7FB498-3416-44C2-878E-E8CCC8ECCD8C}" name="Arabic Total" totalsRowFunction="sum" dataDxfId="1203" totalsRowDxfId="1202"/>
    <tableColumn id="5" xr3:uid="{F0207417-8192-4AFC-B854-B8BFC91A16CB}" name="Armenian Total" totalsRowFunction="sum" dataDxfId="1201" totalsRowDxfId="1200"/>
    <tableColumn id="22" xr3:uid="{19D35645-0979-48C1-8960-A055F53FC58F}" name="Bengali Total" totalsRowFunction="sum" dataDxfId="1199" totalsRowDxfId="1198"/>
    <tableColumn id="18" xr3:uid="{4AB82019-D4A6-4BBB-BBCF-13090302B10C}" name="Chinese (Mandarin or Cantonese) Total" totalsRowFunction="sum" dataDxfId="1197" totalsRowDxfId="1196"/>
    <tableColumn id="23" xr3:uid="{88A671AD-F120-4E02-91A3-7AA3108D56FE}" name="Farsi (Persian) Total" totalsRowFunction="sum" dataDxfId="1195" totalsRowDxfId="1194"/>
    <tableColumn id="6" xr3:uid="{A5D88989-3AB9-4CEB-B501-AA9DC2AA9038}" name="French Total" totalsRowFunction="sum" dataDxfId="1193" totalsRowDxfId="1192"/>
    <tableColumn id="7" xr3:uid="{4D1300F1-8AFE-43D5-8456-ECDF055FDBBE}" name="German Total" totalsRowFunction="sum" dataDxfId="1191" totalsRowDxfId="1190"/>
    <tableColumn id="19" xr3:uid="{DF959E2D-3029-45B1-B19E-5C75F63266BA}" name="Hebrew Total" totalsRowFunction="sum" dataDxfId="1189" totalsRowDxfId="1188"/>
    <tableColumn id="24" xr3:uid="{13B47C40-0778-4832-9F93-B3C4D25C233F}" name="Hindi Total" totalsRowFunction="sum" dataDxfId="1187" totalsRowDxfId="1186"/>
    <tableColumn id="8" xr3:uid="{EA797D0C-ECCA-466C-84A0-1305E6F349AD}" name="Hmong Total" totalsRowFunction="sum" dataDxfId="1185" totalsRowDxfId="1184"/>
    <tableColumn id="9" xr3:uid="{B476A425-A7C5-49C7-BBDC-543BC788F078}" name="Italian Total" totalsRowFunction="sum" dataDxfId="1183" totalsRowDxfId="1182"/>
    <tableColumn id="10" xr3:uid="{58F7DC5F-6295-41D1-9740-CF4395B5FCB7}" name="Japanese Total" totalsRowFunction="sum" dataDxfId="1181" totalsRowDxfId="1180"/>
    <tableColumn id="11" xr3:uid="{7F1BAE88-7BC5-4831-93C3-EE6937F320C3}" name="Korean Total" totalsRowFunction="sum" dataDxfId="1179" totalsRowDxfId="1178"/>
    <tableColumn id="12" xr3:uid="{9C5E5AF4-16DF-4406-95C9-1118A473D407}" name="Latin Total" totalsRowFunction="sum" dataDxfId="1177" totalsRowDxfId="1176"/>
    <tableColumn id="13" xr3:uid="{FF491C42-9D42-4E93-AA42-BC3B4BFA8E3D}" name="Portuguese Total" totalsRowFunction="sum" dataDxfId="1175" totalsRowDxfId="1174"/>
    <tableColumn id="25" xr3:uid="{E822A16F-9AD3-4C4E-9598-E6F7B84E9C1B}" name="Punjabi Total" totalsRowFunction="sum" dataDxfId="1173" totalsRowDxfId="1172"/>
    <tableColumn id="20" xr3:uid="{64551468-F714-4E83-B388-7822B9DE6269}" name="Russian Total" totalsRowFunction="sum" dataDxfId="1171" totalsRowDxfId="1170"/>
    <tableColumn id="14" xr3:uid="{A3406822-74B9-49A8-AE99-64265E667736}" name="Spanish Total" totalsRowFunction="sum" dataDxfId="1169" totalsRowDxfId="1168"/>
    <tableColumn id="15" xr3:uid="{3114FB76-4632-439E-B5A3-C0C395D67D41}" name="Tagalog (Filipino) Total" totalsRowFunction="sum" dataDxfId="1167" totalsRowDxfId="1166"/>
    <tableColumn id="26" xr3:uid="{1E552390-569F-4ADA-95C2-CACB54B85E72}" name="Urdu Total" totalsRowFunction="sum" dataDxfId="1165" totalsRowDxfId="1164"/>
    <tableColumn id="16" xr3:uid="{42E53A3C-D681-4CFE-8B3B-D4B516D3AAB7}" name="Vietnamese Total" totalsRowFunction="sum" dataDxfId="1163" totalsRowDxfId="1162"/>
    <tableColumn id="17" xr3:uid="{E398B606-ECC6-4C31-9AC1-002329DB8EEE}" name="Other Total" totalsRowFunction="sum" dataDxfId="1161" totalsRowDxfId="1160"/>
    <tableColumn id="21" xr3:uid="{93CE64C2-FF49-4EC6-895A-521D4702C4DE}" name="Total Seals per LEA" totalsRowFunction="sum" dataDxfId="1159" totalsRowDxfId="1158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Dieg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7506349-F0EA-4A2B-BD3A-031F3E5C2136}" name="SanFrancisco" displayName="SanFrancisco" ref="A2:Z6" totalsRowCount="1" headerRowDxfId="1157" dataDxfId="1156">
  <autoFilter ref="A2:Z5" xr:uid="{00000000-0009-0000-0100-00001C000000}"/>
  <tableColumns count="26">
    <tableColumn id="1" xr3:uid="{0148456C-DC60-4250-964C-604C57B3D994}" name="Participating Districts" totalsRowLabel="Total: 3" dataDxfId="1155" totalsRowDxfId="1154"/>
    <tableColumn id="2" xr3:uid="{340374B1-862D-48DA-8173-B1B7EB7E5E5A}" name="Participating Schools" totalsRowLabel="17" dataDxfId="1153" totalsRowDxfId="1152"/>
    <tableColumn id="3" xr3:uid="{5316860C-AB9D-4DF9-B6DC-8F1600F77C14}" name="American Sign Language Total" totalsRowFunction="sum" dataDxfId="1151" totalsRowDxfId="1150"/>
    <tableColumn id="4" xr3:uid="{5775B428-0D65-4A0D-B360-1E1885EEFBE2}" name="Arabic Total" totalsRowFunction="sum" dataDxfId="1149" totalsRowDxfId="1148"/>
    <tableColumn id="5" xr3:uid="{5AEDC4CF-8B1B-40D9-BBAB-3C8531BF9B2E}" name="Armenian Total" totalsRowFunction="sum" dataDxfId="1147" totalsRowDxfId="1146"/>
    <tableColumn id="22" xr3:uid="{481E401B-F9F3-4842-AFAD-658FDF5B3348}" name="Bengali Total" totalsRowFunction="sum" dataDxfId="1145" totalsRowDxfId="1144"/>
    <tableColumn id="18" xr3:uid="{4AB8394E-0390-4A44-AFB0-62FE0925F9BE}" name="Chinese (Mandarin or Cantonese) Total" totalsRowFunction="sum" dataDxfId="1143" totalsRowDxfId="1142"/>
    <tableColumn id="23" xr3:uid="{BFB07428-4FEE-424E-A302-5D41C811C581}" name="Farsi (Persian) Total" totalsRowFunction="sum" dataDxfId="1141" totalsRowDxfId="1140"/>
    <tableColumn id="6" xr3:uid="{8D3CB4DC-4C53-4B02-B6A9-D20597D13A8D}" name="French Total" totalsRowFunction="sum" dataDxfId="1139" totalsRowDxfId="1138"/>
    <tableColumn id="7" xr3:uid="{6C948503-8117-4E56-98E7-82E884E40F0F}" name="German Total" totalsRowFunction="sum" dataDxfId="1137" totalsRowDxfId="1136"/>
    <tableColumn id="19" xr3:uid="{7F84AE7F-5737-428D-BF43-803E969D1141}" name="Hebrew Total" totalsRowFunction="sum" dataDxfId="1135" totalsRowDxfId="1134"/>
    <tableColumn id="24" xr3:uid="{C7536384-7639-4B4F-A1C5-4F153C138644}" name="Hindi Total" totalsRowFunction="sum" dataDxfId="1133" totalsRowDxfId="1132"/>
    <tableColumn id="8" xr3:uid="{1D44CD01-1986-4CD0-9A93-AA4B218D04D5}" name="Hmong Total" totalsRowFunction="sum" dataDxfId="1131" totalsRowDxfId="1130"/>
    <tableColumn id="9" xr3:uid="{885ACEF6-1861-4D60-88F4-603FFEF60ECB}" name="Italian Total" totalsRowFunction="sum" dataDxfId="1129" totalsRowDxfId="1128"/>
    <tableColumn id="10" xr3:uid="{C986C3BD-860B-40A9-99ED-8340462E78AD}" name="Japanese Total" totalsRowFunction="sum" dataDxfId="1127" totalsRowDxfId="1126"/>
    <tableColumn id="11" xr3:uid="{5BE8290D-A7AD-4975-9718-95DD55600A6C}" name="Korean Total" totalsRowFunction="sum" dataDxfId="1125" totalsRowDxfId="1124"/>
    <tableColumn id="12" xr3:uid="{49707D8C-D3CD-4CEE-8474-0A8554103F99}" name="Latin Total" totalsRowFunction="sum" dataDxfId="1123" totalsRowDxfId="1122"/>
    <tableColumn id="13" xr3:uid="{A5360A3F-9C04-4892-A910-A7C00D2EA26A}" name="Portuguese Total" totalsRowFunction="sum" dataDxfId="1121" totalsRowDxfId="1120"/>
    <tableColumn id="25" xr3:uid="{BE0225A5-7DC9-462C-BA84-0E03032FAA05}" name="Punjabi Total" totalsRowFunction="sum" dataDxfId="1119" totalsRowDxfId="1118"/>
    <tableColumn id="20" xr3:uid="{CFA04AC7-12B4-463B-AFB1-9D3D0C8AE7E9}" name="Russian Total" totalsRowFunction="sum" dataDxfId="1117" totalsRowDxfId="1116"/>
    <tableColumn id="14" xr3:uid="{497BBA2F-E3E8-4202-958E-7C0F3941B22E}" name="Spanish Total" totalsRowFunction="sum" dataDxfId="1115" totalsRowDxfId="1114"/>
    <tableColumn id="15" xr3:uid="{706DE1B3-1458-48B0-BAC5-F5C1B6409394}" name="Tagalog (Filipino) Total" totalsRowFunction="sum" dataDxfId="1113" totalsRowDxfId="1112"/>
    <tableColumn id="26" xr3:uid="{2BBB6E3F-84C4-41DA-8349-A8A7CDB810DE}" name="Urdu Total" totalsRowFunction="sum" dataDxfId="1111" totalsRowDxfId="1110"/>
    <tableColumn id="16" xr3:uid="{532DCBC5-99E2-479B-9B56-601D6E1C3E5B}" name="Vietnamese Total" totalsRowFunction="sum" dataDxfId="1109" totalsRowDxfId="1108"/>
    <tableColumn id="17" xr3:uid="{78E67553-ACA2-4220-8902-BC1EC1CB777C}" name="Other Total" totalsRowFunction="sum" dataDxfId="1107" totalsRowDxfId="1106"/>
    <tableColumn id="21" xr3:uid="{E51FD5D1-428E-4131-968C-D554F7C8BB86}" name="Total Seals per LEA" totalsRowFunction="sum" dataDxfId="1105" totalsRowDxfId="110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Francisco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852CA8C-AD35-4960-9208-10ADF8033CA2}" name="SanJoaquin" displayName="SanJoaquin" ref="A2:Z16" totalsRowCount="1" headerRowDxfId="1103" dataDxfId="1102">
  <autoFilter ref="A2:Z15" xr:uid="{00000000-0009-0000-0100-00001C000000}"/>
  <tableColumns count="26">
    <tableColumn id="1" xr3:uid="{3819DEE4-315C-4444-9E19-85B22D75A150}" name="Participating Districts" totalsRowLabel="Total: 13" dataDxfId="1101" totalsRowDxfId="1100"/>
    <tableColumn id="2" xr3:uid="{03788D9F-7397-4814-9910-6CB6241498C4}" name="Participating Schools" totalsRowLabel="32" dataDxfId="1099" totalsRowDxfId="1098"/>
    <tableColumn id="3" xr3:uid="{FE53924A-7317-44E2-891B-890BDFCEC03E}" name="American Sign Language Total" totalsRowFunction="sum" dataDxfId="1097" totalsRowDxfId="1096"/>
    <tableColumn id="4" xr3:uid="{6D0A3F4C-0CF7-48FC-944E-89E94ED53304}" name="Arabic Total" totalsRowFunction="sum" dataDxfId="1095" totalsRowDxfId="1094"/>
    <tableColumn id="5" xr3:uid="{5B27E197-1F20-4FA8-A511-FD70B6990B20}" name="Armenian Total" totalsRowFunction="sum" dataDxfId="1093" totalsRowDxfId="1092"/>
    <tableColumn id="22" xr3:uid="{CA288B4C-48A7-4001-A505-F55341D1A627}" name="Bengali Total" totalsRowFunction="sum" dataDxfId="1091" totalsRowDxfId="1090"/>
    <tableColumn id="18" xr3:uid="{C29B0903-7C3A-482F-8E6F-2B390EC544C1}" name="Chinese (Mandarin or Cantonese) Total" totalsRowFunction="sum" dataDxfId="1089" totalsRowDxfId="1088"/>
    <tableColumn id="23" xr3:uid="{59252173-4024-4D4F-97DA-4E7E2E949D0B}" name="Farsi (Persian) Total" totalsRowFunction="sum" dataDxfId="1087" totalsRowDxfId="1086"/>
    <tableColumn id="6" xr3:uid="{FD02076B-F2E2-45B0-985B-A200D139C23A}" name="French Total" totalsRowFunction="sum" dataDxfId="1085" totalsRowDxfId="1084"/>
    <tableColumn id="7" xr3:uid="{3DCA314A-1A83-4219-87EF-994D1A6DDE4A}" name="German Total" totalsRowFunction="sum" dataDxfId="1083" totalsRowDxfId="1082"/>
    <tableColumn id="19" xr3:uid="{A42A5FD9-1634-41AC-8654-5E5047EEB659}" name="Hebrew Total" totalsRowFunction="sum" dataDxfId="1081" totalsRowDxfId="1080"/>
    <tableColumn id="24" xr3:uid="{A731389C-5C52-442C-B6FC-40FC8DA8B074}" name="Hindi Total" totalsRowFunction="sum" dataDxfId="1079" totalsRowDxfId="1078"/>
    <tableColumn id="8" xr3:uid="{F677FF7E-4CAC-4633-8925-C20D7C75FDF1}" name="Hmong Total" totalsRowFunction="sum" dataDxfId="1077" totalsRowDxfId="1076"/>
    <tableColumn id="9" xr3:uid="{02960FDC-2B0B-4E51-BA15-F1A5EF78DF11}" name="Italian Total" totalsRowFunction="sum" dataDxfId="1075" totalsRowDxfId="1074"/>
    <tableColumn id="10" xr3:uid="{646576D5-B28C-412D-8DA5-61BF34108604}" name="Japanese Total" totalsRowFunction="sum" dataDxfId="1073" totalsRowDxfId="1072"/>
    <tableColumn id="11" xr3:uid="{BB693864-7915-4C3D-965D-926C6F7FAC79}" name="Korean Total" totalsRowFunction="sum" dataDxfId="1071" totalsRowDxfId="1070"/>
    <tableColumn id="12" xr3:uid="{809B8CEE-07D9-4178-BEA4-796841C02BCD}" name="Latin Total" totalsRowFunction="sum" dataDxfId="1069" totalsRowDxfId="1068"/>
    <tableColumn id="13" xr3:uid="{0D464DFB-0057-4390-92CF-A33B1ED9F0F0}" name="Portuguese Total" totalsRowFunction="sum" dataDxfId="1067" totalsRowDxfId="1066"/>
    <tableColumn id="25" xr3:uid="{4AC39CEC-27B3-40EB-A009-1CFAF0BFF7E6}" name="Punjabi Total" totalsRowFunction="sum" dataDxfId="1065" totalsRowDxfId="1064"/>
    <tableColumn id="20" xr3:uid="{EF04B982-A5FE-490A-A6AB-F932F54B4A84}" name="Russian Total" totalsRowFunction="sum" dataDxfId="1063" totalsRowDxfId="1062"/>
    <tableColumn id="14" xr3:uid="{6AD47108-B902-45DA-9A43-A1A86BE68181}" name="Spanish Total" totalsRowFunction="sum" dataDxfId="1061" totalsRowDxfId="1060"/>
    <tableColumn id="15" xr3:uid="{F812D709-E49F-4DFA-B21A-A752CE3616AB}" name="Tagalog (Filipino) Total" totalsRowFunction="sum" dataDxfId="1059" totalsRowDxfId="1058"/>
    <tableColumn id="26" xr3:uid="{1FB79AF1-B67F-4F21-8F5D-D6E745FC145D}" name="Urdu Total" totalsRowFunction="sum" dataDxfId="1057" totalsRowDxfId="1056"/>
    <tableColumn id="16" xr3:uid="{2FD8EF42-B83B-4503-8709-2D419074F925}" name="Vietnamese Total" totalsRowFunction="sum" dataDxfId="1055" totalsRowDxfId="1054"/>
    <tableColumn id="17" xr3:uid="{D0C8E734-5C4F-4D26-A56F-92E7295060AC}" name="Other Total" totalsRowFunction="sum" dataDxfId="1053" totalsRowDxfId="1052"/>
    <tableColumn id="21" xr3:uid="{3C06B434-ACEB-4813-998E-DD57A8542377}" name="Total Seals per LEA" totalsRowFunction="sum" dataDxfId="1051" totalsRowDxfId="105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Joaquin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D3FB69E-2441-4DA7-8A0C-E8DB1F0B4105}" name="SanLuisObispo" displayName="SanLuisObispo" ref="A2:Z9" totalsRowCount="1" headerRowDxfId="1049" dataDxfId="1048">
  <autoFilter ref="A2:Z8" xr:uid="{00000000-0009-0000-0100-00001C000000}"/>
  <tableColumns count="26">
    <tableColumn id="1" xr3:uid="{6B902C48-57D7-453F-9C4D-C1A73693325C}" name="Participating Districts" totalsRowLabel="Total: 6" dataDxfId="1047" totalsRowDxfId="1046"/>
    <tableColumn id="2" xr3:uid="{2CA0133E-9A91-49DC-81AA-17EC1B4252AA}" name="Participating Schools" totalsRowLabel="8" dataDxfId="1045" totalsRowDxfId="1044"/>
    <tableColumn id="3" xr3:uid="{D51A56B7-DE26-4D66-A0A4-36AD153BEE70}" name="American Sign Language Total" totalsRowFunction="sum" dataDxfId="1043" totalsRowDxfId="1042"/>
    <tableColumn id="4" xr3:uid="{8C1CFB17-3E1B-420A-B232-3F2CCA38A802}" name="Arabic Total" totalsRowFunction="sum" dataDxfId="1041" totalsRowDxfId="1040"/>
    <tableColumn id="5" xr3:uid="{A0899695-FD8C-441C-A38F-8D0D2A50A4F1}" name="Armenian Total" totalsRowFunction="sum" dataDxfId="1039" totalsRowDxfId="1038"/>
    <tableColumn id="22" xr3:uid="{B0585034-861D-4261-A1AE-71916745C2E1}" name="Bengali Total" totalsRowFunction="sum" dataDxfId="1037" totalsRowDxfId="1036"/>
    <tableColumn id="18" xr3:uid="{6B1E8CA4-335A-4E5F-B49E-42B31C629689}" name="Chinese (Mandarin or Cantonese) Total" totalsRowFunction="sum" dataDxfId="1035" totalsRowDxfId="1034"/>
    <tableColumn id="23" xr3:uid="{285655F8-DA9F-42E9-8F8C-09D0CEC920F3}" name="Farsi (Persian) Total" totalsRowFunction="sum" dataDxfId="1033" totalsRowDxfId="1032"/>
    <tableColumn id="6" xr3:uid="{23B04761-593E-4E51-BF89-A19DD5F2DA11}" name="French Total" totalsRowFunction="sum" dataDxfId="1031" totalsRowDxfId="1030"/>
    <tableColumn id="7" xr3:uid="{0CEA6EA3-A97F-4924-8AEA-1AD07F4ACE33}" name="German Total" totalsRowFunction="sum" dataDxfId="1029" totalsRowDxfId="1028"/>
    <tableColumn id="19" xr3:uid="{DE8536A8-3554-49F9-9668-6178A37A0C3E}" name="Hebrew Total" totalsRowFunction="sum" dataDxfId="1027" totalsRowDxfId="1026"/>
    <tableColumn id="24" xr3:uid="{0F906E65-7CF5-4D77-AA43-06C2B803533F}" name="Hindi Total" totalsRowFunction="sum" dataDxfId="1025" totalsRowDxfId="1024"/>
    <tableColumn id="8" xr3:uid="{7086A4A1-2250-40F6-9FE9-51481E01ED3F}" name="Hmong Total" totalsRowFunction="sum" dataDxfId="1023" totalsRowDxfId="1022"/>
    <tableColumn id="9" xr3:uid="{BA6ECC3F-D88D-4569-AAA2-33D539B62FEC}" name="Italian Total" totalsRowFunction="sum" dataDxfId="1021" totalsRowDxfId="1020"/>
    <tableColumn id="10" xr3:uid="{E01B02B9-71F7-4CD1-8FE6-55287A3E6452}" name="Japanese Total" totalsRowFunction="sum" dataDxfId="1019" totalsRowDxfId="1018"/>
    <tableColumn id="11" xr3:uid="{BE08901E-E70E-457F-9AF5-6506F07394F4}" name="Korean Total" totalsRowFunction="sum" dataDxfId="1017" totalsRowDxfId="1016"/>
    <tableColumn id="12" xr3:uid="{388D38A6-9975-4416-972B-95B61CCEA141}" name="Latin Total" totalsRowFunction="sum" dataDxfId="1015" totalsRowDxfId="1014"/>
    <tableColumn id="13" xr3:uid="{75BCABB0-B08B-4177-8344-628C9FB225CE}" name="Portuguese Total" totalsRowFunction="sum" dataDxfId="1013" totalsRowDxfId="1012"/>
    <tableColumn id="25" xr3:uid="{87F63117-4D3D-4882-9F46-53DB1E3D59BF}" name="Punjabi Total" totalsRowFunction="sum" dataDxfId="1011" totalsRowDxfId="1010"/>
    <tableColumn id="20" xr3:uid="{6E4DBCED-6103-4BE9-8C2F-C78B69651C30}" name="Russian Total" totalsRowFunction="sum" dataDxfId="1009" totalsRowDxfId="1008"/>
    <tableColumn id="14" xr3:uid="{10BC92DC-93CB-4144-AEE2-7D30A49F0897}" name="Spanish Total" totalsRowFunction="sum" dataDxfId="1007" totalsRowDxfId="1006"/>
    <tableColumn id="15" xr3:uid="{E8BD8936-4A92-4B3C-92F3-1E3BF1081641}" name="Tagalog (Filipino) Total" totalsRowFunction="sum" dataDxfId="1005" totalsRowDxfId="1004"/>
    <tableColumn id="26" xr3:uid="{6602F6D1-1822-4120-9509-C6673E16ADCC}" name="Urdu Total" totalsRowFunction="sum" dataDxfId="1003" totalsRowDxfId="1002"/>
    <tableColumn id="16" xr3:uid="{D8226AC4-59B8-4A0F-AC98-1E6A2FBB1491}" name="Vietnamese Total" totalsRowFunction="sum" dataDxfId="1001" totalsRowDxfId="1000"/>
    <tableColumn id="17" xr3:uid="{6A9F3C20-C388-4F18-95A5-DE3167CFB883}" name="Other Total" totalsRowFunction="sum" dataDxfId="999" totalsRowDxfId="998"/>
    <tableColumn id="21" xr3:uid="{1EC8ACBC-718E-4D6E-9C65-115732C8CFD0}" name="Total Seals per LEA" totalsRowFunction="sum" dataDxfId="997" totalsRowDxfId="996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Luis Obisp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utte" displayName="Butte" ref="A2:Z8" totalsRowCount="1" headerRowDxfId="2365">
  <autoFilter ref="A2:Z7" xr:uid="{00000000-0009-0000-0100-000005000000}"/>
  <tableColumns count="26">
    <tableColumn id="1" xr3:uid="{00000000-0010-0000-0300-000001000000}" name="Participating Districts" totalsRowLabel="Total: 5" dataDxfId="2364" totalsRowDxfId="2363"/>
    <tableColumn id="2" xr3:uid="{00000000-0010-0000-0300-000002000000}" name="Participating Schools" totalsRowLabel="7" dataDxfId="2362" totalsRowDxfId="2361"/>
    <tableColumn id="3" xr3:uid="{00000000-0010-0000-0300-000003000000}" name="American Sign Language Total" totalsRowFunction="sum" dataDxfId="2360"/>
    <tableColumn id="4" xr3:uid="{00000000-0010-0000-0300-000004000000}" name="Arabic Total" totalsRowFunction="sum" dataDxfId="2359"/>
    <tableColumn id="5" xr3:uid="{00000000-0010-0000-0300-000005000000}" name="Armenian Total" totalsRowFunction="sum" dataDxfId="2358"/>
    <tableColumn id="22" xr3:uid="{91ACFB92-61A5-4BD2-9424-2A2E8D2286FF}" name="Bengali Total" totalsRowFunction="sum" dataDxfId="2357"/>
    <tableColumn id="18" xr3:uid="{A1D6E862-391D-44BF-A6D8-078F476E721A}" name="Chinese (Mandarin or Cantonese) Total" totalsRowFunction="sum" dataDxfId="2356"/>
    <tableColumn id="23" xr3:uid="{3DBAF6C3-0164-413E-A831-1F899E2FC712}" name="Farsi (Persian) Total" totalsRowFunction="sum" dataDxfId="2355"/>
    <tableColumn id="6" xr3:uid="{00000000-0010-0000-0300-000006000000}" name="French Total" totalsRowFunction="sum" dataDxfId="2354"/>
    <tableColumn id="7" xr3:uid="{00000000-0010-0000-0300-000007000000}" name="German Total" totalsRowFunction="sum" dataDxfId="2353"/>
    <tableColumn id="19" xr3:uid="{DFAA0D3A-9D16-4D67-A0BB-01E4D14E20E0}" name="Hebrew Total" totalsRowFunction="sum" dataDxfId="2352"/>
    <tableColumn id="24" xr3:uid="{6D59F664-4A93-4B23-B5B7-F8B0838EB7A1}" name="Hindi Total" totalsRowFunction="sum" dataDxfId="2351"/>
    <tableColumn id="8" xr3:uid="{00000000-0010-0000-0300-000008000000}" name="Hmong Total" totalsRowFunction="sum" dataDxfId="2350"/>
    <tableColumn id="9" xr3:uid="{00000000-0010-0000-0300-000009000000}" name="Italian Total" totalsRowFunction="sum" dataDxfId="2349"/>
    <tableColumn id="10" xr3:uid="{00000000-0010-0000-0300-00000A000000}" name="Japanese Total" totalsRowFunction="sum" dataDxfId="2348"/>
    <tableColumn id="11" xr3:uid="{00000000-0010-0000-0300-00000B000000}" name="Korean Total" totalsRowFunction="sum" dataDxfId="2347"/>
    <tableColumn id="12" xr3:uid="{00000000-0010-0000-0300-00000C000000}" name="Latin Total" totalsRowFunction="sum" dataDxfId="2346"/>
    <tableColumn id="13" xr3:uid="{00000000-0010-0000-0300-00000D000000}" name="Portuguese Total" totalsRowFunction="sum" dataDxfId="2345"/>
    <tableColumn id="25" xr3:uid="{0C930DCE-7A8B-4609-9712-C9B295D888B3}" name="Punjabi Total" totalsRowFunction="sum" dataDxfId="2344"/>
    <tableColumn id="20" xr3:uid="{62F03FB2-DBBA-4418-A615-7D8A5CF03A74}" name="Russian Total" totalsRowFunction="sum" dataDxfId="2343"/>
    <tableColumn id="14" xr3:uid="{00000000-0010-0000-0300-00000E000000}" name="Spanish Total" totalsRowFunction="sum" dataDxfId="2342"/>
    <tableColumn id="15" xr3:uid="{00000000-0010-0000-0300-00000F000000}" name="Tagalog (Filipino) Total" totalsRowFunction="sum" dataDxfId="2341"/>
    <tableColumn id="26" xr3:uid="{37C8E67B-67D0-402B-9D0A-531ED2A7D7EE}" name="Urdu Total" totalsRowFunction="sum" dataDxfId="2340"/>
    <tableColumn id="16" xr3:uid="{00000000-0010-0000-0300-000010000000}" name="Vietnamese Total" totalsRowFunction="sum" dataDxfId="2339"/>
    <tableColumn id="17" xr3:uid="{00000000-0010-0000-0300-000011000000}" name="Other Total" totalsRowFunction="sum" dataDxfId="2338"/>
    <tableColumn id="21" xr3:uid="{0EE88F65-5D97-46C9-91E5-D8BFB3F7A54D}" name="Total Seals per LEA" totalsRowFunction="sum" dataDxfId="2337">
      <calculatedColumnFormula>SUM(Butte[[#This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4D7966E-CC0D-40CC-BE43-2B412A23261F}" name="SanMateo" displayName="SanMateo" ref="A2:Z12" totalsRowCount="1" headerRowDxfId="995" dataDxfId="994">
  <autoFilter ref="A2:Z11" xr:uid="{00000000-0009-0000-0100-00001C000000}"/>
  <tableColumns count="26">
    <tableColumn id="1" xr3:uid="{69130759-D4BB-49EE-BFE8-C471E6C322DE}" name="Participating Districts" totalsRowLabel="Total: 9" dataDxfId="993" totalsRowDxfId="992"/>
    <tableColumn id="2" xr3:uid="{D8F0F582-1E6F-4A87-8D50-5FA2D1AB1450}" name="Participating Schools" totalsRowLabel="23" dataDxfId="991" totalsRowDxfId="990"/>
    <tableColumn id="3" xr3:uid="{735B0D3C-8DCC-4FE8-9739-214087A312A4}" name="American Sign Language Total" totalsRowFunction="sum" dataDxfId="989" totalsRowDxfId="988"/>
    <tableColumn id="4" xr3:uid="{EA490D0D-CC08-4629-BD38-B8E820F3D470}" name="Arabic Total" totalsRowFunction="sum" dataDxfId="987" totalsRowDxfId="986"/>
    <tableColumn id="5" xr3:uid="{D6BF06A3-1E3C-4FE5-96AE-D7D18FEBDD07}" name="Armenian Total" totalsRowFunction="sum" dataDxfId="985" totalsRowDxfId="984"/>
    <tableColumn id="22" xr3:uid="{C1137342-1CB8-4FC2-9E08-9EEF26E74F13}" name="Bengali Total" totalsRowFunction="sum" dataDxfId="983" totalsRowDxfId="982"/>
    <tableColumn id="18" xr3:uid="{7919F644-341D-4A61-A531-F94461416413}" name="Chinese (Mandarin or Cantonese) Total" totalsRowFunction="sum" dataDxfId="981" totalsRowDxfId="980"/>
    <tableColumn id="23" xr3:uid="{0822D5F6-FB3F-4103-A278-5BB66ECF318D}" name="Farsi (Persian) Total" totalsRowFunction="sum" dataDxfId="979" totalsRowDxfId="978"/>
    <tableColumn id="6" xr3:uid="{1F993958-20BD-4CCE-95E3-0FE1C01B78A3}" name="French Total" totalsRowFunction="sum" dataDxfId="977" totalsRowDxfId="976"/>
    <tableColumn id="7" xr3:uid="{4533DAF9-F16F-44CA-8F9D-3C6FE691BE17}" name="German Total" totalsRowFunction="sum" dataDxfId="975" totalsRowDxfId="974"/>
    <tableColumn id="19" xr3:uid="{CC16B650-D5D1-4737-A9A1-DE17C6B469F5}" name="Hebrew Total" totalsRowFunction="sum" dataDxfId="973" totalsRowDxfId="972"/>
    <tableColumn id="24" xr3:uid="{E85A82F7-A79B-497B-A610-F17CB40E964D}" name="Hindi Total" totalsRowFunction="sum" dataDxfId="971" totalsRowDxfId="970"/>
    <tableColumn id="8" xr3:uid="{A88CE702-D3ED-4AB9-8EAC-558A079D310B}" name="Hmong Total" totalsRowFunction="sum" dataDxfId="969" totalsRowDxfId="968"/>
    <tableColumn id="9" xr3:uid="{E6E7E78D-808A-4D54-A808-7CE992C09000}" name="Italian Total" totalsRowFunction="sum" dataDxfId="967" totalsRowDxfId="966"/>
    <tableColumn id="10" xr3:uid="{C90338A1-6A49-4EF5-95EE-9F44B4612706}" name="Japanese Total" totalsRowFunction="sum" dataDxfId="965" totalsRowDxfId="964"/>
    <tableColumn id="11" xr3:uid="{919B3976-0DA9-40C3-8C76-17E61992D66C}" name="Korean Total" totalsRowFunction="sum" dataDxfId="963" totalsRowDxfId="962"/>
    <tableColumn id="12" xr3:uid="{6AA71186-9301-43C0-B2FC-B2992621167D}" name="Latin Total" totalsRowFunction="sum" dataDxfId="961" totalsRowDxfId="960"/>
    <tableColumn id="13" xr3:uid="{E7CE0C7D-03A9-4E79-8A70-8394FECF506E}" name="Portuguese Total" totalsRowFunction="sum" dataDxfId="959" totalsRowDxfId="958"/>
    <tableColumn id="25" xr3:uid="{BA9C1CA3-0582-480F-B2B1-E355384428FA}" name="Punjabi Total" totalsRowFunction="sum" dataDxfId="957" totalsRowDxfId="956"/>
    <tableColumn id="20" xr3:uid="{41867D8C-9E30-44C9-ACD0-28C090C45140}" name="Russian Total" totalsRowFunction="sum" dataDxfId="955" totalsRowDxfId="954"/>
    <tableColumn id="14" xr3:uid="{DA34FCEB-B082-4F6A-9D3D-301E6A656826}" name="Spanish Total" totalsRowFunction="sum" dataDxfId="953" totalsRowDxfId="952"/>
    <tableColumn id="15" xr3:uid="{9C8AC50C-E4C2-4FAE-9F34-D64BE3BD417F}" name="Tagalog (Filipino) Total" totalsRowFunction="sum" dataDxfId="951" totalsRowDxfId="950"/>
    <tableColumn id="26" xr3:uid="{58AF273D-9B1D-4004-B449-81B0A97D0DD2}" name="Urdu Total" totalsRowFunction="sum" dataDxfId="949" totalsRowDxfId="948"/>
    <tableColumn id="16" xr3:uid="{62589D59-4C1C-45ED-9A17-5133998A871E}" name="Vietnamese Total" totalsRowFunction="sum" dataDxfId="947" totalsRowDxfId="946"/>
    <tableColumn id="17" xr3:uid="{65B3F10E-8042-4F07-9EB1-EA38781D5E3E}" name="Other Total" totalsRowFunction="sum" dataDxfId="945" totalsRowDxfId="944"/>
    <tableColumn id="21" xr3:uid="{408B78F7-8196-45CD-A8DD-18F4B05D1927}" name="Total Seals per LEA" totalsRowFunction="sum" dataDxfId="943" totalsRowDxfId="942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Mateo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0185B6D-B8AE-40F0-BA49-7D728F4B486E}" name="SantaBarbara" displayName="SantaBarbara" ref="A2:Z10" totalsRowCount="1" headerRowDxfId="941" dataDxfId="940">
  <autoFilter ref="A2:Z9" xr:uid="{00000000-0009-0000-0100-00001C000000}"/>
  <tableColumns count="26">
    <tableColumn id="1" xr3:uid="{F4EDC1C7-A411-45CA-8E8B-214C4A8717F3}" name="Participating Districts" totalsRowLabel="Total: 7" dataDxfId="939" totalsRowDxfId="938"/>
    <tableColumn id="2" xr3:uid="{9FB2FC70-8DE1-4CD1-8825-FCB1571ABF9F}" name="Participating Schools" totalsRowLabel="15" dataDxfId="937" totalsRowDxfId="936"/>
    <tableColumn id="3" xr3:uid="{AEBF3D7C-2073-4BA6-8BE2-E4148DC914C6}" name="American Sign Language Total" totalsRowFunction="sum" dataDxfId="935" totalsRowDxfId="934"/>
    <tableColumn id="4" xr3:uid="{C1C7984E-46B4-4740-A6C2-8783DB2B8649}" name="Arabic Total" totalsRowFunction="sum" dataDxfId="933" totalsRowDxfId="932"/>
    <tableColumn id="5" xr3:uid="{73753ACA-6B71-44B6-8DC8-905D00C3119B}" name="Armenian Total" totalsRowFunction="sum" dataDxfId="931" totalsRowDxfId="930"/>
    <tableColumn id="22" xr3:uid="{1429D8DA-8C2D-4705-B438-E0ED26C59779}" name="Bengali Total" totalsRowFunction="sum" dataDxfId="929" totalsRowDxfId="928"/>
    <tableColumn id="18" xr3:uid="{AB455F65-D88B-44DA-8450-F2CC04DCAD89}" name="Chinese (Mandarin or Cantonese) Total" totalsRowFunction="sum" dataDxfId="927" totalsRowDxfId="926"/>
    <tableColumn id="23" xr3:uid="{ED530617-72CB-4BA8-BBA1-B7F290B66690}" name="Farsi (Persian) Total" totalsRowFunction="sum" dataDxfId="925" totalsRowDxfId="924"/>
    <tableColumn id="6" xr3:uid="{9BC79C88-20C7-40E7-8203-83EB2E97E2C5}" name="French Total" totalsRowFunction="sum" dataDxfId="923" totalsRowDxfId="922"/>
    <tableColumn id="7" xr3:uid="{723F922F-D03A-46FC-89C3-C9D0EF7D9259}" name="German Total" totalsRowFunction="sum" dataDxfId="921" totalsRowDxfId="920"/>
    <tableColumn id="19" xr3:uid="{DFEF1D92-E1D2-4AA9-8CCB-A18D94A8E120}" name="Hebrew Total" totalsRowFunction="sum" dataDxfId="919" totalsRowDxfId="918"/>
    <tableColumn id="24" xr3:uid="{22FE68E5-0EDF-4150-BCC0-2D358782753E}" name="Hindi Total" totalsRowFunction="sum" dataDxfId="917" totalsRowDxfId="916"/>
    <tableColumn id="8" xr3:uid="{177C9C35-2973-4BB3-A836-714C6A7A9349}" name="Hmong Total" totalsRowFunction="sum" dataDxfId="915" totalsRowDxfId="914"/>
    <tableColumn id="9" xr3:uid="{E801AEA5-49C4-46C7-8C99-F70CB51DF456}" name="Italian Total" totalsRowFunction="sum" dataDxfId="913" totalsRowDxfId="912"/>
    <tableColumn id="10" xr3:uid="{0CF9633E-481E-426F-8B24-48DA3F4886EC}" name="Japanese Total" totalsRowFunction="sum" dataDxfId="911" totalsRowDxfId="910"/>
    <tableColumn id="11" xr3:uid="{B1D76FFB-F897-4FB8-97DA-399D58ABCE79}" name="Korean Total" totalsRowFunction="sum" dataDxfId="909" totalsRowDxfId="908"/>
    <tableColumn id="12" xr3:uid="{7FD56F41-7B10-4D30-AD35-6A65049CFB20}" name="Latin Total" totalsRowFunction="sum" dataDxfId="907" totalsRowDxfId="906"/>
    <tableColumn id="13" xr3:uid="{A2BAA088-BA4E-4B39-A416-11ABA5E46527}" name="Portuguese Total" totalsRowFunction="sum" dataDxfId="905" totalsRowDxfId="904"/>
    <tableColumn id="25" xr3:uid="{E6EBC528-B6EF-4CFA-BEB7-6EAD7D5C9D7F}" name="Punjabi Total" totalsRowFunction="sum" dataDxfId="903" totalsRowDxfId="902"/>
    <tableColumn id="20" xr3:uid="{9E941260-C800-46F5-A112-15F4B0B44A00}" name="Russian Total" totalsRowFunction="sum" dataDxfId="901" totalsRowDxfId="900"/>
    <tableColumn id="14" xr3:uid="{EB1A2C4A-C086-4748-A80A-06CAFCB7AC58}" name="Spanish Total" totalsRowFunction="sum" dataDxfId="899" totalsRowDxfId="898"/>
    <tableColumn id="15" xr3:uid="{4185CC9F-8FE8-44B3-9358-7F131EEEA130}" name="Tagalog (Filipino) Total" totalsRowFunction="sum" dataDxfId="897" totalsRowDxfId="896"/>
    <tableColumn id="26" xr3:uid="{3928D766-F646-4D6A-8B06-3F9E3B8B9CD9}" name="Urdu Total" totalsRowFunction="sum" dataDxfId="895" totalsRowDxfId="894"/>
    <tableColumn id="16" xr3:uid="{2ED48DF0-C77F-4AD0-9DBD-DC134ED483F6}" name="Vietnamese Total" totalsRowFunction="sum" dataDxfId="893" totalsRowDxfId="892"/>
    <tableColumn id="17" xr3:uid="{B5470682-2031-40AD-8C92-270C9A8628B7}" name="Other Total" totalsRowFunction="sum" dataDxfId="891" totalsRowDxfId="890"/>
    <tableColumn id="21" xr3:uid="{6277B815-EFE8-430F-A4AC-EE8C3FF5B8EB}" name="Total Seals per LEA" totalsRowFunction="sum" dataDxfId="889" totalsRowDxfId="888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Barb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C5477BE-B9B3-4202-A3B4-5FFAD85A8F16}" name="SantaClara" displayName="SantaClara" ref="A2:Z24" totalsRowCount="1" headerRowDxfId="887" dataDxfId="886">
  <autoFilter ref="A2:Z23" xr:uid="{00000000-0009-0000-0100-00001C000000}"/>
  <tableColumns count="26">
    <tableColumn id="1" xr3:uid="{6A35D1B6-113F-4BE4-AB12-613E05F3ED6A}" name="Participating Districts" totalsRowLabel="Total: 21" dataDxfId="885" totalsRowDxfId="884"/>
    <tableColumn id="2" xr3:uid="{32BA76DA-08D0-466D-A15C-C61AE5329859}" name="Participating Schools" totalsRowLabel="56" dataDxfId="883" totalsRowDxfId="882"/>
    <tableColumn id="3" xr3:uid="{41640DEB-EEA1-402B-B942-F642585D9C7F}" name="American Sign Language Total" totalsRowFunction="sum" dataDxfId="881" totalsRowDxfId="880"/>
    <tableColumn id="4" xr3:uid="{8B650BD0-9F29-4BF8-922B-F0138D10DA5E}" name="Arabic Total" totalsRowFunction="sum" dataDxfId="879" totalsRowDxfId="878"/>
    <tableColumn id="5" xr3:uid="{7B4E8775-9AE1-4BF0-A583-6682F53B2741}" name="Armenian Total" totalsRowFunction="sum" dataDxfId="877" totalsRowDxfId="876"/>
    <tableColumn id="22" xr3:uid="{25AFC663-C436-4238-95BE-A708FD26184A}" name="Bengali Total" totalsRowFunction="sum" dataDxfId="875" totalsRowDxfId="874"/>
    <tableColumn id="18" xr3:uid="{935C5E24-2190-4EBD-ACC1-B81AA821CC7E}" name="Chinese (Mandarin or Cantonese) Total" totalsRowFunction="sum" dataDxfId="873" totalsRowDxfId="872"/>
    <tableColumn id="23" xr3:uid="{E7B9F128-EA0C-4FFF-B670-E8C922ACABCA}" name="Farsi (Persian) Total" totalsRowFunction="sum" dataDxfId="871" totalsRowDxfId="870"/>
    <tableColumn id="6" xr3:uid="{FD204F37-5EA0-4D28-98B5-6B341512EB44}" name="French Total" totalsRowFunction="sum" dataDxfId="869" totalsRowDxfId="868"/>
    <tableColumn id="7" xr3:uid="{6A73990F-F73B-4C3B-93F3-974277895367}" name="German Total" totalsRowFunction="sum" dataDxfId="867" totalsRowDxfId="866"/>
    <tableColumn id="19" xr3:uid="{AC8FFF55-C84A-41C3-BECA-536645B72001}" name="Hebrew Total" totalsRowFunction="sum" dataDxfId="865" totalsRowDxfId="864"/>
    <tableColumn id="24" xr3:uid="{E53C238C-B858-4481-91DA-E5CC404105E3}" name="Hindi Total" totalsRowFunction="sum" dataDxfId="863" totalsRowDxfId="862"/>
    <tableColumn id="8" xr3:uid="{A36AD90D-FD0C-4E7E-A2FB-EED20535B649}" name="Hmong Total" totalsRowFunction="sum" dataDxfId="861" totalsRowDxfId="860"/>
    <tableColumn id="9" xr3:uid="{99883B74-C7D5-4688-AF34-AF14BD0CD5E9}" name="Italian Total" totalsRowFunction="sum" dataDxfId="859" totalsRowDxfId="858"/>
    <tableColumn id="10" xr3:uid="{1D475F42-FF09-4E96-B7D1-266572722EE1}" name="Japanese Total" totalsRowFunction="sum" dataDxfId="857" totalsRowDxfId="856"/>
    <tableColumn id="11" xr3:uid="{90F0B3F0-EE3B-495B-BC0F-D98553B1E01F}" name="Korean Total" totalsRowFunction="sum" dataDxfId="855" totalsRowDxfId="854"/>
    <tableColumn id="12" xr3:uid="{7F939D31-FEFE-4C6A-B484-4EBDB03FDA7C}" name="Latin Total" totalsRowFunction="sum" dataDxfId="853" totalsRowDxfId="852"/>
    <tableColumn id="13" xr3:uid="{30EA8885-3175-4E67-8B19-2408B6DBCF1C}" name="Portuguese Total" totalsRowFunction="sum" dataDxfId="851" totalsRowDxfId="850"/>
    <tableColumn id="25" xr3:uid="{6CA9F5B0-BE08-44A9-A8C4-C3AD22F0022C}" name="Punjabi Total" totalsRowFunction="sum" dataDxfId="849" totalsRowDxfId="848"/>
    <tableColumn id="20" xr3:uid="{2ABED9AC-4B46-498F-AD2F-DAD00513E487}" name="Russian Total" totalsRowFunction="sum" dataDxfId="847" totalsRowDxfId="846"/>
    <tableColumn id="14" xr3:uid="{92AA0E9E-FAFE-436B-B5B0-D634B0D60B4D}" name="Spanish Total" totalsRowFunction="sum" dataDxfId="845" totalsRowDxfId="844"/>
    <tableColumn id="15" xr3:uid="{9404B2DF-078E-4263-AE79-C493C31F0537}" name="Tagalog (Filipino) Total" totalsRowFunction="sum" dataDxfId="843" totalsRowDxfId="842"/>
    <tableColumn id="26" xr3:uid="{CD705805-3281-4F52-A4DA-AF4521DFFE83}" name="Urdu Total" totalsRowFunction="sum" dataDxfId="841" totalsRowDxfId="840"/>
    <tableColumn id="16" xr3:uid="{AE5DFA2E-72D7-4A41-9E6E-9C6D242B0274}" name="Vietnamese Total" totalsRowFunction="sum" dataDxfId="839" totalsRowDxfId="838"/>
    <tableColumn id="17" xr3:uid="{96B6EDBC-2485-41A9-9614-0C828CC24F29}" name="Other Total" totalsRowFunction="sum" dataDxfId="837" totalsRowDxfId="836"/>
    <tableColumn id="21" xr3:uid="{B36CE047-A1DC-4DBF-AFFB-4D5AF0A159CA}" name="Total Seals per LEA" totalsRowFunction="sum" dataDxfId="835" totalsRowDxfId="834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lara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711AF7E-513F-4C5B-AC28-4CE0B31F0E77}" name="SantaCruz" displayName="SantaCruz" ref="A2:Z11" totalsRowCount="1" headerRowDxfId="833" dataDxfId="832" totalsRowDxfId="831">
  <autoFilter ref="A2:Z10" xr:uid="{00000000-0009-0000-0100-00001C000000}"/>
  <tableColumns count="26">
    <tableColumn id="1" xr3:uid="{21AA9042-354C-477E-9DEA-32B55ACE53E3}" name="Participating Districts" totalsRowLabel="Total: 8" dataDxfId="830" totalsRowDxfId="829"/>
    <tableColumn id="2" xr3:uid="{5E2D0DCB-F79C-467D-B9A5-B1F96FDF473D}" name="Participating Schools" totalsRowLabel="16" dataDxfId="828" totalsRowDxfId="827"/>
    <tableColumn id="3" xr3:uid="{4D9FBABA-A986-4AD2-B304-FC086E78950E}" name="American Sign Language Total" totalsRowFunction="sum" dataDxfId="826" totalsRowDxfId="825"/>
    <tableColumn id="4" xr3:uid="{15DB5A7B-07FD-4C93-81C9-BF3623679F1A}" name="Arabic Total" totalsRowFunction="sum" dataDxfId="824" totalsRowDxfId="823"/>
    <tableColumn id="5" xr3:uid="{3EC4870D-FAEB-47F8-9F43-316EE6E30594}" name="Armenian Total" totalsRowFunction="sum" dataDxfId="822" totalsRowDxfId="821"/>
    <tableColumn id="22" xr3:uid="{75CB2DB2-C0F0-4943-BAD6-6E0DB95467BA}" name="Bengali Total" totalsRowFunction="sum" dataDxfId="820" totalsRowDxfId="819"/>
    <tableColumn id="18" xr3:uid="{506A5343-597B-45B7-BF47-73839C5190DB}" name="Chinese (Mandarin or Cantonese) Total" totalsRowFunction="sum" dataDxfId="818" totalsRowDxfId="817"/>
    <tableColumn id="23" xr3:uid="{3E97EC89-BC17-4DC2-BC1A-02340637A634}" name="Farsi (Persian) Total" totalsRowFunction="sum" dataDxfId="816" totalsRowDxfId="815"/>
    <tableColumn id="6" xr3:uid="{B0FF39BC-B999-4076-8BA4-F3D9BCCADE5D}" name="French Total" totalsRowFunction="sum" dataDxfId="814" totalsRowDxfId="813"/>
    <tableColumn id="7" xr3:uid="{C06AACE5-1D8B-4132-809E-84B5BC156850}" name="German Total" totalsRowFunction="sum" dataDxfId="812" totalsRowDxfId="811"/>
    <tableColumn id="19" xr3:uid="{03ACD092-B673-4A6B-998A-1243BD9E4781}" name="Hebrew Total" totalsRowFunction="sum" dataDxfId="810" totalsRowDxfId="809"/>
    <tableColumn id="24" xr3:uid="{F1CC0270-2699-40EA-9CAB-F51C6A96FA7F}" name="Hindi Total" totalsRowFunction="sum" dataDxfId="808" totalsRowDxfId="807"/>
    <tableColumn id="8" xr3:uid="{39FCBF84-003F-4522-9004-434DBA77C13A}" name="Hmong Total" totalsRowFunction="sum" dataDxfId="806" totalsRowDxfId="805"/>
    <tableColumn id="9" xr3:uid="{B2A17A26-F0F1-4EF6-89F6-209DB0024012}" name="Italian Total" totalsRowFunction="sum" dataDxfId="804" totalsRowDxfId="803"/>
    <tableColumn id="10" xr3:uid="{A11AC79E-D320-4A61-AA97-4A251F49E4AC}" name="Japanese Total" totalsRowFunction="sum" dataDxfId="802" totalsRowDxfId="801"/>
    <tableColumn id="11" xr3:uid="{004EDDE0-1059-48B5-B0F3-9A23E00DD8AB}" name="Korean Total" totalsRowFunction="sum" dataDxfId="800" totalsRowDxfId="799"/>
    <tableColumn id="12" xr3:uid="{28C82A11-486C-403D-9FF9-FC2B0C6305E9}" name="Latin Total" totalsRowFunction="sum" dataDxfId="798" totalsRowDxfId="797"/>
    <tableColumn id="13" xr3:uid="{58843A55-ED1A-4B55-8F87-2DF5FD4A64CA}" name="Portuguese Total" totalsRowFunction="sum" dataDxfId="796" totalsRowDxfId="795"/>
    <tableColumn id="25" xr3:uid="{09EA6439-4F1B-4C5E-BC9A-98502CA23B58}" name="Punjabi Total" totalsRowFunction="sum" dataDxfId="794" totalsRowDxfId="793"/>
    <tableColumn id="20" xr3:uid="{CEBC2CCE-748B-414A-B7D9-09A37E86096D}" name="Russian Total" totalsRowFunction="sum" dataDxfId="792" totalsRowDxfId="791"/>
    <tableColumn id="14" xr3:uid="{D9B4BB5E-9A69-40F4-9822-2439E692C244}" name="Spanish Total" totalsRowFunction="sum" dataDxfId="790" totalsRowDxfId="789"/>
    <tableColumn id="15" xr3:uid="{16A86FD1-B791-4DD2-BFAF-D7F4A1E652B4}" name="Tagalog (Filipino) Total" totalsRowFunction="sum" dataDxfId="788" totalsRowDxfId="787"/>
    <tableColumn id="26" xr3:uid="{10CF1D1E-F3A8-4613-A7B8-3EEAF1DA1665}" name="Urdu Total" totalsRowFunction="sum" dataDxfId="786" totalsRowDxfId="785"/>
    <tableColumn id="16" xr3:uid="{6FAE22A8-1203-40C5-82BA-EB5E39A080E3}" name="Vietnamese Total" totalsRowFunction="sum" dataDxfId="784" totalsRowDxfId="783"/>
    <tableColumn id="17" xr3:uid="{7B39310B-A7F7-4E57-82D8-2C4461439C68}" name="Other Total" totalsRowFunction="sum" dataDxfId="782" totalsRowDxfId="781"/>
    <tableColumn id="21" xr3:uid="{37F1D0F2-01D1-46E1-A9B6-86A8B37B54C7}" name="Total Seals per LEA" totalsRowFunction="sum" dataDxfId="780" totalsRowDxfId="77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ruz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D587CC2-E6EA-48F8-87C5-6C7D63B59066}" name="Shasta" displayName="Shasta" ref="A2:Z5" totalsRowCount="1" headerRowDxfId="778" dataDxfId="777">
  <autoFilter ref="A2:Z4" xr:uid="{00000000-0009-0000-0100-00001C000000}"/>
  <tableColumns count="26">
    <tableColumn id="1" xr3:uid="{CFEE4884-152D-4DB6-8223-2CE18590F47D}" name="Participating Districts" totalsRowLabel="Total: 2" dataDxfId="776" totalsRowDxfId="775"/>
    <tableColumn id="2" xr3:uid="{63E8644B-047E-47D7-99BD-50EBA6C9270C}" name="Participating Schools" totalsRowLabel="2" dataDxfId="774" totalsRowDxfId="773"/>
    <tableColumn id="3" xr3:uid="{0BC733E3-E6B9-4A3D-B3F2-7BC0393FEC7F}" name="American Sign Language Total" totalsRowFunction="sum" dataDxfId="772" totalsRowDxfId="771"/>
    <tableColumn id="4" xr3:uid="{2AAFA4C8-E232-43BA-A801-C9440CBBDE66}" name="Arabic Total" totalsRowFunction="sum" dataDxfId="770" totalsRowDxfId="769"/>
    <tableColumn id="5" xr3:uid="{65C87AD8-3A3C-4F3E-AEE4-56A0C2E7E5D5}" name="Armenian Total" totalsRowFunction="sum" dataDxfId="768" totalsRowDxfId="767"/>
    <tableColumn id="22" xr3:uid="{DE59437A-58FE-421A-A35B-1F97F17844A6}" name="Bengali Total" totalsRowFunction="sum" dataDxfId="766" totalsRowDxfId="765"/>
    <tableColumn id="18" xr3:uid="{50BB362F-D84E-42AA-954C-41345E8D5C6C}" name="Chinese (Mandarin or Cantonese) Total" totalsRowFunction="sum" dataDxfId="764" totalsRowDxfId="763"/>
    <tableColumn id="23" xr3:uid="{302589C5-CBFA-49E0-943C-FE57325867CB}" name="Farsi (Persian) Total" totalsRowFunction="sum" dataDxfId="762" totalsRowDxfId="761"/>
    <tableColumn id="6" xr3:uid="{3F1158D3-0EDD-4CEB-82F1-2A103A0F20EB}" name="French Total" totalsRowFunction="sum" dataDxfId="760" totalsRowDxfId="759"/>
    <tableColumn id="7" xr3:uid="{BE8F93D6-20E7-4F52-AAA9-7E9161E071A9}" name="German Total" totalsRowFunction="sum" dataDxfId="758" totalsRowDxfId="757"/>
    <tableColumn id="19" xr3:uid="{9E0C3C9B-23A9-4120-82CC-9909BA47DDBA}" name="Hebrew Total" totalsRowFunction="sum" dataDxfId="756" totalsRowDxfId="755"/>
    <tableColumn id="24" xr3:uid="{8FD93BEC-237E-4331-81F4-CD261616425D}" name="Hindi Total" totalsRowFunction="sum" dataDxfId="754" totalsRowDxfId="753"/>
    <tableColumn id="8" xr3:uid="{CED7C981-3B35-4139-939F-84FAA4CAF192}" name="Hmong Total" totalsRowFunction="sum" dataDxfId="752" totalsRowDxfId="751"/>
    <tableColumn id="9" xr3:uid="{8C2384B5-D3BD-4055-9292-E2E67F4F7B64}" name="Italian Total" totalsRowFunction="sum" dataDxfId="750" totalsRowDxfId="749"/>
    <tableColumn id="10" xr3:uid="{0FA6122E-D899-41CE-8C94-900D6DD24C93}" name="Japanese Total" totalsRowFunction="sum" dataDxfId="748" totalsRowDxfId="747"/>
    <tableColumn id="11" xr3:uid="{D0F20264-E2F0-484B-BE89-DFAAC77CF346}" name="Korean Total" totalsRowFunction="sum" dataDxfId="746" totalsRowDxfId="745"/>
    <tableColumn id="12" xr3:uid="{A6B75D6F-B54B-4BAD-8DE4-B9E4BE278210}" name="Latin Total" totalsRowFunction="sum" dataDxfId="744" totalsRowDxfId="743"/>
    <tableColumn id="13" xr3:uid="{41B0A926-DA85-4B45-8BD9-E47F11ADF445}" name="Portuguese Total" totalsRowFunction="sum" dataDxfId="742" totalsRowDxfId="741"/>
    <tableColumn id="25" xr3:uid="{9241326E-1DFA-487D-A3A4-068EEBF5B1AB}" name="Punjabi Total" totalsRowFunction="sum" dataDxfId="740" totalsRowDxfId="739"/>
    <tableColumn id="20" xr3:uid="{B9B0FCED-775F-4EA5-9BFA-00E9AC52A1B7}" name="Russian Total" totalsRowFunction="sum" dataDxfId="738" totalsRowDxfId="737"/>
    <tableColumn id="14" xr3:uid="{6F5931EA-7BA4-45D9-98A5-148B2F9EACCB}" name="Spanish Total" totalsRowFunction="sum" dataDxfId="736" totalsRowDxfId="735"/>
    <tableColumn id="15" xr3:uid="{D0870A40-B81B-4B95-AFED-2C152F31FB88}" name="Tagalog (Filipino) Total" totalsRowFunction="sum" dataDxfId="734" totalsRowDxfId="733"/>
    <tableColumn id="26" xr3:uid="{2FDDCB25-A5FA-45A1-B4D8-5CDBB79CC793}" name="Urdu Total" totalsRowFunction="sum" dataDxfId="732" totalsRowDxfId="731"/>
    <tableColumn id="16" xr3:uid="{F92EDE15-6478-4A49-B247-381343C53ED7}" name="Vietnamese Total" totalsRowFunction="sum" dataDxfId="730" totalsRowDxfId="729"/>
    <tableColumn id="17" xr3:uid="{1FC8E5DE-79A8-45EB-8652-CD3678F79BAE}" name="Other Total" totalsRowFunction="sum" dataDxfId="728" totalsRowDxfId="727"/>
    <tableColumn id="21" xr3:uid="{81467050-3A27-4A2E-8046-C8EB441E8D68}" name="Total Seals per LEA" totalsRowFunction="sum" dataDxfId="726" totalsRowDxfId="72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hasta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6253F99-EF31-4792-A46A-406692E4836D}" name="Sierra" displayName="Sierra" ref="A2:Z4" totalsRowCount="1" headerRowDxfId="724" dataDxfId="723">
  <autoFilter ref="A2:Z3" xr:uid="{00000000-0009-0000-0100-00001C000000}"/>
  <tableColumns count="26">
    <tableColumn id="1" xr3:uid="{AFDBF711-3A5F-4BD4-9193-34713A977349}" name="Participating Districts" totalsRowLabel="Total: 1" dataDxfId="722" totalsRowDxfId="721"/>
    <tableColumn id="2" xr3:uid="{EACAE5F0-A41F-47B1-B53B-329C24D94AF1}" name="Participating Schools" totalsRowLabel="1" dataDxfId="720" totalsRowDxfId="719"/>
    <tableColumn id="3" xr3:uid="{297F7174-38B1-4748-A4AD-F2E8892FD288}" name="American Sign Language Total" totalsRowFunction="sum" dataDxfId="718" totalsRowDxfId="717"/>
    <tableColumn id="4" xr3:uid="{D2134651-558F-4F06-ACCD-67563D3E87A2}" name="Arabic Total" totalsRowFunction="sum" dataDxfId="716" totalsRowDxfId="715"/>
    <tableColumn id="5" xr3:uid="{B3242FE9-E2A1-4050-83D7-78C15795F865}" name="Armenian Total" totalsRowFunction="sum" dataDxfId="714" totalsRowDxfId="713"/>
    <tableColumn id="22" xr3:uid="{CC7F5D34-D429-44B4-BB50-255AF1989C64}" name="Bengali Total" totalsRowFunction="sum" dataDxfId="712" totalsRowDxfId="711"/>
    <tableColumn id="18" xr3:uid="{EFC354F0-CF4B-4681-94D1-7F06C0FB4247}" name="Chinese (Mandarin or Cantonese) Total" totalsRowFunction="sum" dataDxfId="710" totalsRowDxfId="709"/>
    <tableColumn id="23" xr3:uid="{CF2C48F4-DA6B-408D-9C95-58C35B96342C}" name="Farsi (Persian) Total" totalsRowFunction="sum" dataDxfId="708" totalsRowDxfId="707"/>
    <tableColumn id="6" xr3:uid="{FB1B30B9-2279-48F0-A0AB-3DD5F7656C85}" name="French Total" totalsRowFunction="sum" dataDxfId="706" totalsRowDxfId="705"/>
    <tableColumn id="7" xr3:uid="{27787A66-8B23-4240-ADFB-5F285D64D4CF}" name="German Total" totalsRowFunction="sum" dataDxfId="704" totalsRowDxfId="703"/>
    <tableColumn id="19" xr3:uid="{F3A5A041-97A5-4207-AB30-F3DAE650E6AE}" name="Hebrew Total" totalsRowFunction="sum" dataDxfId="702" totalsRowDxfId="701"/>
    <tableColumn id="24" xr3:uid="{0802B58A-3CC5-4CD9-B8CB-301430905AB0}" name="Hindi Total" totalsRowFunction="sum" dataDxfId="700" totalsRowDxfId="699"/>
    <tableColumn id="8" xr3:uid="{B020E6FD-D3E1-4555-9EC3-6816E15E4410}" name="Hmong Total" totalsRowFunction="sum" dataDxfId="698" totalsRowDxfId="697"/>
    <tableColumn id="9" xr3:uid="{FFF694D1-0764-4B19-8801-52F7026778A6}" name="Italian Total" totalsRowFunction="sum" dataDxfId="696" totalsRowDxfId="695"/>
    <tableColumn id="10" xr3:uid="{835DC55F-A812-4CE8-9C29-8B541AA45116}" name="Japanese Total" totalsRowFunction="sum" dataDxfId="694" totalsRowDxfId="693"/>
    <tableColumn id="11" xr3:uid="{D5C50EE2-3863-4388-9783-B2BD665D66CD}" name="Korean Total" totalsRowFunction="sum" dataDxfId="692" totalsRowDxfId="691"/>
    <tableColumn id="12" xr3:uid="{C07254B2-A09E-4385-BC7B-8BC0B78F7293}" name="Latin Total" totalsRowFunction="sum" dataDxfId="690" totalsRowDxfId="689"/>
    <tableColumn id="13" xr3:uid="{1A7E3951-14C7-4ADC-93B5-797CAFDCFB61}" name="Portuguese Total" totalsRowFunction="sum" dataDxfId="688" totalsRowDxfId="687"/>
    <tableColumn id="25" xr3:uid="{8A10729D-8424-4EC5-BC1C-8BFF1342E009}" name="Punjabi Total" totalsRowFunction="sum" dataDxfId="686" totalsRowDxfId="685"/>
    <tableColumn id="20" xr3:uid="{5DA749C6-ED9E-4260-BAE9-66019AF0B82E}" name="Russian Total" totalsRowFunction="sum" dataDxfId="684" totalsRowDxfId="683"/>
    <tableColumn id="14" xr3:uid="{E03C4525-3512-46EC-93D9-867F14289342}" name="Spanish Total" totalsRowFunction="sum" dataDxfId="682" totalsRowDxfId="681"/>
    <tableColumn id="15" xr3:uid="{EE353316-B4AB-4264-B960-D553F0748840}" name="Tagalog (Filipino) Total" totalsRowFunction="sum" dataDxfId="680" totalsRowDxfId="679"/>
    <tableColumn id="26" xr3:uid="{BFB1E5F3-16D1-42CE-B0FA-DF30CD0F6BA6}" name="Urdu Total" totalsRowFunction="sum" dataDxfId="678" totalsRowDxfId="677"/>
    <tableColumn id="16" xr3:uid="{30DD06EB-82D5-4ECB-B0B4-D0A47A74A0FC}" name="Vietnamese Total" totalsRowFunction="sum" dataDxfId="676" totalsRowDxfId="675"/>
    <tableColumn id="17" xr3:uid="{A0E6CCB8-0B93-48F7-A87E-D88E4EEA3029}" name="Other Total" totalsRowFunction="sum" dataDxfId="674" totalsRowDxfId="673"/>
    <tableColumn id="21" xr3:uid="{25684D14-BBD0-48A6-8975-D20D74614B2C}" name="Total Seals per LEA" totalsRowFunction="sum" dataDxfId="672" totalsRowDxfId="671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ierr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D482C62-D3DE-4BBB-826F-A4CB11622773}" name="Siskiyou" displayName="Siskiyou" ref="A2:Z4" totalsRowCount="1" headerRowDxfId="670" dataDxfId="669">
  <autoFilter ref="A2:Z3" xr:uid="{00000000-0009-0000-0100-00001C000000}"/>
  <tableColumns count="26">
    <tableColumn id="1" xr3:uid="{3E439223-6A67-4B72-8530-EE133C8E3CE4}" name="Participating Districts" totalsRowLabel="Total: 1" dataDxfId="668" totalsRowDxfId="667"/>
    <tableColumn id="2" xr3:uid="{ADC2C8A4-C728-4B9A-A095-B7A412866B64}" name="Participating Schools" totalsRowLabel="1" dataDxfId="666" totalsRowDxfId="665"/>
    <tableColumn id="3" xr3:uid="{58139526-D6B8-4A53-8FF6-6E8F221CCDC3}" name="American Sign Language Total" totalsRowFunction="sum" dataDxfId="664" totalsRowDxfId="663"/>
    <tableColumn id="4" xr3:uid="{890B813D-2F35-4706-AD8E-1B10FF233175}" name="Arabic Total" totalsRowFunction="sum" dataDxfId="662" totalsRowDxfId="661"/>
    <tableColumn id="5" xr3:uid="{768E54FA-58DE-4CDA-AE42-8631F6D41FC9}" name="Armenian Total" totalsRowFunction="sum" dataDxfId="660" totalsRowDxfId="659"/>
    <tableColumn id="22" xr3:uid="{8DDD7C6A-26A8-4F4E-B43D-5755328C6F35}" name="Bengali Total" totalsRowFunction="sum" dataDxfId="658" totalsRowDxfId="657"/>
    <tableColumn id="18" xr3:uid="{F81CFA08-D9A5-4432-9FC1-2132D0C532C4}" name="Chinese (Mandarin or Cantonese) Total" totalsRowFunction="sum" dataDxfId="656" totalsRowDxfId="655"/>
    <tableColumn id="23" xr3:uid="{670F6DCB-B413-4F03-8F50-48F704467904}" name="Farsi (Persian) Total" totalsRowFunction="sum" dataDxfId="654" totalsRowDxfId="653"/>
    <tableColumn id="6" xr3:uid="{60E064D8-7C29-47BC-B185-940B656A40D9}" name="French Total" totalsRowFunction="sum" dataDxfId="652" totalsRowDxfId="651"/>
    <tableColumn id="7" xr3:uid="{56CED717-4552-49AD-BEA1-BC0486C19EF2}" name="German Total" totalsRowFunction="sum" dataDxfId="650" totalsRowDxfId="649"/>
    <tableColumn id="19" xr3:uid="{E598889D-F5C5-4C45-9C25-EC0FA0B2DD4A}" name="Hebrew Total" totalsRowFunction="sum" dataDxfId="648" totalsRowDxfId="647"/>
    <tableColumn id="24" xr3:uid="{A5AE79F6-0C16-465C-A98C-34CA0FBF7ADD}" name="Hindi Total" totalsRowFunction="sum" dataDxfId="646" totalsRowDxfId="645"/>
    <tableColumn id="8" xr3:uid="{7B4CFD05-99C4-49FD-BD0C-51CBDAC96938}" name="Hmong Total" totalsRowFunction="sum" dataDxfId="644" totalsRowDxfId="643"/>
    <tableColumn id="9" xr3:uid="{071EB8B4-4AEE-4C8B-88FE-68C2547066ED}" name="Italian Total" totalsRowFunction="sum" dataDxfId="642" totalsRowDxfId="641"/>
    <tableColumn id="10" xr3:uid="{9B25BF90-1967-4F5E-A068-2FD19D3B500A}" name="Japanese Total" totalsRowFunction="sum" dataDxfId="640" totalsRowDxfId="639"/>
    <tableColumn id="11" xr3:uid="{9BE9C68E-2353-4ECA-9402-8CA66BA71FEA}" name="Korean Total" totalsRowFunction="sum" dataDxfId="638" totalsRowDxfId="637"/>
    <tableColumn id="12" xr3:uid="{9787FCAF-35BD-46BB-B21A-4CF8094DA7E2}" name="Latin Total" totalsRowFunction="sum" dataDxfId="636" totalsRowDxfId="635"/>
    <tableColumn id="13" xr3:uid="{8537A26D-F0C2-4429-AA8F-29D0BDEB9B75}" name="Portuguese Total" totalsRowFunction="sum" dataDxfId="634" totalsRowDxfId="633"/>
    <tableColumn id="25" xr3:uid="{6DE9D6E9-8DF7-41FB-9811-9C853F474380}" name="Punjabi Total" totalsRowFunction="sum" dataDxfId="632" totalsRowDxfId="631"/>
    <tableColumn id="20" xr3:uid="{98FFCE60-0A40-4290-930C-4FA00778EBBA}" name="Russian Total" totalsRowFunction="sum" dataDxfId="630" totalsRowDxfId="629"/>
    <tableColumn id="14" xr3:uid="{99D11FA9-41A5-4798-9AC7-5B169A46DDA1}" name="Spanish Total" totalsRowFunction="sum" dataDxfId="628" totalsRowDxfId="627"/>
    <tableColumn id="15" xr3:uid="{EF38599B-A1B5-4853-83E7-6ABAB89ED5D1}" name="Tagalog (Filipino) Total" totalsRowFunction="sum" dataDxfId="626" totalsRowDxfId="625"/>
    <tableColumn id="26" xr3:uid="{57E84BE7-FBE0-4D8C-811E-FE4899EFAE85}" name="Urdu Total" totalsRowFunction="sum" dataDxfId="624" totalsRowDxfId="623"/>
    <tableColumn id="16" xr3:uid="{BB0F62A9-9991-4465-A153-41A3C1073E5D}" name="Vietnamese Total" totalsRowFunction="sum" dataDxfId="622" totalsRowDxfId="621"/>
    <tableColumn id="17" xr3:uid="{75D0EB08-E411-4DDF-8E06-F4AB67DB385D}" name="Other Total" totalsRowFunction="sum" dataDxfId="620" totalsRowDxfId="619"/>
    <tableColumn id="21" xr3:uid="{106AC423-4685-448A-A24B-549AA048F172}" name="Total Seals per LEA" totalsRowFunction="sum" dataDxfId="618" totalsRowDxfId="617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iskiyou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5D2CE8-C70F-453D-A043-BA12D22292A7}" name="Solano" displayName="Solano" ref="A2:Z11" totalsRowCount="1" headerRowDxfId="616" dataDxfId="615">
  <autoFilter ref="A2:Z10" xr:uid="{00000000-0009-0000-0100-00001C000000}"/>
  <tableColumns count="26">
    <tableColumn id="1" xr3:uid="{2606B274-3FDC-47E8-8C3E-50A81AE1BC4C}" name="Participating Districts" totalsRowLabel="Total: 8" totalsRowDxfId="614"/>
    <tableColumn id="2" xr3:uid="{E1A47E7D-642F-47F4-88CB-0AE4284B0067}" name="Participating Schools" totalsRowLabel="14" totalsRowDxfId="613"/>
    <tableColumn id="3" xr3:uid="{99DBF4CF-4952-4749-A84B-12B962B82790}" name="American Sign Language Total" totalsRowFunction="sum" dataDxfId="612" totalsRowDxfId="611"/>
    <tableColumn id="4" xr3:uid="{2C772517-0732-4A9D-A79B-E80CB11DFBA5}" name="Arabic Total" totalsRowFunction="sum" dataDxfId="610" totalsRowDxfId="609"/>
    <tableColumn id="5" xr3:uid="{4CA6BD1C-1BE0-4E97-981F-162944D2A821}" name="Armenian Total" totalsRowFunction="sum" dataDxfId="608" totalsRowDxfId="607"/>
    <tableColumn id="22" xr3:uid="{BE833566-5162-4A8D-A94A-9F3C2C732B83}" name="Bengali Total" totalsRowFunction="sum" dataDxfId="606" totalsRowDxfId="605"/>
    <tableColumn id="18" xr3:uid="{62B39F7E-155C-4E9F-9738-27E6B9EE80BB}" name="Chinese (Mandarin or Cantonese) Total" totalsRowFunction="sum" dataDxfId="604" totalsRowDxfId="603"/>
    <tableColumn id="23" xr3:uid="{310E5C72-013E-4C89-A39E-ADC8494748CE}" name="Farsi (Persian) Total" totalsRowFunction="sum" dataDxfId="602" totalsRowDxfId="601"/>
    <tableColumn id="6" xr3:uid="{DCC9A2F5-208A-47A3-9F76-B90945FC13AE}" name="French Total" totalsRowFunction="sum" dataDxfId="600" totalsRowDxfId="599"/>
    <tableColumn id="7" xr3:uid="{C80BF9F3-6029-442E-A499-20CF6FCFC225}" name="German Total" totalsRowFunction="sum" dataDxfId="598" totalsRowDxfId="597"/>
    <tableColumn id="19" xr3:uid="{46935D95-3CB8-4D7E-BAF0-36F1FC8CDBC8}" name="Hebrew Total" totalsRowFunction="sum" dataDxfId="596" totalsRowDxfId="595"/>
    <tableColumn id="24" xr3:uid="{CF2E8E80-023A-4753-BAF6-27D477B2A77B}" name="Hindi Total" totalsRowFunction="sum" dataDxfId="594" totalsRowDxfId="593"/>
    <tableColumn id="8" xr3:uid="{08D58ED5-99C4-4CA1-8342-5AFEB3DAB74E}" name="Hmong Total" totalsRowFunction="sum" dataDxfId="592" totalsRowDxfId="591"/>
    <tableColumn id="9" xr3:uid="{7EF4AC17-9B33-4014-8932-E019079FD416}" name="Italian Total" totalsRowFunction="sum" dataDxfId="590" totalsRowDxfId="589"/>
    <tableColumn id="10" xr3:uid="{A01F65AA-CB38-4AB3-A2E9-4A5C38589CC6}" name="Japanese Total" totalsRowFunction="sum" dataDxfId="588" totalsRowDxfId="587"/>
    <tableColumn id="11" xr3:uid="{BF107AF9-1BE9-4419-83EE-DE8C01E7D6FA}" name="Korean Total" totalsRowFunction="sum" dataDxfId="586" totalsRowDxfId="585"/>
    <tableColumn id="12" xr3:uid="{E0A3EC57-7C53-4E31-BD63-67DA0B0C0DB4}" name="Latin Total" totalsRowFunction="sum" dataDxfId="584" totalsRowDxfId="583"/>
    <tableColumn id="13" xr3:uid="{393929D8-4D3E-40FD-9A69-A3A379AADEC5}" name="Portuguese Total" totalsRowFunction="sum" dataDxfId="582" totalsRowDxfId="581"/>
    <tableColumn id="25" xr3:uid="{9BE40453-B2D3-4784-81E1-8EC560770720}" name="Punjabi Total" totalsRowFunction="sum" dataDxfId="580" totalsRowDxfId="579"/>
    <tableColumn id="20" xr3:uid="{863E65E4-C381-4CBF-931C-E191663D7B34}" name="Russian Total" totalsRowFunction="sum" dataDxfId="578" totalsRowDxfId="577"/>
    <tableColumn id="14" xr3:uid="{0AD7D65C-CB9E-402F-A9A7-72B3CB8CD90D}" name="Spanish Total" totalsRowFunction="sum" dataDxfId="576" totalsRowDxfId="575"/>
    <tableColumn id="15" xr3:uid="{96A82025-6811-4C1B-97BD-B9F97756CDC4}" name="Tagalog (Filipino) Total" totalsRowFunction="sum" dataDxfId="574" totalsRowDxfId="573"/>
    <tableColumn id="26" xr3:uid="{DDEE0D8F-1365-4B87-A0FA-69C53E72A269}" name="Urdu Total" totalsRowFunction="sum" dataDxfId="572" totalsRowDxfId="571"/>
    <tableColumn id="16" xr3:uid="{109C3670-0BA4-435C-A3E2-8C95061B3042}" name="Vietnamese Total" totalsRowFunction="sum" dataDxfId="570" totalsRowDxfId="569"/>
    <tableColumn id="17" xr3:uid="{25B177A1-38FC-4BC1-8512-3D732803911B}" name="Other Total" totalsRowFunction="sum" dataDxfId="568" totalsRowDxfId="567"/>
    <tableColumn id="21" xr3:uid="{96BF0BC6-942D-491A-94C5-43CF43EE27F1}" name="Total Seals per LEA" totalsRowFunction="sum" dataDxfId="566" totalsRowDxfId="565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olano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CDF2149-3136-45A0-9FDC-82AE4AF942B1}" name="Sonoma" displayName="Sonoma" ref="A2:Z13" totalsRowCount="1" headerRowDxfId="564" dataDxfId="563">
  <autoFilter ref="A2:Z12" xr:uid="{00000000-0009-0000-0100-00001C000000}"/>
  <tableColumns count="26">
    <tableColumn id="1" xr3:uid="{A5D66A85-90FE-4DFD-86EB-A11767D330C0}" name="Participating Districts" totalsRowLabel="Total: 10" dataDxfId="562" totalsRowDxfId="561"/>
    <tableColumn id="2" xr3:uid="{0052867E-718B-4369-905E-0BA3EC2508B6}" name="Participating Schools" totalsRowLabel="16" dataDxfId="560" totalsRowDxfId="559"/>
    <tableColumn id="3" xr3:uid="{E09C6BFA-7B32-441E-A37F-DE25F6712144}" name="American Sign Language Total" totalsRowFunction="sum" dataDxfId="558" totalsRowDxfId="557"/>
    <tableColumn id="4" xr3:uid="{B39EBC04-4468-4BA6-9C16-412EC8C33C69}" name="Arabic Total" totalsRowFunction="sum" dataDxfId="556" totalsRowDxfId="555"/>
    <tableColumn id="5" xr3:uid="{2DE2A1EA-5D71-46EE-9EA0-3A6EC5EC6471}" name="Armenian Total" totalsRowFunction="sum" dataDxfId="554" totalsRowDxfId="553"/>
    <tableColumn id="22" xr3:uid="{61D73182-08BC-4DAE-A959-8ED8442B96BF}" name="Bengali Total" totalsRowFunction="sum" dataDxfId="552" totalsRowDxfId="551"/>
    <tableColumn id="18" xr3:uid="{C68ECC5F-65EB-43D8-AB03-4A83D5AD37C2}" name="Chinese (Mandarin or Cantonese) Total" totalsRowFunction="sum" dataDxfId="550" totalsRowDxfId="549"/>
    <tableColumn id="23" xr3:uid="{7F4E8D0F-8BDB-4AF0-8738-BC738D3BFB88}" name="Farsi (Persian) Total" totalsRowFunction="sum" dataDxfId="548" totalsRowDxfId="547"/>
    <tableColumn id="6" xr3:uid="{4D0EDCC5-30AA-4A1E-9D94-5B275B271DB0}" name="French Total" totalsRowFunction="sum" dataDxfId="546" totalsRowDxfId="545"/>
    <tableColumn id="7" xr3:uid="{85A41911-78F3-4AFB-9E89-461187FEECBA}" name="German Total" totalsRowFunction="sum" dataDxfId="544" totalsRowDxfId="543"/>
    <tableColumn id="19" xr3:uid="{11980920-A684-4CE8-ADA7-104E6E0D042D}" name="Hebrew Total" totalsRowFunction="sum" dataDxfId="542" totalsRowDxfId="541"/>
    <tableColumn id="24" xr3:uid="{0B813156-3D61-4A4C-A115-7E443D4C50C0}" name="Hindi Total" totalsRowFunction="sum" dataDxfId="540" totalsRowDxfId="539"/>
    <tableColumn id="8" xr3:uid="{BB2E8314-A622-4B38-A51C-3C201847CD74}" name="Hmong Total" totalsRowFunction="sum" dataDxfId="538" totalsRowDxfId="537"/>
    <tableColumn id="9" xr3:uid="{B985EDD4-7012-4B71-9ABC-EAAFABD3C370}" name="Italian Total" totalsRowFunction="sum" dataDxfId="536" totalsRowDxfId="535"/>
    <tableColumn id="10" xr3:uid="{AC702A28-F562-4621-8150-FD8E9DAC7C83}" name="Japanese Total" totalsRowFunction="sum" dataDxfId="534" totalsRowDxfId="533"/>
    <tableColumn id="11" xr3:uid="{1EA1E94E-4C6C-47BA-89FD-5A6C645735C8}" name="Korean Total" totalsRowFunction="sum" dataDxfId="532" totalsRowDxfId="531"/>
    <tableColumn id="12" xr3:uid="{2C24E841-6CE3-43CA-AD32-FB5D067FF625}" name="Latin Total" totalsRowFunction="sum" dataDxfId="530" totalsRowDxfId="529"/>
    <tableColumn id="13" xr3:uid="{C1D4EEC6-107C-4587-923B-6A9DA818F93A}" name="Portuguese Total" totalsRowFunction="sum" dataDxfId="528" totalsRowDxfId="527"/>
    <tableColumn id="25" xr3:uid="{BE31F1C0-BA21-4A85-AB53-8EFCAD0393A3}" name="Punjabi Total" totalsRowFunction="sum" dataDxfId="526" totalsRowDxfId="525"/>
    <tableColumn id="20" xr3:uid="{12FC6EC3-EE8F-48DE-A5FF-335B97A90932}" name="Russian Total" totalsRowFunction="sum" dataDxfId="524" totalsRowDxfId="523"/>
    <tableColumn id="14" xr3:uid="{3D5CA569-AE90-4A3B-9CAD-5CAF44EDE010}" name="Spanish Total" totalsRowFunction="sum" dataDxfId="522" totalsRowDxfId="521"/>
    <tableColumn id="15" xr3:uid="{F94C01AA-8458-44DD-BFC6-9619BD9C55B1}" name="Tagalog (Filipino) Total" totalsRowFunction="sum" dataDxfId="520" totalsRowDxfId="519"/>
    <tableColumn id="26" xr3:uid="{93932746-0DDF-4401-BB21-92BB3A12AC9E}" name="Urdu Total" totalsRowFunction="sum" dataDxfId="518" totalsRowDxfId="517"/>
    <tableColumn id="16" xr3:uid="{A31CDDFF-FA14-4C2B-B657-F7F6684D27B5}" name="Vietnamese Total" totalsRowFunction="sum" dataDxfId="516" totalsRowDxfId="515"/>
    <tableColumn id="17" xr3:uid="{9F11F58F-9EC0-4B36-BE65-9C85991A06A8}" name="Other Total" totalsRowFunction="sum" dataDxfId="514" totalsRowDxfId="513"/>
    <tableColumn id="21" xr3:uid="{659BAF71-6964-478C-A125-74A32E41F8B5}" name="Total Seals per LEA" totalsRowFunction="sum" dataDxfId="512" totalsRowDxfId="511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onoma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34DA0A9-4612-4032-BAC6-54BA4E9A73AB}" name="Stanislaus" displayName="Stanislaus" ref="A2:Z12" totalsRowCount="1" headerRowDxfId="510" dataDxfId="509">
  <autoFilter ref="A2:Z11" xr:uid="{00000000-0009-0000-0100-00001C000000}"/>
  <tableColumns count="26">
    <tableColumn id="1" xr3:uid="{C9629683-CEAF-41CA-9B18-5952A5581ADA}" name="Participating Districts" totalsRowLabel="Total: 9" dataDxfId="508" totalsRowDxfId="507"/>
    <tableColumn id="2" xr3:uid="{F3471BE8-BE4D-4F75-99AF-F7B1C90E6D90}" name="Participating Schools" totalsRowLabel="17" dataDxfId="506" totalsRowDxfId="505"/>
    <tableColumn id="3" xr3:uid="{6150A52D-2009-41FF-86FE-6974D7730478}" name="American Sign Language Total" totalsRowFunction="sum" dataDxfId="504" totalsRowDxfId="503"/>
    <tableColumn id="4" xr3:uid="{B655297E-9580-4930-8664-2256E0AD8929}" name="Arabic Total" totalsRowFunction="sum" dataDxfId="502" totalsRowDxfId="501"/>
    <tableColumn id="5" xr3:uid="{05F1AD8B-5DE0-4464-841A-6BF02447B499}" name="Armenian Total" totalsRowFunction="sum" dataDxfId="500" totalsRowDxfId="499"/>
    <tableColumn id="22" xr3:uid="{244AB9FD-2D98-49E3-A136-F3CCBC780C7E}" name="Bengali Total" totalsRowFunction="sum" dataDxfId="498" totalsRowDxfId="497"/>
    <tableColumn id="18" xr3:uid="{AAEE3507-7DE7-4F51-A9C3-5F3345B48493}" name="Chinese (Mandarin or Cantonese) Total" totalsRowFunction="sum" dataDxfId="496" totalsRowDxfId="495"/>
    <tableColumn id="23" xr3:uid="{8016A566-0799-4AD5-BFBB-E6F99A95F185}" name="Farsi (Persian) Total" totalsRowFunction="sum" dataDxfId="494" totalsRowDxfId="493"/>
    <tableColumn id="6" xr3:uid="{C46C33C6-9207-46C6-9D6D-2DD362C180B6}" name="French Total" totalsRowFunction="sum" dataDxfId="492" totalsRowDxfId="491"/>
    <tableColumn id="7" xr3:uid="{AD28FE71-1366-493C-97F0-A3E9A5734053}" name="German Total" totalsRowFunction="sum" dataDxfId="490" totalsRowDxfId="489"/>
    <tableColumn id="19" xr3:uid="{A4014A28-1D99-42F6-8D5E-7B1030858243}" name="Hebrew Total" totalsRowFunction="sum" dataDxfId="488" totalsRowDxfId="487"/>
    <tableColumn id="24" xr3:uid="{AB152394-542E-405D-8973-E0F84BB8D3C0}" name="Hindi Total" totalsRowFunction="sum" dataDxfId="486" totalsRowDxfId="485"/>
    <tableColumn id="8" xr3:uid="{64649132-CA39-48A9-9916-0928E803E025}" name="Hmong Total" totalsRowFunction="sum" dataDxfId="484" totalsRowDxfId="483"/>
    <tableColumn id="9" xr3:uid="{540D151F-03C3-4393-8F68-62A6639BFA50}" name="Italian Total" totalsRowFunction="sum" dataDxfId="482" totalsRowDxfId="481"/>
    <tableColumn id="10" xr3:uid="{3EC43E94-3951-4AFC-8277-DFF0C60F3D52}" name="Japanese Total" totalsRowFunction="sum" dataDxfId="480" totalsRowDxfId="479"/>
    <tableColumn id="11" xr3:uid="{B7C579A2-96A0-44FD-BFA6-2746B8FA6B03}" name="Korean Total" totalsRowFunction="sum" dataDxfId="478" totalsRowDxfId="477"/>
    <tableColumn id="12" xr3:uid="{20442610-AB80-4C21-903B-9E9DA38B5126}" name="Latin Total" totalsRowFunction="sum" dataDxfId="476" totalsRowDxfId="475"/>
    <tableColumn id="13" xr3:uid="{20A3B207-8866-402B-9425-EEC46570CACF}" name="Portuguese Total" totalsRowFunction="sum" dataDxfId="474" totalsRowDxfId="473"/>
    <tableColumn id="25" xr3:uid="{2B1DEC7A-D315-4C28-BFDD-CAD01A093775}" name="Punjabi Total" totalsRowFunction="sum" dataDxfId="472" totalsRowDxfId="471"/>
    <tableColumn id="20" xr3:uid="{A7E88076-EF2A-4C05-BC0D-0BC16C10BC88}" name="Russian Total" totalsRowFunction="sum" dataDxfId="470" totalsRowDxfId="469"/>
    <tableColumn id="14" xr3:uid="{0DE75190-1A0B-4147-B5E8-A6FB2C7A9D41}" name="Spanish Total" totalsRowFunction="sum" dataDxfId="468" totalsRowDxfId="467"/>
    <tableColumn id="15" xr3:uid="{66AF33AD-116E-45C2-A0D4-89D0F1DD67E9}" name="Tagalog (Filipino) Total" totalsRowFunction="sum" dataDxfId="466" totalsRowDxfId="465"/>
    <tableColumn id="26" xr3:uid="{F49268E4-4A5F-4FE6-BE89-C6606258BEF5}" name="Urdu Total" totalsRowFunction="sum" dataDxfId="464" totalsRowDxfId="463"/>
    <tableColumn id="16" xr3:uid="{AB7CDBAF-9C4E-408B-A4EC-9EB843B06977}" name="Vietnamese Total" totalsRowFunction="sum" dataDxfId="462" totalsRowDxfId="461"/>
    <tableColumn id="17" xr3:uid="{9E56FB2B-F017-45DF-8893-A443C82F9798}" name="Other Total" totalsRowFunction="sum" dataDxfId="460" totalsRowDxfId="459"/>
    <tableColumn id="21" xr3:uid="{34587387-1AB1-470B-92C3-F0536A52ACC2}" name="Total Seals per LEA" totalsRowFunction="sum" dataDxfId="458" totalsRowDxfId="457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tanislaus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Calaveras" displayName="Calaveras" ref="A2:Z5" totalsRowCount="1" headerRowDxfId="2336">
  <autoFilter ref="A2:Z4" xr:uid="{00000000-0009-0000-0100-000006000000}"/>
  <tableColumns count="26">
    <tableColumn id="1" xr3:uid="{00000000-0010-0000-0400-000001000000}" name="Participating District" totalsRowLabel="Total: 2" dataDxfId="2335" totalsRowDxfId="2334"/>
    <tableColumn id="2" xr3:uid="{00000000-0010-0000-0400-000002000000}" name="Participating School" totalsRowLabel="2" dataDxfId="2333" totalsRowDxfId="2332"/>
    <tableColumn id="3" xr3:uid="{00000000-0010-0000-0400-000003000000}" name="American Sign Language Total" totalsRowFunction="sum" dataDxfId="2331"/>
    <tableColumn id="4" xr3:uid="{00000000-0010-0000-0400-000004000000}" name="Arabic Total" totalsRowFunction="sum" dataDxfId="2330"/>
    <tableColumn id="5" xr3:uid="{00000000-0010-0000-0400-000005000000}" name="Armenian Total" totalsRowFunction="sum" dataDxfId="2329"/>
    <tableColumn id="22" xr3:uid="{75ACA635-A67D-4771-BC61-4E79D623CCDC}" name="Bengali Total" totalsRowFunction="sum" dataDxfId="2328"/>
    <tableColumn id="18" xr3:uid="{A16E5BF0-3920-4A6D-8EA9-5CDC280B859F}" name="Chinese (Mandarin or Cantonese) Total" totalsRowFunction="sum" dataDxfId="2327"/>
    <tableColumn id="23" xr3:uid="{CD0183F6-8692-4112-9AE1-EDD50C821155}" name="Farsi (Persian) Total" totalsRowFunction="sum" dataDxfId="2326"/>
    <tableColumn id="6" xr3:uid="{00000000-0010-0000-0400-000006000000}" name="French Total" totalsRowFunction="sum" dataDxfId="2325"/>
    <tableColumn id="7" xr3:uid="{00000000-0010-0000-0400-000007000000}" name="German Total" totalsRowFunction="sum" dataDxfId="2324"/>
    <tableColumn id="19" xr3:uid="{B35892EC-4AAC-41BC-95FB-AFAFD0331FBE}" name="Hebrew Total" totalsRowFunction="sum" dataDxfId="2323"/>
    <tableColumn id="24" xr3:uid="{166B315E-BFAD-4556-AA5B-7CDA767C7D13}" name="Hindi Total" totalsRowFunction="sum" dataDxfId="2322"/>
    <tableColumn id="8" xr3:uid="{00000000-0010-0000-0400-000008000000}" name="Hmong Total" totalsRowFunction="sum" dataDxfId="2321"/>
    <tableColumn id="9" xr3:uid="{00000000-0010-0000-0400-000009000000}" name="Italian Total" totalsRowFunction="sum" dataDxfId="2320"/>
    <tableColumn id="10" xr3:uid="{00000000-0010-0000-0400-00000A000000}" name="Japanese Total" totalsRowFunction="sum" dataDxfId="2319"/>
    <tableColumn id="11" xr3:uid="{00000000-0010-0000-0400-00000B000000}" name="Korean Total" totalsRowFunction="sum" dataDxfId="2318"/>
    <tableColumn id="12" xr3:uid="{00000000-0010-0000-0400-00000C000000}" name="Latin Total" totalsRowFunction="sum" dataDxfId="2317"/>
    <tableColumn id="13" xr3:uid="{00000000-0010-0000-0400-00000D000000}" name="Portuguese Total" totalsRowFunction="sum" dataDxfId="2316"/>
    <tableColumn id="25" xr3:uid="{465CF2D0-2260-4DC3-A6D4-260619E9EABA}" name="Punjabi Total" totalsRowFunction="sum" dataDxfId="2315"/>
    <tableColumn id="20" xr3:uid="{507C5E14-2ABC-4D93-B968-7F2A3FB96EDC}" name="Russian Total" totalsRowFunction="sum" dataDxfId="2314"/>
    <tableColumn id="14" xr3:uid="{00000000-0010-0000-0400-00000E000000}" name="Spanish Total" totalsRowFunction="sum" dataDxfId="2313"/>
    <tableColumn id="15" xr3:uid="{00000000-0010-0000-0400-00000F000000}" name="Tagalog (Filipino) Total" totalsRowFunction="sum" dataDxfId="2312"/>
    <tableColumn id="26" xr3:uid="{276AF55D-559B-42BA-8EA1-DFB814B84C69}" name="Urdu Total" totalsRowFunction="sum" dataDxfId="2311"/>
    <tableColumn id="16" xr3:uid="{00000000-0010-0000-0400-000010000000}" name="Vietnamese Total" totalsRowFunction="sum" dataDxfId="2310"/>
    <tableColumn id="17" xr3:uid="{00000000-0010-0000-0400-000011000000}" name="Other Total" totalsRowFunction="sum" dataDxfId="2309"/>
    <tableColumn id="21" xr3:uid="{A4A3AD36-F93F-4F1B-850F-1C0808BFB6DE}" name="Total Seals per LEA" totalsRowFunction="sum" dataDxfId="2308">
      <calculatedColumnFormula>SUM(Calaveras[[#This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682A96E-EE31-40A0-A32D-2439EF4A091B}" name="Sutter" displayName="Sutter" ref="A2:Z9" totalsRowCount="1" headerRowDxfId="456" dataDxfId="455">
  <autoFilter ref="A2:Z8" xr:uid="{00000000-0009-0000-0100-00001C000000}"/>
  <tableColumns count="26">
    <tableColumn id="1" xr3:uid="{A6200684-7EA4-4AF7-A30A-637BC99172E6}" name="Participating Districts" totalsRowLabel="Total: 6" dataDxfId="454" totalsRowDxfId="453"/>
    <tableColumn id="2" xr3:uid="{0DE67FD0-9B87-4EE5-B472-7888F8F2935F}" name="Participating Schools" totalsRowLabel="9" dataDxfId="452" totalsRowDxfId="451"/>
    <tableColumn id="3" xr3:uid="{A8617BAB-5436-41FE-A501-5DBB7668A032}" name="American Sign Language Total" totalsRowFunction="sum" dataDxfId="450" totalsRowDxfId="449"/>
    <tableColumn id="4" xr3:uid="{1D7F7324-9D84-4D37-A844-F345175F83AE}" name="Arabic Total" totalsRowFunction="sum" dataDxfId="448" totalsRowDxfId="447"/>
    <tableColumn id="5" xr3:uid="{CE0F6993-C2C8-459B-B189-967C4AE5A990}" name="Armenian Total" totalsRowFunction="sum" dataDxfId="446" totalsRowDxfId="445"/>
    <tableColumn id="22" xr3:uid="{681F43C6-9243-49D3-BADE-4288577246D0}" name="Bengali Total" totalsRowFunction="sum" dataDxfId="444" totalsRowDxfId="443"/>
    <tableColumn id="18" xr3:uid="{3DD45502-9EC8-41DB-BB5A-DA7322ECE92D}" name="Chinese (Mandarin or Cantonese) Total" totalsRowFunction="sum" dataDxfId="442" totalsRowDxfId="441"/>
    <tableColumn id="23" xr3:uid="{AD609F5A-66D9-4F06-88B9-47429976352A}" name="Farsi (Persian) Total" totalsRowFunction="sum" dataDxfId="440" totalsRowDxfId="439"/>
    <tableColumn id="6" xr3:uid="{8C551948-71DC-43F3-9198-AB36795DA695}" name="French Total" totalsRowFunction="sum" dataDxfId="438" totalsRowDxfId="437"/>
    <tableColumn id="7" xr3:uid="{B62FF16D-5E23-4A04-AAA5-301A55D04ED2}" name="German Total" totalsRowFunction="sum" dataDxfId="436" totalsRowDxfId="435"/>
    <tableColumn id="19" xr3:uid="{483C3F22-B05E-46A2-902A-E6CFFAAE7354}" name="Hebrew Total" totalsRowFunction="sum" dataDxfId="434" totalsRowDxfId="433"/>
    <tableColumn id="24" xr3:uid="{BEA76B98-7604-455B-B808-3457B7F85AAF}" name="Hindi Total" totalsRowFunction="sum" dataDxfId="432" totalsRowDxfId="431"/>
    <tableColumn id="8" xr3:uid="{779A1156-2A6D-48F7-82E5-E270E65E48A2}" name="Hmong Total" totalsRowFunction="sum" dataDxfId="430" totalsRowDxfId="429"/>
    <tableColumn id="9" xr3:uid="{19F60BBE-65E6-47B8-8DCF-E42E1BBD3E3E}" name="Italian Total" totalsRowFunction="sum" dataDxfId="428" totalsRowDxfId="427"/>
    <tableColumn id="10" xr3:uid="{53CA616C-61E0-4456-89F2-860B53B62281}" name="Japanese Total" totalsRowFunction="sum" dataDxfId="426" totalsRowDxfId="425"/>
    <tableColumn id="11" xr3:uid="{6B1B0441-F55C-41E2-9911-A1931EAB96C7}" name="Korean Total" totalsRowFunction="sum" dataDxfId="424" totalsRowDxfId="423"/>
    <tableColumn id="12" xr3:uid="{69DE917A-0FAC-4BFB-901F-83C55CD282E7}" name="Latin Total" totalsRowFunction="sum" dataDxfId="422" totalsRowDxfId="421"/>
    <tableColumn id="13" xr3:uid="{6F02F1F8-7C0C-4FAC-B4B3-E6AC2106CA13}" name="Portuguese Total" totalsRowFunction="sum" dataDxfId="420" totalsRowDxfId="419"/>
    <tableColumn id="25" xr3:uid="{39D15434-E9F9-4C99-B7B0-3AC11366B2A4}" name="Punjabi Total" totalsRowFunction="sum" dataDxfId="418" totalsRowDxfId="417"/>
    <tableColumn id="20" xr3:uid="{7F02A592-417A-4E73-AF88-16C20F84D750}" name="Russian Total" totalsRowFunction="sum" dataDxfId="416" totalsRowDxfId="415"/>
    <tableColumn id="14" xr3:uid="{A15F890F-65A6-4AC6-92E4-0D9860746872}" name="Spanish Total" totalsRowFunction="sum" dataDxfId="414" totalsRowDxfId="413"/>
    <tableColumn id="15" xr3:uid="{8CE2CED8-F9CC-494C-813E-59905BC9B2FF}" name="Tagalog (Filipino) Total" totalsRowFunction="sum" dataDxfId="412" totalsRowDxfId="411"/>
    <tableColumn id="26" xr3:uid="{EE1D3C15-70D8-4EA1-B34F-4DB6F722EDB3}" name="Urdu Total" totalsRowFunction="sum" dataDxfId="410" totalsRowDxfId="409"/>
    <tableColumn id="16" xr3:uid="{D3876A32-7DF5-44E4-87A1-5591515C7E7A}" name="Vietnamese Total" totalsRowFunction="sum" dataDxfId="408" totalsRowDxfId="407"/>
    <tableColumn id="17" xr3:uid="{B5629391-CC0C-4C81-90C3-D66C844D043B}" name="Other Total" totalsRowFunction="sum" dataDxfId="406" totalsRowDxfId="405"/>
    <tableColumn id="21" xr3:uid="{7A25ED80-A444-4D76-A869-5C9AC321B884}" name="Total Seals per LEA" totalsRowFunction="sum" dataDxfId="404" totalsRowDxfId="403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utter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31B774C-35E3-4AF3-96E2-2D1D3B19F5D9}" name="Tehama" displayName="Tehama" ref="A2:Z6" totalsRowCount="1" headerRowDxfId="402" dataDxfId="401">
  <autoFilter ref="A2:Z5" xr:uid="{00000000-0009-0000-0100-00001C000000}"/>
  <tableColumns count="26">
    <tableColumn id="1" xr3:uid="{81A33AD5-BCD4-445B-984E-BCBD55EAB1C8}" name="Participating Districts" totalsRowLabel="Total: 3" dataDxfId="400" totalsRowDxfId="399"/>
    <tableColumn id="2" xr3:uid="{FDB6ACC6-50A7-4018-B896-558CE759E6F0}" name="Participating Schools" totalsRowLabel="3" dataDxfId="398" totalsRowDxfId="397"/>
    <tableColumn id="3" xr3:uid="{8F27D2BB-DC2E-4208-B42B-16F83E8BCD1D}" name="American Sign Language Total" totalsRowFunction="sum" dataDxfId="396" totalsRowDxfId="395"/>
    <tableColumn id="4" xr3:uid="{BEF6593C-8411-4521-ACE0-0F0A8DDA133D}" name="Arabic Total" totalsRowFunction="sum" dataDxfId="394" totalsRowDxfId="393"/>
    <tableColumn id="5" xr3:uid="{5D9CAF59-70A1-4917-861E-9F466E6FCD16}" name="Armenian Total" totalsRowFunction="sum" dataDxfId="392" totalsRowDxfId="391"/>
    <tableColumn id="22" xr3:uid="{742B4328-C894-4A3B-98AD-AC816B8C22C6}" name="Bengali Total" totalsRowFunction="sum" dataDxfId="390" totalsRowDxfId="389"/>
    <tableColumn id="18" xr3:uid="{2ADCB978-E3F8-42BC-983A-9EE9BDB61D8D}" name="Chinese (Mandarin or Cantonese) Total" totalsRowFunction="sum" dataDxfId="388" totalsRowDxfId="387"/>
    <tableColumn id="23" xr3:uid="{843470B5-540A-4A9F-AF08-9F67753FEA19}" name="Farsi (Persian) Total" totalsRowFunction="sum" dataDxfId="386" totalsRowDxfId="385"/>
    <tableColumn id="6" xr3:uid="{0D0676F1-DD4F-4EB0-AEB3-9EAC7E364DB1}" name="French Total" totalsRowFunction="sum" dataDxfId="384" totalsRowDxfId="383"/>
    <tableColumn id="7" xr3:uid="{19DED7B8-9F0A-478B-A019-8E3199BD5219}" name="German Total" totalsRowFunction="sum" dataDxfId="382" totalsRowDxfId="381"/>
    <tableColumn id="19" xr3:uid="{DCA61704-847F-4C41-AD37-DE0D095FE5A7}" name="Hebrew Total" totalsRowFunction="sum" dataDxfId="380" totalsRowDxfId="379"/>
    <tableColumn id="24" xr3:uid="{B36EEE9F-BA2F-419D-80F2-BF4AE7C204F3}" name="Hindi Total" totalsRowFunction="sum" dataDxfId="378" totalsRowDxfId="377"/>
    <tableColumn id="8" xr3:uid="{4743A0B5-5B88-438A-B04B-50A85FC35838}" name="Hmong Total" totalsRowFunction="sum" dataDxfId="376" totalsRowDxfId="375"/>
    <tableColumn id="9" xr3:uid="{7622D711-8AD1-45AB-93AF-3CACE8FB51A2}" name="Italian Total" totalsRowFunction="sum" dataDxfId="374" totalsRowDxfId="373"/>
    <tableColumn id="10" xr3:uid="{0F87CB82-7D15-40F3-ADBD-11D796C6CC8C}" name="Japanese Total" totalsRowFunction="sum" dataDxfId="372" totalsRowDxfId="371"/>
    <tableColumn id="11" xr3:uid="{1037D7CB-0550-416E-A0E3-308AA7D820F9}" name="Korean Total" totalsRowFunction="sum" dataDxfId="370" totalsRowDxfId="369"/>
    <tableColumn id="12" xr3:uid="{7411149D-F95A-4E9E-93D0-DD84D871A6EC}" name="Latin Total" totalsRowFunction="sum" dataDxfId="368" totalsRowDxfId="367"/>
    <tableColumn id="13" xr3:uid="{348868D2-1F64-4413-94F7-149A66D5D126}" name="Portuguese Total" totalsRowFunction="sum" dataDxfId="366" totalsRowDxfId="365"/>
    <tableColumn id="25" xr3:uid="{5E39D425-0462-4C8A-A039-4F933C190F52}" name="Punjabi Total" totalsRowFunction="sum" dataDxfId="364" totalsRowDxfId="363"/>
    <tableColumn id="20" xr3:uid="{93143812-7569-42D1-9173-C479AE9189BC}" name="Russian Total" totalsRowFunction="sum" dataDxfId="362" totalsRowDxfId="361"/>
    <tableColumn id="14" xr3:uid="{D0B2A9F5-C851-4E0E-9C83-2D6B7FF12AFE}" name="Spanish Total" totalsRowFunction="sum" dataDxfId="360" totalsRowDxfId="359"/>
    <tableColumn id="15" xr3:uid="{F6BB7CED-80F7-4640-ACB3-63C2E462F86E}" name="Tagalog (Filipino) Total" totalsRowFunction="sum" dataDxfId="358" totalsRowDxfId="357"/>
    <tableColumn id="26" xr3:uid="{6B4F8847-F9C9-464C-80E6-06D09702BA21}" name="Urdu Total" totalsRowFunction="sum" dataDxfId="356" totalsRowDxfId="355"/>
    <tableColumn id="16" xr3:uid="{61F4CB49-B54A-4E84-85E9-02C273D2DB58}" name="Vietnamese Total" totalsRowFunction="sum" dataDxfId="354" totalsRowDxfId="353"/>
    <tableColumn id="17" xr3:uid="{7D0A9DC7-716E-4D73-9D73-2374F4B33714}" name="Other Total" totalsRowFunction="sum" dataDxfId="352" totalsRowDxfId="351"/>
    <tableColumn id="21" xr3:uid="{177F34BA-6868-46EC-B090-54FAB549E7AF}" name="Total Seals per LEA" totalsRowFunction="sum" dataDxfId="350" totalsRowDxfId="349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ehama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7DF3035-C045-4D81-B79E-58C10ADA298D}" name="Tulare" displayName="Tulare" ref="A2:Z14" totalsRowCount="1" headerRowDxfId="348" dataDxfId="347">
  <autoFilter ref="A2:Z13" xr:uid="{00000000-0009-0000-0100-00001C000000}"/>
  <tableColumns count="26">
    <tableColumn id="1" xr3:uid="{EA029AA5-FE45-497F-B2A3-4FFD1818E88B}" name="Participating Districts" totalsRowLabel="Total: 11" dataDxfId="346" totalsRowDxfId="345"/>
    <tableColumn id="2" xr3:uid="{50FB0F82-C17D-4753-86E2-8751194BE94D}" name="Participating Schools" totalsRowLabel="24" dataDxfId="344" totalsRowDxfId="343"/>
    <tableColumn id="3" xr3:uid="{3278B406-C9DA-4292-B7BA-1BB3AD42AC1E}" name="American Sign Language Total" totalsRowFunction="sum" dataDxfId="342" totalsRowDxfId="341"/>
    <tableColumn id="4" xr3:uid="{DE52679F-6360-4759-A76F-B8DFB5B616E1}" name="Arabic Total" totalsRowFunction="sum" dataDxfId="340" totalsRowDxfId="339"/>
    <tableColumn id="5" xr3:uid="{DF86BA58-3573-4ECF-9BC3-A1E680AC6001}" name="Armenian Total" totalsRowFunction="sum" dataDxfId="338" totalsRowDxfId="337"/>
    <tableColumn id="22" xr3:uid="{769EA99B-5925-49C2-AE34-E91EDB7BFC9F}" name="Bengali Total" totalsRowFunction="sum" dataDxfId="336" totalsRowDxfId="335"/>
    <tableColumn id="18" xr3:uid="{9D4B90F0-FE1A-416D-9571-A5429DD0AE3B}" name="Chinese (Mandarin or Cantonese) Total" totalsRowFunction="sum" dataDxfId="334" totalsRowDxfId="333"/>
    <tableColumn id="23" xr3:uid="{0845DC4E-1C0C-4B37-BE0E-B6FE48E5538E}" name="Farsi (Persian) Total" totalsRowFunction="sum" dataDxfId="332" totalsRowDxfId="331"/>
    <tableColumn id="6" xr3:uid="{A3A522BB-318C-4A5E-A4D2-BF6890FEE2E7}" name="French Total" totalsRowFunction="sum" dataDxfId="330" totalsRowDxfId="329"/>
    <tableColumn id="7" xr3:uid="{0BFC983D-4DCB-4CB6-BAA5-CDB9E3A97699}" name="German Total" totalsRowFunction="sum" dataDxfId="328" totalsRowDxfId="327"/>
    <tableColumn id="19" xr3:uid="{44F0A805-0084-455C-8DEA-04B8CC30AAF4}" name="Hebrew Total" totalsRowFunction="sum" dataDxfId="326" totalsRowDxfId="325"/>
    <tableColumn id="24" xr3:uid="{6209C4DE-FA18-4443-B42A-7653123C373D}" name="Hindi Total" totalsRowFunction="sum" dataDxfId="324" totalsRowDxfId="323"/>
    <tableColumn id="8" xr3:uid="{1B7C8CCE-8912-44C6-A97A-DF0B06636A37}" name="Hmong Total" totalsRowFunction="sum" dataDxfId="322" totalsRowDxfId="321"/>
    <tableColumn id="9" xr3:uid="{5A47AEB1-20A2-4106-98A5-70F2548CC16B}" name="Italian Total" totalsRowFunction="sum" dataDxfId="320" totalsRowDxfId="319"/>
    <tableColumn id="10" xr3:uid="{DE4DFF61-7F35-445F-92A8-42FC4B3CBB17}" name="Japanese Total" totalsRowFunction="sum" dataDxfId="318" totalsRowDxfId="317"/>
    <tableColumn id="11" xr3:uid="{BECE35D2-9F11-4A9D-A92A-FD51CE630A7B}" name="Korean Total" totalsRowFunction="sum" dataDxfId="316" totalsRowDxfId="315"/>
    <tableColumn id="12" xr3:uid="{8A875DDB-F709-4298-8299-2B7D0CA9231F}" name="Latin Total" totalsRowFunction="sum" dataDxfId="314" totalsRowDxfId="313"/>
    <tableColumn id="13" xr3:uid="{7C62EEE0-0AB0-4155-841D-71C1880A52DA}" name="Portuguese Total" totalsRowFunction="sum" dataDxfId="312" totalsRowDxfId="311"/>
    <tableColumn id="25" xr3:uid="{1AACE6C9-903D-4F5D-8ABE-2F88EE17146E}" name="Punjabi Total" totalsRowFunction="sum" dataDxfId="310" totalsRowDxfId="309"/>
    <tableColumn id="20" xr3:uid="{A4DA39C2-EA1C-4C83-B207-0BE7C20A2C7D}" name="Russian Total" totalsRowFunction="sum" dataDxfId="308" totalsRowDxfId="307"/>
    <tableColumn id="14" xr3:uid="{353D695F-C2B2-4895-8C3E-60E22C97AD3E}" name="Spanish Total" totalsRowFunction="sum" dataDxfId="306" totalsRowDxfId="305"/>
    <tableColumn id="15" xr3:uid="{DA18CA76-CA5A-4A3A-91E1-3DCFA61476DD}" name="Tagalog (Filipino) Total" totalsRowFunction="sum" dataDxfId="304" totalsRowDxfId="303"/>
    <tableColumn id="26" xr3:uid="{33B1B458-F517-45D5-9196-7F67E3A6ABDF}" name="Urdu Total" totalsRowFunction="sum" dataDxfId="302" totalsRowDxfId="301"/>
    <tableColumn id="16" xr3:uid="{BA3B6459-3200-4740-A647-E20B28EDEA59}" name="Vietnamese Total" totalsRowFunction="sum" dataDxfId="300" totalsRowDxfId="299"/>
    <tableColumn id="17" xr3:uid="{4CDEBBAB-1C90-4520-92F3-EBE9B61C580B}" name="Other Total" totalsRowFunction="sum" dataDxfId="298" totalsRowDxfId="297"/>
    <tableColumn id="21" xr3:uid="{22CAE783-BE13-4FD2-B603-7B13AB6AA82B}" name="Total Seals per LEA" totalsRowFunction="sum" dataDxfId="296" totalsRowDxfId="295">
      <calculatedColumnFormula>SUM(Tulare[[#This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ulare county and also includes language totals.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B3B803-76EA-4D1D-AE4F-2D9D3D6CD45E}" name="Tehama4" displayName="Tehama4" ref="A2:Z5" totalsRowCount="1" headerRowDxfId="294" dataDxfId="293">
  <autoFilter ref="A2:Z4" xr:uid="{00000000-0009-0000-0100-00001C000000}"/>
  <tableColumns count="26">
    <tableColumn id="1" xr3:uid="{B97F35AF-772D-4008-8715-D84065E7C0B6}" name="Participating Districts" totalsRowLabel="Total: 2" dataDxfId="292" totalsRowDxfId="291"/>
    <tableColumn id="2" xr3:uid="{56278CEE-FDBA-4E62-8F0B-B3646DC11612}" name="Participating Schools" totalsRowLabel="3" dataDxfId="290" totalsRowDxfId="289"/>
    <tableColumn id="3" xr3:uid="{1D09DEE9-CA84-401E-B138-FF7269B95061}" name="American Sign Language Total" totalsRowFunction="sum" dataDxfId="288" totalsRowDxfId="287"/>
    <tableColumn id="4" xr3:uid="{F2377053-E558-43DE-AF6B-795272E31610}" name="Arabic Total" totalsRowFunction="sum" dataDxfId="286" totalsRowDxfId="285"/>
    <tableColumn id="5" xr3:uid="{5D7EC491-1257-4EFB-8086-A2565F41C17C}" name="Armenian Total" totalsRowFunction="sum" dataDxfId="284" totalsRowDxfId="283"/>
    <tableColumn id="22" xr3:uid="{216BF741-614D-4A49-BC1B-EAF36B31C3E0}" name="Bengali Total" totalsRowFunction="sum" dataDxfId="282" totalsRowDxfId="281"/>
    <tableColumn id="18" xr3:uid="{EBD4C32F-2923-42B7-B73A-8439AE6E3334}" name="Chinese (Mandarin or Cantonese) Total" totalsRowFunction="sum" dataDxfId="280" totalsRowDxfId="279"/>
    <tableColumn id="23" xr3:uid="{48CC456B-CCA0-4795-AA18-1C0C984F29CE}" name="Farsi (Persian) Total" totalsRowFunction="sum" dataDxfId="278" totalsRowDxfId="277"/>
    <tableColumn id="6" xr3:uid="{2E67B6E7-E294-4FDF-9A79-EC21CABC3239}" name="French Total" totalsRowFunction="sum" dataDxfId="276" totalsRowDxfId="275"/>
    <tableColumn id="7" xr3:uid="{83D14CB6-951E-4D9B-8B4A-0D79077DA35F}" name="German Total" totalsRowFunction="sum" dataDxfId="274" totalsRowDxfId="273"/>
    <tableColumn id="19" xr3:uid="{D552A581-C495-434D-8110-D60BDB4CB709}" name="Hebrew Total" totalsRowFunction="sum" dataDxfId="272" totalsRowDxfId="271"/>
    <tableColumn id="24" xr3:uid="{80162823-F5A3-414B-B3C5-B1C0E0D6F4C8}" name="Hindi Total" totalsRowFunction="sum" dataDxfId="270" totalsRowDxfId="269"/>
    <tableColumn id="8" xr3:uid="{33372CE5-EDA4-458B-9B18-F130B3220C32}" name="Hmong Total" totalsRowFunction="sum" dataDxfId="268" totalsRowDxfId="267"/>
    <tableColumn id="9" xr3:uid="{595D1A30-EDAF-49F7-AA1F-44EAC432ED3C}" name="Italian Total" totalsRowFunction="sum" dataDxfId="266" totalsRowDxfId="265"/>
    <tableColumn id="10" xr3:uid="{6CB96244-7993-4C51-8670-41F31697CB0E}" name="Japanese Total" totalsRowFunction="sum" dataDxfId="264" totalsRowDxfId="263"/>
    <tableColumn id="11" xr3:uid="{6DB1235A-1115-4784-8909-D71EEB3857EB}" name="Korean Total" totalsRowFunction="sum" dataDxfId="262" totalsRowDxfId="261"/>
    <tableColumn id="12" xr3:uid="{1C1DA4C2-E009-42F9-BE1B-774B31628535}" name="Latin Total" totalsRowFunction="sum" dataDxfId="260" totalsRowDxfId="259"/>
    <tableColumn id="13" xr3:uid="{11AAE815-10A9-49B9-ABFD-3AA5E4B69EA9}" name="Portuguese Total" totalsRowFunction="sum" dataDxfId="258" totalsRowDxfId="257"/>
    <tableColumn id="25" xr3:uid="{A1B2C8C6-C37B-46A6-B51A-078621ED1F8C}" name="Punjabi Total" totalsRowFunction="sum" dataDxfId="256" totalsRowDxfId="255"/>
    <tableColumn id="20" xr3:uid="{32259817-81AB-41A1-B8C5-4EC782E603F1}" name="Russian Total" totalsRowFunction="sum" dataDxfId="254" totalsRowDxfId="253"/>
    <tableColumn id="14" xr3:uid="{5AC658B3-BD09-4571-AEC5-60A8132DB251}" name="Spanish Total" totalsRowFunction="sum" dataDxfId="252" totalsRowDxfId="251"/>
    <tableColumn id="15" xr3:uid="{E3680631-A5A1-482C-86EF-93EC8052F8F1}" name="Tagalog (Filipino) Total" totalsRowFunction="sum" dataDxfId="250" totalsRowDxfId="249"/>
    <tableColumn id="26" xr3:uid="{31C72094-EDB8-478E-B36F-0FA55E16E839}" name="Urdu Total" totalsRowFunction="sum" dataDxfId="248" totalsRowDxfId="247"/>
    <tableColumn id="16" xr3:uid="{D3AD9A34-F66A-459D-BEC5-2F4BE670904C}" name="Vietnamese Total" totalsRowFunction="sum" dataDxfId="246" totalsRowDxfId="245"/>
    <tableColumn id="17" xr3:uid="{462733D8-F624-4D44-9526-84A7C414FE05}" name="Other Total" totalsRowFunction="sum" dataDxfId="244" totalsRowDxfId="243"/>
    <tableColumn id="21" xr3:uid="{C6901038-4098-4F7A-9F70-E34228E4A058}" name="Total Seals per LEA" totalsRowFunction="sum" dataDxfId="242" totalsRowDxfId="241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ehama county and also includes language totals.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47172F-B46E-489E-8D50-649715829000}" name="Ventura" displayName="Ventura" ref="A2:Z12" totalsRowCount="1" headerRowDxfId="240" dataDxfId="239">
  <autoFilter ref="A2:Z11" xr:uid="{00000000-0009-0000-0100-00001C000000}"/>
  <tableColumns count="26">
    <tableColumn id="1" xr3:uid="{C3ED2A30-BCE3-4574-A7CF-D52C29A2C593}" name="Participating Districts" totalsRowLabel="Total: 9" dataDxfId="238" totalsRowDxfId="237"/>
    <tableColumn id="2" xr3:uid="{6EBA7F5D-B4CF-4B54-A9B2-1440352272DC}" name="Participating Schools" totalsRowLabel="27" dataDxfId="236" totalsRowDxfId="235"/>
    <tableColumn id="3" xr3:uid="{F6FBE704-CD7E-47F7-952A-85DCDAD3BED4}" name="American Sign Language Total" totalsRowFunction="sum" dataDxfId="234" totalsRowDxfId="233"/>
    <tableColumn id="4" xr3:uid="{FA89C0F9-BAFA-4261-B48B-910666951E8F}" name="Arabic Total" totalsRowFunction="sum" dataDxfId="232" totalsRowDxfId="231"/>
    <tableColumn id="5" xr3:uid="{36A35CEF-B059-4BEE-A450-490C0B605B6E}" name="Armenian Total" totalsRowFunction="sum" dataDxfId="230" totalsRowDxfId="229"/>
    <tableColumn id="22" xr3:uid="{2172661B-33EF-4A9B-8FA3-2AB84D3A6347}" name="Bengali Total" totalsRowFunction="sum" dataDxfId="228" totalsRowDxfId="227"/>
    <tableColumn id="18" xr3:uid="{4340DAEA-EDCA-4BCA-ABA1-A5D14BD7F1B1}" name="Chinese (Mandarin or Cantonese) Total" totalsRowFunction="sum" dataDxfId="226" totalsRowDxfId="225"/>
    <tableColumn id="23" xr3:uid="{56F7B148-A075-4F3D-B55A-554EA7B84387}" name="Farsi (Persian) Total" totalsRowFunction="sum" dataDxfId="224" totalsRowDxfId="223"/>
    <tableColumn id="6" xr3:uid="{261D14F2-34B3-4FA9-A023-3C19A244991D}" name="French Total" totalsRowFunction="sum" dataDxfId="222" totalsRowDxfId="221"/>
    <tableColumn id="7" xr3:uid="{FE083937-6A86-4A1A-AED0-9EF820AC38D7}" name="German Total" totalsRowFunction="sum" dataDxfId="220" totalsRowDxfId="219"/>
    <tableColumn id="19" xr3:uid="{5CD51624-37E6-432C-9172-87A229D76477}" name="Hebrew Total" totalsRowFunction="sum" dataDxfId="218" totalsRowDxfId="217"/>
    <tableColumn id="24" xr3:uid="{F9C32A92-ABB8-48B3-86CC-1C1CB16BEA16}" name="Hindi Total" totalsRowFunction="sum" dataDxfId="216" totalsRowDxfId="215"/>
    <tableColumn id="8" xr3:uid="{5C38E511-A75D-445B-8102-DC0D5A1575B7}" name="Hmong Total" totalsRowFunction="sum" dataDxfId="214" totalsRowDxfId="213"/>
    <tableColumn id="9" xr3:uid="{0149F03F-05B9-45FD-8A46-598532E5F4BB}" name="Italian Total" totalsRowFunction="sum" dataDxfId="212" totalsRowDxfId="211"/>
    <tableColumn id="10" xr3:uid="{00FAF3E2-1AE6-41E6-8DD5-F94149DCA558}" name="Japanese Total" totalsRowFunction="sum" dataDxfId="210" totalsRowDxfId="209"/>
    <tableColumn id="11" xr3:uid="{C95B98CA-AF7E-4C89-9B13-85D95AE35AAB}" name="Korean Total" totalsRowFunction="sum" dataDxfId="208" totalsRowDxfId="207"/>
    <tableColumn id="12" xr3:uid="{9853AEDB-1DA8-4FBD-8B8F-0E8D7EF0211F}" name="Latin Total" totalsRowFunction="sum" dataDxfId="206" totalsRowDxfId="205"/>
    <tableColumn id="13" xr3:uid="{0B3B0EF5-9C64-44DF-925E-3BD12DE6DE9F}" name="Portuguese Total" totalsRowFunction="sum" dataDxfId="204" totalsRowDxfId="203"/>
    <tableColumn id="25" xr3:uid="{39AD92FA-3F96-42FF-942E-886E6AFD6BD6}" name="Punjabi Total" totalsRowFunction="sum" dataDxfId="202" totalsRowDxfId="201"/>
    <tableColumn id="20" xr3:uid="{369C0951-25E9-436D-B8C5-1DA402171CA4}" name="Russian Total" totalsRowFunction="sum" dataDxfId="200" totalsRowDxfId="199"/>
    <tableColumn id="14" xr3:uid="{BF9E4002-09CF-4B27-A8E7-C11232242922}" name="Spanish Total" totalsRowFunction="sum" dataDxfId="198" totalsRowDxfId="197"/>
    <tableColumn id="15" xr3:uid="{45D1432A-74E1-452E-96DC-A548919804B8}" name="Tagalog (Filipino) Total" totalsRowFunction="sum" dataDxfId="196" totalsRowDxfId="195"/>
    <tableColumn id="26" xr3:uid="{73C5AE86-BB0F-474B-80C0-AEFF16E6E8EF}" name="Urdu Total" totalsRowFunction="sum" dataDxfId="194" totalsRowDxfId="193"/>
    <tableColumn id="16" xr3:uid="{35A70EFD-F941-43CD-BE7B-BCBD2C512837}" name="Vietnamese Total" totalsRowFunction="sum" dataDxfId="192" totalsRowDxfId="191"/>
    <tableColumn id="17" xr3:uid="{A6ABC912-070F-429B-BA14-74E53BB9D009}" name="Other Total" totalsRowFunction="sum" dataDxfId="190" totalsRowDxfId="189"/>
    <tableColumn id="21" xr3:uid="{FF5EDBBB-11A3-4744-AEEA-5FBC1C5FBC89}" name="Total Seals per LEA" totalsRowFunction="sum" dataDxfId="188" totalsRowDxfId="187">
      <calculatedColumnFormula>SUM(Ventura[[#This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Ventura county and also includes language totals.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CB60F16-39B5-4F00-801A-87AB78A2541B}" name="Yolo" displayName="Yolo" ref="A2:Z8" totalsRowCount="1" headerRowDxfId="186" dataDxfId="185">
  <autoFilter ref="A2:Z7" xr:uid="{00000000-0009-0000-0100-00001C000000}"/>
  <tableColumns count="26">
    <tableColumn id="1" xr3:uid="{52EA91B0-FB81-49ED-AE35-696D4346FFBD}" name="Participating Districts" totalsRowLabel="Total: 5" dataDxfId="184" totalsRowDxfId="183"/>
    <tableColumn id="2" xr3:uid="{63E42A5D-19B7-45AB-801B-E44C53E58FA4}" name="Participating Schools" totalsRowLabel="9" dataDxfId="182" totalsRowDxfId="181"/>
    <tableColumn id="3" xr3:uid="{E4EED2DF-3306-42F1-8DD5-DD688FAA0CEA}" name="American Sign Language Total" totalsRowFunction="sum" dataDxfId="180" totalsRowDxfId="179"/>
    <tableColumn id="4" xr3:uid="{E7267657-0D30-4A8F-8112-E49701F9C386}" name="Arabic Total" totalsRowFunction="sum" dataDxfId="178" totalsRowDxfId="177"/>
    <tableColumn id="5" xr3:uid="{752ECC47-3EFF-41DC-AC81-FF77BDDE278F}" name="Armenian Total" totalsRowFunction="sum" dataDxfId="176" totalsRowDxfId="175"/>
    <tableColumn id="22" xr3:uid="{EB5E603E-2D05-4B6F-A168-EFE4ABC63639}" name="Bengali Total" totalsRowFunction="sum" dataDxfId="174" totalsRowDxfId="173"/>
    <tableColumn id="18" xr3:uid="{4989D4F3-2685-4D91-99CE-0DEFB24EC736}" name="Chinese (Mandarin or Cantonese) Total" totalsRowFunction="sum" dataDxfId="172" totalsRowDxfId="171"/>
    <tableColumn id="23" xr3:uid="{10EE861F-8327-416C-87FE-37226363160E}" name="Farsi (Persian) Total" totalsRowFunction="sum" dataDxfId="170" totalsRowDxfId="169"/>
    <tableColumn id="6" xr3:uid="{A6733111-57B4-4283-8A2F-5ED20F6F636F}" name="French Total" totalsRowFunction="sum" dataDxfId="168" totalsRowDxfId="167"/>
    <tableColumn id="7" xr3:uid="{DCEB8AEF-9FBD-4169-87C1-47A2F1A67DCD}" name="German Total" totalsRowFunction="sum" dataDxfId="166" totalsRowDxfId="165"/>
    <tableColumn id="19" xr3:uid="{9CA3F46C-5FDD-4EA8-8DEB-C4852AEF03D5}" name="Hebrew Total" totalsRowFunction="sum" dataDxfId="164" totalsRowDxfId="163"/>
    <tableColumn id="24" xr3:uid="{70B619CF-3E01-421E-A799-3C765E64309D}" name="Hindi Total" totalsRowFunction="sum" dataDxfId="162" totalsRowDxfId="161"/>
    <tableColumn id="8" xr3:uid="{9878D90A-7794-458D-9DA4-BCA040C4293D}" name="Hmong Total" totalsRowFunction="sum" dataDxfId="160" totalsRowDxfId="159"/>
    <tableColumn id="9" xr3:uid="{66A763D4-6B65-4B27-A89C-26D18199FD4D}" name="Italian Total" totalsRowFunction="sum" dataDxfId="158" totalsRowDxfId="157"/>
    <tableColumn id="10" xr3:uid="{55929FC5-BF90-4478-91B7-C5882781AE5C}" name="Japanese Total" totalsRowFunction="sum" dataDxfId="156" totalsRowDxfId="155"/>
    <tableColumn id="11" xr3:uid="{5504786E-A63B-4C22-B150-7E248FA045CF}" name="Korean Total" totalsRowFunction="sum" dataDxfId="154" totalsRowDxfId="153"/>
    <tableColumn id="12" xr3:uid="{37EA3EF2-D57A-49BB-8DA1-A7C58FA69AD9}" name="Latin Total" totalsRowFunction="sum" dataDxfId="152" totalsRowDxfId="151"/>
    <tableColumn id="13" xr3:uid="{4F1ADDA1-C72A-4321-A32E-83AE671C2170}" name="Portuguese Total" totalsRowFunction="sum" dataDxfId="150" totalsRowDxfId="149"/>
    <tableColumn id="25" xr3:uid="{46B13BFE-031E-457C-B32F-5B08C63AB1F2}" name="Punjabi Total" totalsRowFunction="sum" dataDxfId="148" totalsRowDxfId="147"/>
    <tableColumn id="20" xr3:uid="{8BCBC6B9-2F04-46A5-81C8-F590F894D362}" name="Russian Total" totalsRowFunction="sum" dataDxfId="146" totalsRowDxfId="145"/>
    <tableColumn id="14" xr3:uid="{BCCD15F7-5965-4BF9-B32A-CC7EFEC2C472}" name="Spanish Total" totalsRowFunction="sum" dataDxfId="144" totalsRowDxfId="143"/>
    <tableColumn id="15" xr3:uid="{FDA18131-CCB8-4DBE-928A-049EA4B9BED8}" name="Tagalog (Filipino) Total" totalsRowFunction="sum" dataDxfId="142" totalsRowDxfId="141"/>
    <tableColumn id="26" xr3:uid="{D56F970F-3D6C-4D04-A97A-85488FDB6C84}" name="Urdu Total" totalsRowFunction="sum" dataDxfId="140" totalsRowDxfId="139"/>
    <tableColumn id="16" xr3:uid="{C1352CF3-9CE5-40A7-8C1B-AFFE55FC431E}" name="Vietnamese Total" totalsRowFunction="sum" dataDxfId="138" totalsRowDxfId="137"/>
    <tableColumn id="17" xr3:uid="{F45EC713-7F58-43D2-9518-624A73D73B54}" name="Other Total" totalsRowFunction="sum" dataDxfId="136" totalsRowDxfId="135"/>
    <tableColumn id="21" xr3:uid="{3FBFDC2C-663C-4EA4-B81B-2C5FD695B5B5}" name="Total Seals per LEA" totalsRowFunction="sum" dataDxfId="134" totalsRowDxfId="133">
      <calculatedColumnFormula>SUM(Yolo[[#This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olo county and also includes language totals."/>
    </ext>
  </extLst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4F283D1-7C6A-4CC5-8592-32302BE23D7C}" name="Yuba" displayName="Yuba" ref="A2:Z6" totalsRowCount="1" headerRowDxfId="132" dataDxfId="131">
  <autoFilter ref="A2:Z5" xr:uid="{00000000-0009-0000-0100-00001C000000}"/>
  <tableColumns count="26">
    <tableColumn id="1" xr3:uid="{7569C687-2EDA-4D2A-8379-4C90B61687B2}" name="Participating Districts" totalsRowLabel="Total: 3" dataDxfId="130" totalsRowDxfId="129"/>
    <tableColumn id="2" xr3:uid="{FCF992CD-E130-4F86-8854-4BA51161A37B}" name="Participating Schools" totalsRowLabel="5" dataDxfId="128" totalsRowDxfId="127"/>
    <tableColumn id="3" xr3:uid="{2A40D8C9-EC3C-454F-8695-62378AC03F83}" name="American Sign Language Total" totalsRowFunction="sum" dataDxfId="126" totalsRowDxfId="125"/>
    <tableColumn id="4" xr3:uid="{1F99BC7A-8A4F-4067-84BE-0A3CFDC143E2}" name="Arabic Total" totalsRowFunction="sum" dataDxfId="124" totalsRowDxfId="123"/>
    <tableColumn id="5" xr3:uid="{F5ACDC7A-FD7E-43FB-B496-9E5C9189099A}" name="Armenian Total" totalsRowFunction="sum" dataDxfId="122" totalsRowDxfId="121"/>
    <tableColumn id="22" xr3:uid="{1FB810CB-97AD-4C66-94CE-05BE24C22D11}" name="Bengali Total" totalsRowFunction="sum" dataDxfId="120" totalsRowDxfId="119"/>
    <tableColumn id="18" xr3:uid="{238DAE74-6DD3-42A1-8326-9CC766E2CC33}" name="Chinese (Mandarin or Cantonese) Total" totalsRowFunction="sum" dataDxfId="118" totalsRowDxfId="117"/>
    <tableColumn id="23" xr3:uid="{9056D717-C3EC-481A-88EC-4DAA18AA1F79}" name="Farsi (Persian) Total" totalsRowFunction="sum" dataDxfId="116" totalsRowDxfId="115"/>
    <tableColumn id="6" xr3:uid="{58CFA860-9348-458D-A5F8-0AE12F7B4AF2}" name="French Total" totalsRowFunction="sum" dataDxfId="114" totalsRowDxfId="113"/>
    <tableColumn id="7" xr3:uid="{3C4E69A0-3CF9-4FC7-B297-1294F2C128C1}" name="German Total" totalsRowFunction="sum" dataDxfId="112" totalsRowDxfId="111"/>
    <tableColumn id="19" xr3:uid="{E45DEF8B-57F5-4691-8286-FE081E4E9051}" name="Hebrew Total" totalsRowFunction="sum" dataDxfId="110" totalsRowDxfId="109"/>
    <tableColumn id="24" xr3:uid="{B2EA338B-E1C5-4B34-BDE1-371C688C42D8}" name="Hindi Total" totalsRowFunction="sum" dataDxfId="108" totalsRowDxfId="107"/>
    <tableColumn id="8" xr3:uid="{8381D257-411F-4A33-82C2-CF168C0B45D3}" name="Hmong Total" totalsRowFunction="sum" dataDxfId="106" totalsRowDxfId="105"/>
    <tableColumn id="9" xr3:uid="{0DD874A5-C91E-4BC2-8E92-0C7870D57A7B}" name="Italian Total" totalsRowFunction="sum" dataDxfId="104" totalsRowDxfId="103"/>
    <tableColumn id="10" xr3:uid="{6436C8DC-F953-4500-858E-F1ED33DA7F83}" name="Japanese Total" totalsRowFunction="sum" dataDxfId="102" totalsRowDxfId="101"/>
    <tableColumn id="11" xr3:uid="{D0556083-0679-420C-8390-8B5B9DCD32C4}" name="Korean Total" totalsRowFunction="sum" dataDxfId="100" totalsRowDxfId="99"/>
    <tableColumn id="12" xr3:uid="{1C3D131B-3BF6-447C-A19B-011726674763}" name="Latin Total" totalsRowFunction="sum" dataDxfId="98" totalsRowDxfId="97"/>
    <tableColumn id="13" xr3:uid="{0C64F3B9-7A77-4519-9681-DFADF27170CC}" name="Portuguese Total" totalsRowFunction="sum" dataDxfId="96" totalsRowDxfId="95"/>
    <tableColumn id="25" xr3:uid="{64C63592-8B45-4EC3-9D79-F32A6801302C}" name="Punjabi Total" totalsRowFunction="sum" dataDxfId="94" totalsRowDxfId="93"/>
    <tableColumn id="20" xr3:uid="{BDB72582-8A67-45EF-BAD2-09BC73D44D3A}" name="Russian Total" totalsRowFunction="sum" dataDxfId="92" totalsRowDxfId="91"/>
    <tableColumn id="14" xr3:uid="{16F2B8AA-53F6-4C35-B51D-FE8DE5B30625}" name="Spanish Total" totalsRowFunction="sum" dataDxfId="90" totalsRowDxfId="89"/>
    <tableColumn id="15" xr3:uid="{9A428318-E8FE-4713-B906-C3DD6353F082}" name="Tagalog (Filipino) Total" totalsRowFunction="sum" dataDxfId="88" totalsRowDxfId="87"/>
    <tableColumn id="26" xr3:uid="{DD6C716D-5F49-4361-85C5-6D83E4C3A598}" name="Urdu Total" totalsRowFunction="sum" dataDxfId="86" totalsRowDxfId="85"/>
    <tableColumn id="16" xr3:uid="{6F9D992D-2A85-4351-8CEF-BEF3235A1FE0}" name="Vietnamese Total" totalsRowFunction="sum" dataDxfId="84" totalsRowDxfId="83"/>
    <tableColumn id="17" xr3:uid="{31FE8FDB-785F-451B-9754-198EA449A5B1}" name="Other Total" totalsRowFunction="sum" dataDxfId="82" totalsRowDxfId="81"/>
    <tableColumn id="21" xr3:uid="{E0DD2AA2-3C12-449C-B8C6-72A6EC2AC3A0}" name="Total Seals per LEA" totalsRowFunction="sum" dataDxfId="80" totalsRowDxfId="79">
      <calculatedColumnFormula>SUM(Yuba[[#This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Colusa" displayName="Colusa" ref="A2:Z7" totalsRowCount="1" headerRowDxfId="2307">
  <autoFilter ref="A2:Z6" xr:uid="{00000000-0009-0000-0100-000007000000}"/>
  <tableColumns count="26">
    <tableColumn id="1" xr3:uid="{00000000-0010-0000-0500-000001000000}" name="Participating Districts" totalsRowLabel="Total: 4" dataDxfId="2306" totalsRowDxfId="2305"/>
    <tableColumn id="2" xr3:uid="{00000000-0010-0000-0500-000002000000}" name="Participating Schools" totalsRowLabel="4" dataDxfId="2304" totalsRowDxfId="2303"/>
    <tableColumn id="3" xr3:uid="{00000000-0010-0000-0500-000003000000}" name="American Sign Language Total" totalsRowFunction="sum" dataDxfId="2302"/>
    <tableColumn id="4" xr3:uid="{00000000-0010-0000-0500-000004000000}" name="Arabic Total" totalsRowFunction="sum" dataDxfId="2301"/>
    <tableColumn id="5" xr3:uid="{00000000-0010-0000-0500-000005000000}" name="Armenian Total" totalsRowFunction="sum" dataDxfId="2300"/>
    <tableColumn id="22" xr3:uid="{E16F468F-2110-4140-BD81-F86069D1C6FD}" name="Bengali Total" totalsRowFunction="sum" dataDxfId="2299"/>
    <tableColumn id="18" xr3:uid="{D9C6B6B9-17F0-4AD5-AB2C-E0BBB9C07BC8}" name="Chinese (Mandarin or Cantonese) Total" totalsRowFunction="sum" dataDxfId="2298"/>
    <tableColumn id="23" xr3:uid="{3A049CDA-6F98-456B-BA6A-5A0CC63CBC82}" name="Farsi (Persian) Total" totalsRowFunction="sum" dataDxfId="2297"/>
    <tableColumn id="6" xr3:uid="{00000000-0010-0000-0500-000006000000}" name="French Total" totalsRowFunction="sum" dataDxfId="2296"/>
    <tableColumn id="7" xr3:uid="{00000000-0010-0000-0500-000007000000}" name="German Total" totalsRowFunction="sum" dataDxfId="2295"/>
    <tableColumn id="19" xr3:uid="{84BFA3FD-A508-4B0E-B7E5-D936B8319B98}" name="Hebrew Total" totalsRowFunction="sum" dataDxfId="2294"/>
    <tableColumn id="24" xr3:uid="{CBB26C44-95AA-464D-B565-884DB10FA77E}" name="Hindi Total" totalsRowFunction="sum" dataDxfId="2293"/>
    <tableColumn id="8" xr3:uid="{00000000-0010-0000-0500-000008000000}" name="Hmong Total" totalsRowFunction="sum" dataDxfId="2292"/>
    <tableColumn id="9" xr3:uid="{00000000-0010-0000-0500-000009000000}" name="Italian Total" totalsRowFunction="sum" dataDxfId="2291"/>
    <tableColumn id="10" xr3:uid="{00000000-0010-0000-0500-00000A000000}" name="Japanese Total" totalsRowFunction="sum" dataDxfId="2290"/>
    <tableColumn id="11" xr3:uid="{00000000-0010-0000-0500-00000B000000}" name="Korean Total" totalsRowFunction="sum" dataDxfId="2289"/>
    <tableColumn id="12" xr3:uid="{00000000-0010-0000-0500-00000C000000}" name="Latin Total" totalsRowFunction="sum" dataDxfId="2288"/>
    <tableColumn id="13" xr3:uid="{00000000-0010-0000-0500-00000D000000}" name="Portuguese Total" totalsRowFunction="sum" dataDxfId="2287"/>
    <tableColumn id="25" xr3:uid="{C83AA710-FB04-4B2E-B17A-26A3C6A70D62}" name="Punjabi Total" totalsRowFunction="sum" dataDxfId="2286"/>
    <tableColumn id="20" xr3:uid="{C331452E-322F-4718-B1B9-96010E23BD0A}" name="Russian Total" totalsRowFunction="sum" dataDxfId="2285"/>
    <tableColumn id="14" xr3:uid="{00000000-0010-0000-0500-00000E000000}" name="Spanish Total" totalsRowFunction="sum" dataDxfId="2284"/>
    <tableColumn id="15" xr3:uid="{00000000-0010-0000-0500-00000F000000}" name="Tagalog (Filipino) Total" totalsRowFunction="sum" dataDxfId="2283"/>
    <tableColumn id="26" xr3:uid="{8D0A8B2B-9384-46A1-A63C-0FDE9B9643CB}" name="Urdu Total " totalsRowFunction="sum" dataDxfId="2282"/>
    <tableColumn id="16" xr3:uid="{00000000-0010-0000-0500-000010000000}" name="Vietnamese Total" totalsRowFunction="sum" dataDxfId="2281"/>
    <tableColumn id="17" xr3:uid="{00000000-0010-0000-0500-000011000000}" name="Other Total" totalsRowFunction="sum" dataDxfId="2280"/>
    <tableColumn id="21" xr3:uid="{612AAC9D-DF19-40A3-97AD-43E326D095EB}" name="Total Seals per LEA" totalsRowFunction="sum" dataDxfId="2279">
      <calculatedColumnFormula>SUM(Colusa[[#This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ContraCosta" displayName="ContraCosta" ref="A2:Z16" totalsRowCount="1" headerRowDxfId="2278" dataDxfId="2277">
  <autoFilter ref="A2:Z15" xr:uid="{00000000-0009-0000-0100-000008000000}"/>
  <tableColumns count="26">
    <tableColumn id="1" xr3:uid="{00000000-0010-0000-0600-000001000000}" name="Participating Districts" totalsRowLabel="Total: 13" dataDxfId="2276" totalsRowDxfId="2275"/>
    <tableColumn id="2" xr3:uid="{00000000-0010-0000-0600-000002000000}" name="Participating Schools" totalsRowLabel="22" totalsRowDxfId="2274"/>
    <tableColumn id="3" xr3:uid="{00000000-0010-0000-0600-000003000000}" name="American Sign Language Total" totalsRowFunction="sum" dataDxfId="2273" totalsRowDxfId="2272"/>
    <tableColumn id="4" xr3:uid="{00000000-0010-0000-0600-000004000000}" name="Arabic Total" totalsRowFunction="sum" dataDxfId="2271" totalsRowDxfId="2270"/>
    <tableColumn id="5" xr3:uid="{00000000-0010-0000-0600-000005000000}" name="Armenian Total" totalsRowFunction="sum" dataDxfId="2269" totalsRowDxfId="2268"/>
    <tableColumn id="22" xr3:uid="{81FA89D9-30C8-407D-9CC1-E89D55C2AD43}" name="Bengali Total" totalsRowFunction="sum" dataDxfId="2267" totalsRowDxfId="2266"/>
    <tableColumn id="18" xr3:uid="{0F0823FB-F7B6-4D65-9107-1ADC57AC5FC0}" name="Chinese (Mandarin or Cantonese) Total" totalsRowFunction="sum" dataDxfId="2265" totalsRowDxfId="2264"/>
    <tableColumn id="23" xr3:uid="{DE6DADDD-0159-4DB7-BE03-5501100D9D3A}" name="Farsi (Persian) Total" totalsRowFunction="sum" dataDxfId="2263" totalsRowDxfId="2262"/>
    <tableColumn id="6" xr3:uid="{00000000-0010-0000-0600-000006000000}" name="French Total" totalsRowFunction="sum" dataDxfId="2261" totalsRowDxfId="2260"/>
    <tableColumn id="7" xr3:uid="{00000000-0010-0000-0600-000007000000}" name="German Total" totalsRowFunction="sum" dataDxfId="2259" totalsRowDxfId="2258"/>
    <tableColumn id="19" xr3:uid="{BF602199-83FD-46FC-A4DC-12D1B25D3083}" name="Hebrew Total" totalsRowFunction="sum" dataDxfId="2257" totalsRowDxfId="2256"/>
    <tableColumn id="24" xr3:uid="{795765A0-56AF-49FD-B61D-30DFCE99BF90}" name="Hindi Total" totalsRowFunction="sum" dataDxfId="2255" totalsRowDxfId="2254"/>
    <tableColumn id="8" xr3:uid="{00000000-0010-0000-0600-000008000000}" name="Hmong Total" totalsRowFunction="sum" dataDxfId="2253" totalsRowDxfId="2252"/>
    <tableColumn id="9" xr3:uid="{00000000-0010-0000-0600-000009000000}" name="Italian Total" totalsRowFunction="sum" dataDxfId="2251" totalsRowDxfId="2250"/>
    <tableColumn id="10" xr3:uid="{00000000-0010-0000-0600-00000A000000}" name="Japanese Total" totalsRowFunction="sum" dataDxfId="2249" totalsRowDxfId="2248"/>
    <tableColumn id="11" xr3:uid="{00000000-0010-0000-0600-00000B000000}" name="Korean Total" totalsRowFunction="sum" dataDxfId="2247" totalsRowDxfId="2246"/>
    <tableColumn id="12" xr3:uid="{00000000-0010-0000-0600-00000C000000}" name="Latin Total" totalsRowFunction="sum" dataDxfId="2245" totalsRowDxfId="2244"/>
    <tableColumn id="13" xr3:uid="{00000000-0010-0000-0600-00000D000000}" name="Portuguese Total" totalsRowFunction="sum" dataDxfId="2243" totalsRowDxfId="2242"/>
    <tableColumn id="25" xr3:uid="{3970A94C-3257-4E1C-9034-5B8CBE976DEE}" name="Punjabi Total" totalsRowFunction="sum" dataDxfId="2241" totalsRowDxfId="2240"/>
    <tableColumn id="20" xr3:uid="{2E044485-3016-4CC3-85E0-8FD77DF57977}" name="Russian Total" totalsRowFunction="sum" dataDxfId="2239" totalsRowDxfId="2238"/>
    <tableColumn id="14" xr3:uid="{00000000-0010-0000-0600-00000E000000}" name="Spanish Total" totalsRowFunction="sum" dataDxfId="2237" totalsRowDxfId="2236"/>
    <tableColumn id="15" xr3:uid="{00000000-0010-0000-0600-00000F000000}" name="Tagalog (Filipino) Total" totalsRowFunction="sum" dataDxfId="2235" totalsRowDxfId="2234"/>
    <tableColumn id="26" xr3:uid="{5FCC7A52-F4DC-4FCE-A0DE-8341F66E7823}" name="Urdu Total" totalsRowFunction="sum" dataDxfId="2233" totalsRowDxfId="2232"/>
    <tableColumn id="16" xr3:uid="{00000000-0010-0000-0600-000010000000}" name="Vietnamese Total" totalsRowFunction="sum" dataDxfId="2231" totalsRowDxfId="2230"/>
    <tableColumn id="17" xr3:uid="{00000000-0010-0000-0600-000011000000}" name="Other Total" totalsRowFunction="sum" dataDxfId="2229" totalsRowDxfId="2228"/>
    <tableColumn id="21" xr3:uid="{39C26AA3-725E-4AF8-A066-06533C94B998}" name="Total Seals per LEA" totalsRowFunction="sum" dataDxfId="2227" totalsRowDxfId="2226">
      <calculatedColumnFormula>SUM(ContraCosta[[#This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DelNorte" displayName="DelNorte" ref="A2:Z4" totalsRowCount="1" headerRowDxfId="2225">
  <autoFilter ref="A2:Z3" xr:uid="{00000000-0009-0000-0100-000009000000}"/>
  <tableColumns count="26">
    <tableColumn id="1" xr3:uid="{00000000-0010-0000-0700-000001000000}" name="Participating District" totalsRowLabel="Total: 1" dataDxfId="2224" totalsRowDxfId="2223"/>
    <tableColumn id="2" xr3:uid="{00000000-0010-0000-0700-000002000000}" name="Participating School" totalsRowLabel="1" dataDxfId="2222" totalsRowDxfId="2221"/>
    <tableColumn id="3" xr3:uid="{00000000-0010-0000-0700-000003000000}" name="American Sign Language Total" totalsRowFunction="sum" dataDxfId="2220"/>
    <tableColumn id="4" xr3:uid="{00000000-0010-0000-0700-000004000000}" name="Arabic Total" totalsRowFunction="sum" dataDxfId="2219"/>
    <tableColumn id="5" xr3:uid="{00000000-0010-0000-0700-000005000000}" name="Armenian Total" totalsRowFunction="sum" dataDxfId="2218"/>
    <tableColumn id="22" xr3:uid="{F3BEB593-2BC6-4B38-9999-F8940383A0C8}" name="Bengali Total" totalsRowFunction="sum" dataDxfId="2217"/>
    <tableColumn id="18" xr3:uid="{BF64D2B3-F761-47BA-8154-941CFA2E229E}" name="Chinese (Mandarin or Cantonese) Total" totalsRowFunction="sum" dataDxfId="2216"/>
    <tableColumn id="23" xr3:uid="{7000A2AF-D5B6-41B2-82C5-012275FEA425}" name="Farsi (Persian) Total" totalsRowFunction="sum" dataDxfId="2215"/>
    <tableColumn id="6" xr3:uid="{00000000-0010-0000-0700-000006000000}" name="French Total" totalsRowFunction="sum" dataDxfId="2214"/>
    <tableColumn id="7" xr3:uid="{00000000-0010-0000-0700-000007000000}" name="German Total" totalsRowFunction="sum" dataDxfId="2213"/>
    <tableColumn id="19" xr3:uid="{7075123B-AC18-47D3-BFC5-5772044F479A}" name="Hebrew Total" totalsRowFunction="sum" dataDxfId="2212"/>
    <tableColumn id="24" xr3:uid="{9DE0968C-984B-4053-B9F6-B39E3DE4066A}" name="Hindi Total" totalsRowFunction="sum" dataDxfId="2211"/>
    <tableColumn id="8" xr3:uid="{00000000-0010-0000-0700-000008000000}" name="Hmong Total" totalsRowFunction="sum" dataDxfId="2210"/>
    <tableColumn id="9" xr3:uid="{00000000-0010-0000-0700-000009000000}" name="Italian Total" totalsRowFunction="sum" dataDxfId="2209"/>
    <tableColumn id="10" xr3:uid="{00000000-0010-0000-0700-00000A000000}" name="Japanese Total" totalsRowFunction="sum" dataDxfId="2208"/>
    <tableColumn id="11" xr3:uid="{00000000-0010-0000-0700-00000B000000}" name="Korean Total" totalsRowFunction="sum" dataDxfId="2207"/>
    <tableColumn id="12" xr3:uid="{00000000-0010-0000-0700-00000C000000}" name="Latin Total" totalsRowFunction="sum" dataDxfId="2206"/>
    <tableColumn id="13" xr3:uid="{00000000-0010-0000-0700-00000D000000}" name="Portuguese Total" totalsRowFunction="sum" dataDxfId="2205"/>
    <tableColumn id="25" xr3:uid="{42195BE9-4134-4A73-9AF5-7AEBB24856B0}" name="Punjabi Total" totalsRowFunction="sum" dataDxfId="2204"/>
    <tableColumn id="20" xr3:uid="{827CE5EC-6222-47E4-9C05-BEE7F1EB5747}" name="Russian Total" totalsRowFunction="sum" dataDxfId="2203"/>
    <tableColumn id="14" xr3:uid="{00000000-0010-0000-0700-00000E000000}" name="Spanish Total" totalsRowFunction="sum" dataDxfId="2202"/>
    <tableColumn id="15" xr3:uid="{00000000-0010-0000-0700-00000F000000}" name="Tagalog (Filipino) Total" totalsRowFunction="sum" dataDxfId="2201"/>
    <tableColumn id="26" xr3:uid="{116F6485-2376-4D6B-9D63-76420958D895}" name="Urdu Total" totalsRowFunction="sum" dataDxfId="2200"/>
    <tableColumn id="16" xr3:uid="{00000000-0010-0000-0700-000010000000}" name="Vietnamese Total" totalsRowFunction="sum" dataDxfId="2199"/>
    <tableColumn id="17" xr3:uid="{00000000-0010-0000-0700-000011000000}" name="Other Total" totalsRowFunction="sum" dataDxfId="2198"/>
    <tableColumn id="21" xr3:uid="{66019EDC-7265-4C31-8D1D-79557B7EF0D1}" name="Total Seals per LEA" totalsRowFunction="sum" dataDxfId="2197">
      <calculatedColumnFormula>SUM(DelNorte[[American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ElDorado" displayName="ElDorado" ref="A2:Z6" totalsRowCount="1" headerRowDxfId="2196" dataDxfId="2195">
  <autoFilter ref="A2:Z5" xr:uid="{00000000-0009-0000-0100-00000A000000}"/>
  <tableColumns count="26">
    <tableColumn id="1" xr3:uid="{00000000-0010-0000-0800-000001000000}" name="Participating Districts" totalsRowLabel="Total: 3" dataDxfId="2194" totalsRowDxfId="2193"/>
    <tableColumn id="2" xr3:uid="{00000000-0010-0000-0800-000002000000}" name="Participating Schools" totalsRowLabel="6" dataDxfId="2192" totalsRowDxfId="2191"/>
    <tableColumn id="3" xr3:uid="{00000000-0010-0000-0800-000003000000}" name="American Sign Language Total" totalsRowFunction="sum" dataDxfId="2190"/>
    <tableColumn id="4" xr3:uid="{00000000-0010-0000-0800-000004000000}" name="Arabic Total" totalsRowFunction="sum" dataDxfId="2189"/>
    <tableColumn id="5" xr3:uid="{00000000-0010-0000-0800-000005000000}" name="Armenian Total" totalsRowFunction="sum" dataDxfId="2188"/>
    <tableColumn id="22" xr3:uid="{4721017D-8FDE-464E-B09B-385CE427AE33}" name="Bengali Total" totalsRowFunction="sum" dataDxfId="2187"/>
    <tableColumn id="18" xr3:uid="{8E4E41BB-49D8-4649-AF46-253F9248A3A7}" name="Chinese (Mandarin or Cantonese) Total" totalsRowFunction="sum" dataDxfId="2186"/>
    <tableColumn id="23" xr3:uid="{4D091320-15C7-4750-A39C-58FFFAF7C57B}" name="Farsi (Persian) Total" totalsRowFunction="sum" dataDxfId="2185"/>
    <tableColumn id="6" xr3:uid="{00000000-0010-0000-0800-000006000000}" name="French Total" totalsRowFunction="sum" dataDxfId="2184"/>
    <tableColumn id="7" xr3:uid="{00000000-0010-0000-0800-000007000000}" name="German Total" totalsRowFunction="sum" dataDxfId="2183"/>
    <tableColumn id="19" xr3:uid="{2E980EAF-F8C5-4BD3-9F6F-42CC17DB1B9A}" name="Hebrew Total" totalsRowFunction="sum" dataDxfId="2182"/>
    <tableColumn id="24" xr3:uid="{1FD5FA1C-BA9E-432C-8FBE-EEAF86AB4E62}" name="Hindi Total" totalsRowFunction="sum" dataDxfId="2181"/>
    <tableColumn id="8" xr3:uid="{00000000-0010-0000-0800-000008000000}" name="Hmong Total" totalsRowFunction="sum" dataDxfId="2180"/>
    <tableColumn id="9" xr3:uid="{00000000-0010-0000-0800-000009000000}" name="Italian Total" totalsRowFunction="sum" dataDxfId="2179"/>
    <tableColumn id="10" xr3:uid="{00000000-0010-0000-0800-00000A000000}" name="Japanese Total" totalsRowFunction="sum" dataDxfId="2178"/>
    <tableColumn id="11" xr3:uid="{00000000-0010-0000-0800-00000B000000}" name="Korean Total" totalsRowFunction="sum" dataDxfId="2177"/>
    <tableColumn id="12" xr3:uid="{00000000-0010-0000-0800-00000C000000}" name="Latin Total" totalsRowFunction="sum" dataDxfId="2176"/>
    <tableColumn id="13" xr3:uid="{00000000-0010-0000-0800-00000D000000}" name="Portuguese Total" totalsRowFunction="sum" dataDxfId="2175"/>
    <tableColumn id="25" xr3:uid="{2C7FCBA3-286B-46F2-9578-C879F4EACB17}" name="Punjabi Total" totalsRowFunction="sum" dataDxfId="2174"/>
    <tableColumn id="20" xr3:uid="{3D0B147B-86A3-4453-8C54-ACAED832C059}" name="Russian Total" totalsRowFunction="sum" dataDxfId="2173"/>
    <tableColumn id="14" xr3:uid="{00000000-0010-0000-0800-00000E000000}" name="Spanish Total" totalsRowFunction="sum" dataDxfId="2172"/>
    <tableColumn id="15" xr3:uid="{00000000-0010-0000-0800-00000F000000}" name="Tagalog (Filipino) Total" totalsRowFunction="sum" dataDxfId="2171"/>
    <tableColumn id="26" xr3:uid="{504D6BE4-7F43-47CA-B916-014EEB931E3A}" name="Urdu Total" totalsRowFunction="sum" dataDxfId="2170"/>
    <tableColumn id="16" xr3:uid="{00000000-0010-0000-0800-000010000000}" name="Vietnamese Total" totalsRowFunction="sum" dataDxfId="2169"/>
    <tableColumn id="17" xr3:uid="{00000000-0010-0000-0800-000011000000}" name="Other Total" totalsRowFunction="sum" dataDxfId="2168"/>
    <tableColumn id="21" xr3:uid="{BD571434-6082-4B72-B681-A78A30248EDC}" name="Total Seals per LEA" totalsRowFunction="sum" dataDxfId="2167">
      <calculatedColumnFormula>SUM(ElDorado[[#This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9D1D-369A-4C1A-ACC3-76C14DAA0EE5}">
  <dimension ref="A1:AA5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9.90625" customWidth="1"/>
    <col min="2" max="3" width="14.453125" bestFit="1" customWidth="1"/>
    <col min="4" max="4" width="16.08984375" bestFit="1" customWidth="1"/>
    <col min="5" max="5" width="7.81640625" customWidth="1"/>
    <col min="6" max="6" width="9.81640625" customWidth="1"/>
    <col min="7" max="7" width="8.08984375" customWidth="1"/>
    <col min="8" max="8" width="12.36328125" customWidth="1"/>
    <col min="9" max="9" width="10.36328125" bestFit="1" customWidth="1"/>
    <col min="10" max="10" width="8.81640625" bestFit="1" customWidth="1"/>
    <col min="11" max="11" width="8.90625" customWidth="1"/>
    <col min="12" max="12" width="9.36328125" bestFit="1" customWidth="1"/>
    <col min="13" max="13" width="7.453125" bestFit="1" customWidth="1"/>
    <col min="14" max="14" width="9.08984375" bestFit="1" customWidth="1"/>
    <col min="15" max="15" width="8.08984375" bestFit="1" customWidth="1"/>
    <col min="16" max="16" width="10.1796875" customWidth="1"/>
    <col min="17" max="17" width="8" customWidth="1"/>
    <col min="18" max="18" width="7.1796875" bestFit="1" customWidth="1"/>
    <col min="19" max="19" width="11.08984375" customWidth="1"/>
    <col min="20" max="20" width="9.54296875" bestFit="1" customWidth="1"/>
    <col min="21" max="21" width="8.90625" customWidth="1"/>
    <col min="22" max="22" width="9" customWidth="1"/>
    <col min="23" max="23" width="9.1796875" customWidth="1"/>
    <col min="24" max="24" width="7.1796875" bestFit="1" customWidth="1"/>
    <col min="25" max="25" width="12" customWidth="1"/>
    <col min="26" max="26" width="7.6328125" bestFit="1" customWidth="1"/>
    <col min="27" max="27" width="7.6328125" customWidth="1"/>
  </cols>
  <sheetData>
    <row r="1" spans="1:27" ht="22.8" x14ac:dyDescent="0.4">
      <c r="A1" s="29" t="s">
        <v>116</v>
      </c>
      <c r="B1" s="1"/>
    </row>
    <row r="2" spans="1:27" x14ac:dyDescent="0.25">
      <c r="A2" t="s">
        <v>103</v>
      </c>
    </row>
    <row r="3" spans="1:27" x14ac:dyDescent="0.25">
      <c r="A3" s="25" t="s">
        <v>142</v>
      </c>
    </row>
    <row r="4" spans="1:27" ht="60" customHeight="1" x14ac:dyDescent="0.25">
      <c r="A4" s="2" t="s">
        <v>50</v>
      </c>
      <c r="B4" s="2" t="s">
        <v>63</v>
      </c>
      <c r="C4" s="2" t="s">
        <v>51</v>
      </c>
      <c r="D4" s="2" t="s">
        <v>52</v>
      </c>
      <c r="E4" s="2" t="s">
        <v>64</v>
      </c>
      <c r="F4" s="2" t="s">
        <v>82</v>
      </c>
      <c r="G4" s="2" t="s">
        <v>90</v>
      </c>
      <c r="H4" s="2" t="s">
        <v>104</v>
      </c>
      <c r="I4" s="2" t="s">
        <v>91</v>
      </c>
      <c r="J4" s="2" t="s">
        <v>53</v>
      </c>
      <c r="K4" s="2" t="s">
        <v>54</v>
      </c>
      <c r="L4" s="2" t="s">
        <v>81</v>
      </c>
      <c r="M4" s="2" t="s">
        <v>92</v>
      </c>
      <c r="N4" s="2" t="s">
        <v>68</v>
      </c>
      <c r="O4" s="2" t="s">
        <v>65</v>
      </c>
      <c r="P4" s="2" t="s">
        <v>55</v>
      </c>
      <c r="Q4" s="2" t="s">
        <v>56</v>
      </c>
      <c r="R4" s="2" t="s">
        <v>57</v>
      </c>
      <c r="S4" s="2" t="s">
        <v>83</v>
      </c>
      <c r="T4" s="2" t="s">
        <v>93</v>
      </c>
      <c r="U4" s="2" t="s">
        <v>84</v>
      </c>
      <c r="V4" s="2" t="s">
        <v>58</v>
      </c>
      <c r="W4" s="2" t="s">
        <v>80</v>
      </c>
      <c r="X4" s="2" t="s">
        <v>94</v>
      </c>
      <c r="Y4" s="2" t="s">
        <v>59</v>
      </c>
      <c r="Z4" s="2" t="s">
        <v>60</v>
      </c>
      <c r="AA4" s="2" t="s">
        <v>61</v>
      </c>
    </row>
    <row r="5" spans="1:27" x14ac:dyDescent="0.25">
      <c r="A5" t="s">
        <v>4</v>
      </c>
      <c r="B5" s="3">
        <v>24</v>
      </c>
      <c r="C5" s="27">
        <v>50</v>
      </c>
      <c r="D5" s="3">
        <v>76</v>
      </c>
      <c r="E5" s="3">
        <v>28</v>
      </c>
      <c r="F5" s="3">
        <v>0</v>
      </c>
      <c r="G5" s="3">
        <v>0</v>
      </c>
      <c r="H5" s="3">
        <v>476</v>
      </c>
      <c r="I5" s="3">
        <v>0</v>
      </c>
      <c r="J5" s="3">
        <v>209</v>
      </c>
      <c r="K5" s="3">
        <v>17</v>
      </c>
      <c r="L5" s="3">
        <v>0</v>
      </c>
      <c r="M5" s="3">
        <v>11</v>
      </c>
      <c r="N5" s="3">
        <v>0</v>
      </c>
      <c r="O5" s="3">
        <v>1</v>
      </c>
      <c r="P5" s="3">
        <v>54</v>
      </c>
      <c r="Q5" s="3">
        <v>1</v>
      </c>
      <c r="R5" s="3">
        <v>3</v>
      </c>
      <c r="S5" s="3">
        <v>0</v>
      </c>
      <c r="T5" s="3">
        <v>10</v>
      </c>
      <c r="U5" s="3">
        <v>5</v>
      </c>
      <c r="V5" s="3">
        <v>1347</v>
      </c>
      <c r="W5" s="3">
        <v>5</v>
      </c>
      <c r="X5" s="3">
        <v>2</v>
      </c>
      <c r="Y5" s="3">
        <v>13</v>
      </c>
      <c r="Z5" s="3">
        <v>67</v>
      </c>
      <c r="AA5" s="3">
        <f t="shared" ref="AA5:AA36" si="0">SUM(D5:Z5)</f>
        <v>2325</v>
      </c>
    </row>
    <row r="6" spans="1:27" x14ac:dyDescent="0.25">
      <c r="A6" t="s">
        <v>46</v>
      </c>
      <c r="B6" s="3">
        <v>1</v>
      </c>
      <c r="C6" s="27">
        <v>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26</v>
      </c>
      <c r="W6" s="3">
        <v>0</v>
      </c>
      <c r="X6" s="3">
        <v>0</v>
      </c>
      <c r="Y6" s="3">
        <v>0</v>
      </c>
      <c r="Z6" s="3">
        <v>0</v>
      </c>
      <c r="AA6" s="3">
        <f t="shared" si="0"/>
        <v>26</v>
      </c>
    </row>
    <row r="7" spans="1:27" x14ac:dyDescent="0.25">
      <c r="A7" t="s">
        <v>27</v>
      </c>
      <c r="B7" s="3">
        <v>5</v>
      </c>
      <c r="C7" s="27">
        <v>7</v>
      </c>
      <c r="D7" s="3">
        <v>0</v>
      </c>
      <c r="E7" s="3">
        <v>0</v>
      </c>
      <c r="F7" s="3">
        <v>0</v>
      </c>
      <c r="G7" s="3">
        <v>0</v>
      </c>
      <c r="H7" s="3">
        <v>1</v>
      </c>
      <c r="I7" s="3">
        <v>0</v>
      </c>
      <c r="J7" s="3">
        <v>12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224</v>
      </c>
      <c r="W7" s="3">
        <v>0</v>
      </c>
      <c r="X7" s="3">
        <v>0</v>
      </c>
      <c r="Y7" s="3">
        <v>0</v>
      </c>
      <c r="Z7" s="3">
        <v>0</v>
      </c>
      <c r="AA7" s="3">
        <f t="shared" si="0"/>
        <v>237</v>
      </c>
    </row>
    <row r="8" spans="1:27" x14ac:dyDescent="0.25">
      <c r="A8" t="s">
        <v>40</v>
      </c>
      <c r="B8" s="3">
        <v>2</v>
      </c>
      <c r="C8" s="27">
        <v>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18</v>
      </c>
      <c r="W8" s="3">
        <v>0</v>
      </c>
      <c r="X8" s="3">
        <v>0</v>
      </c>
      <c r="Y8" s="3">
        <v>0</v>
      </c>
      <c r="Z8" s="3">
        <v>0</v>
      </c>
      <c r="AA8" s="3">
        <f t="shared" si="0"/>
        <v>18</v>
      </c>
    </row>
    <row r="9" spans="1:27" x14ac:dyDescent="0.25">
      <c r="A9" t="s">
        <v>31</v>
      </c>
      <c r="B9">
        <v>4</v>
      </c>
      <c r="C9" s="27">
        <v>4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86</v>
      </c>
      <c r="W9" s="3">
        <v>0</v>
      </c>
      <c r="X9" s="3">
        <v>0</v>
      </c>
      <c r="Y9" s="3">
        <v>0</v>
      </c>
      <c r="Z9" s="3">
        <v>0</v>
      </c>
      <c r="AA9" s="3">
        <f t="shared" si="0"/>
        <v>86</v>
      </c>
    </row>
    <row r="10" spans="1:27" x14ac:dyDescent="0.25">
      <c r="A10" t="s">
        <v>35</v>
      </c>
      <c r="B10" s="3">
        <v>13</v>
      </c>
      <c r="C10" s="27">
        <v>22</v>
      </c>
      <c r="D10" s="3">
        <v>2</v>
      </c>
      <c r="E10" s="3">
        <v>3</v>
      </c>
      <c r="F10" s="3">
        <v>0</v>
      </c>
      <c r="G10" s="3">
        <v>0</v>
      </c>
      <c r="H10" s="3">
        <v>172</v>
      </c>
      <c r="I10" s="3">
        <v>0</v>
      </c>
      <c r="J10" s="3">
        <v>254</v>
      </c>
      <c r="K10" s="3">
        <v>36</v>
      </c>
      <c r="L10" s="3">
        <v>0</v>
      </c>
      <c r="M10" s="3">
        <v>2</v>
      </c>
      <c r="N10" s="3">
        <v>0</v>
      </c>
      <c r="O10" s="3">
        <v>3</v>
      </c>
      <c r="P10" s="3">
        <v>48</v>
      </c>
      <c r="Q10" s="3">
        <v>19</v>
      </c>
      <c r="R10" s="3">
        <v>34</v>
      </c>
      <c r="S10" s="3">
        <v>5</v>
      </c>
      <c r="T10" s="3">
        <v>0</v>
      </c>
      <c r="U10" s="3">
        <v>4</v>
      </c>
      <c r="V10" s="3">
        <v>1397</v>
      </c>
      <c r="W10" s="3">
        <v>7</v>
      </c>
      <c r="X10" s="3">
        <v>0</v>
      </c>
      <c r="Y10" s="3">
        <v>0</v>
      </c>
      <c r="Z10" s="3">
        <v>6</v>
      </c>
      <c r="AA10" s="3">
        <f t="shared" si="0"/>
        <v>1992</v>
      </c>
    </row>
    <row r="11" spans="1:27" x14ac:dyDescent="0.25">
      <c r="A11" t="s">
        <v>29</v>
      </c>
      <c r="B11" s="3">
        <v>1</v>
      </c>
      <c r="C11" s="27">
        <v>1</v>
      </c>
      <c r="D11" s="3">
        <v>0</v>
      </c>
      <c r="E11" s="3">
        <v>0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9</v>
      </c>
      <c r="W11" s="3">
        <v>0</v>
      </c>
      <c r="X11" s="3">
        <v>0</v>
      </c>
      <c r="Y11" s="3">
        <v>0</v>
      </c>
      <c r="Z11" s="3">
        <v>2</v>
      </c>
      <c r="AA11" s="3">
        <f t="shared" si="0"/>
        <v>13</v>
      </c>
    </row>
    <row r="12" spans="1:27" x14ac:dyDescent="0.25">
      <c r="A12" t="s">
        <v>39</v>
      </c>
      <c r="B12" s="3">
        <v>3</v>
      </c>
      <c r="C12" s="27">
        <v>6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26</v>
      </c>
      <c r="K12" s="3">
        <v>5</v>
      </c>
      <c r="L12" s="3">
        <v>0</v>
      </c>
      <c r="M12" s="3">
        <v>0</v>
      </c>
      <c r="N12" s="3">
        <v>0</v>
      </c>
      <c r="O12" s="3">
        <v>4</v>
      </c>
      <c r="P12" s="3">
        <v>7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156</v>
      </c>
      <c r="W12" s="3">
        <v>0</v>
      </c>
      <c r="X12" s="3">
        <v>0</v>
      </c>
      <c r="Y12" s="3">
        <v>0</v>
      </c>
      <c r="Z12" s="3">
        <v>1</v>
      </c>
      <c r="AA12" s="3">
        <f t="shared" si="0"/>
        <v>199</v>
      </c>
    </row>
    <row r="13" spans="1:27" x14ac:dyDescent="0.25">
      <c r="A13" t="s">
        <v>10</v>
      </c>
      <c r="B13">
        <v>18</v>
      </c>
      <c r="C13" s="27">
        <v>39</v>
      </c>
      <c r="D13" s="3">
        <v>6</v>
      </c>
      <c r="E13" s="3">
        <v>2</v>
      </c>
      <c r="F13" s="3">
        <v>0</v>
      </c>
      <c r="G13" s="3">
        <v>0</v>
      </c>
      <c r="H13" s="3">
        <v>11</v>
      </c>
      <c r="I13" s="3">
        <v>0</v>
      </c>
      <c r="J13" s="3">
        <v>58</v>
      </c>
      <c r="K13" s="3">
        <v>2</v>
      </c>
      <c r="L13" s="3">
        <v>0</v>
      </c>
      <c r="M13" s="3">
        <v>1</v>
      </c>
      <c r="N13" s="3">
        <v>110</v>
      </c>
      <c r="O13" s="3">
        <v>0</v>
      </c>
      <c r="P13" s="3">
        <v>1</v>
      </c>
      <c r="Q13" s="3">
        <v>1</v>
      </c>
      <c r="R13" s="3">
        <v>21</v>
      </c>
      <c r="S13" s="3">
        <v>0</v>
      </c>
      <c r="T13" s="3">
        <v>11</v>
      </c>
      <c r="U13" s="3">
        <v>0</v>
      </c>
      <c r="V13" s="3">
        <v>1309</v>
      </c>
      <c r="W13" s="3">
        <v>0</v>
      </c>
      <c r="X13" s="3">
        <v>1</v>
      </c>
      <c r="Y13" s="3">
        <v>1</v>
      </c>
      <c r="Z13" s="3">
        <v>0</v>
      </c>
      <c r="AA13" s="3">
        <f t="shared" si="0"/>
        <v>1535</v>
      </c>
    </row>
    <row r="14" spans="1:27" x14ac:dyDescent="0.25">
      <c r="A14" t="s">
        <v>22</v>
      </c>
      <c r="B14" s="3">
        <v>3</v>
      </c>
      <c r="C14" s="27">
        <v>3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38</v>
      </c>
      <c r="W14" s="3">
        <v>0</v>
      </c>
      <c r="X14" s="3">
        <v>0</v>
      </c>
      <c r="Y14" s="3">
        <v>0</v>
      </c>
      <c r="Z14" s="3">
        <v>0</v>
      </c>
      <c r="AA14" s="3">
        <f t="shared" si="0"/>
        <v>38</v>
      </c>
    </row>
    <row r="15" spans="1:27" x14ac:dyDescent="0.25">
      <c r="A15" t="s">
        <v>13</v>
      </c>
      <c r="B15" s="3">
        <v>5</v>
      </c>
      <c r="C15" s="27">
        <v>7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14</v>
      </c>
      <c r="K15" s="3">
        <v>13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107</v>
      </c>
      <c r="W15" s="3">
        <v>1</v>
      </c>
      <c r="X15" s="3">
        <v>1</v>
      </c>
      <c r="Y15" s="3">
        <v>0</v>
      </c>
      <c r="Z15" s="3">
        <v>12</v>
      </c>
      <c r="AA15" s="3">
        <f t="shared" si="0"/>
        <v>149</v>
      </c>
    </row>
    <row r="16" spans="1:27" x14ac:dyDescent="0.25">
      <c r="A16" t="s">
        <v>48</v>
      </c>
      <c r="B16">
        <v>5</v>
      </c>
      <c r="C16" s="27">
        <v>7</v>
      </c>
      <c r="D16" s="3">
        <v>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293</v>
      </c>
      <c r="W16" s="3">
        <v>0</v>
      </c>
      <c r="X16" s="3">
        <v>0</v>
      </c>
      <c r="Y16" s="3">
        <v>0</v>
      </c>
      <c r="Z16" s="3">
        <v>0</v>
      </c>
      <c r="AA16" s="3">
        <f t="shared" si="0"/>
        <v>300</v>
      </c>
    </row>
    <row r="17" spans="1:27" x14ac:dyDescent="0.25">
      <c r="A17" t="s">
        <v>87</v>
      </c>
      <c r="B17" s="3">
        <v>1</v>
      </c>
      <c r="C17" s="27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14</v>
      </c>
      <c r="W17" s="3">
        <v>0</v>
      </c>
      <c r="X17" s="3">
        <v>0</v>
      </c>
      <c r="Y17" s="3">
        <v>0</v>
      </c>
      <c r="Z17" s="3">
        <v>0</v>
      </c>
      <c r="AA17" s="3">
        <f t="shared" si="0"/>
        <v>14</v>
      </c>
    </row>
    <row r="18" spans="1:27" x14ac:dyDescent="0.25">
      <c r="A18" t="s">
        <v>16</v>
      </c>
      <c r="B18" s="3">
        <v>10</v>
      </c>
      <c r="C18" s="27">
        <v>29</v>
      </c>
      <c r="D18" s="3">
        <v>20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85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21</v>
      </c>
      <c r="Q18" s="3">
        <v>0</v>
      </c>
      <c r="R18" s="3">
        <v>20</v>
      </c>
      <c r="S18" s="3">
        <v>0</v>
      </c>
      <c r="T18" s="3">
        <v>0</v>
      </c>
      <c r="U18" s="3">
        <v>0</v>
      </c>
      <c r="V18" s="3">
        <v>2067</v>
      </c>
      <c r="W18" s="3">
        <v>0</v>
      </c>
      <c r="X18" s="3">
        <v>0</v>
      </c>
      <c r="Y18" s="3">
        <v>0</v>
      </c>
      <c r="Z18" s="3">
        <v>5</v>
      </c>
      <c r="AA18" s="3">
        <f t="shared" si="0"/>
        <v>2219</v>
      </c>
    </row>
    <row r="19" spans="1:27" x14ac:dyDescent="0.25">
      <c r="A19" t="s">
        <v>33</v>
      </c>
      <c r="B19">
        <v>4</v>
      </c>
      <c r="C19" s="27">
        <v>6</v>
      </c>
      <c r="D19" s="3">
        <v>0</v>
      </c>
      <c r="E19" s="3">
        <v>3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89</v>
      </c>
      <c r="W19" s="3">
        <v>0</v>
      </c>
      <c r="X19" s="3">
        <v>0</v>
      </c>
      <c r="Y19" s="3">
        <v>0</v>
      </c>
      <c r="Z19" s="3">
        <v>0</v>
      </c>
      <c r="AA19" s="3">
        <f t="shared" si="0"/>
        <v>93</v>
      </c>
    </row>
    <row r="20" spans="1:27" x14ac:dyDescent="0.25">
      <c r="A20" t="s">
        <v>36</v>
      </c>
      <c r="B20" s="3">
        <v>2</v>
      </c>
      <c r="C20" s="27">
        <v>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4</v>
      </c>
      <c r="W20" s="3">
        <v>0</v>
      </c>
      <c r="X20" s="3">
        <v>0</v>
      </c>
      <c r="Y20" s="3">
        <v>0</v>
      </c>
      <c r="Z20" s="3">
        <v>0</v>
      </c>
      <c r="AA20" s="3">
        <f t="shared" si="0"/>
        <v>4</v>
      </c>
    </row>
    <row r="21" spans="1:27" x14ac:dyDescent="0.25">
      <c r="A21" t="s">
        <v>45</v>
      </c>
      <c r="B21" s="3">
        <v>1</v>
      </c>
      <c r="C21" s="27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12</v>
      </c>
      <c r="W21" s="3">
        <v>0</v>
      </c>
      <c r="X21" s="3">
        <v>0</v>
      </c>
      <c r="Y21" s="3">
        <v>0</v>
      </c>
      <c r="Z21" s="3">
        <v>0</v>
      </c>
      <c r="AA21" s="3">
        <f t="shared" si="0"/>
        <v>12</v>
      </c>
    </row>
    <row r="22" spans="1:27" x14ac:dyDescent="0.25">
      <c r="A22" t="s">
        <v>1</v>
      </c>
      <c r="B22" s="5">
        <v>94</v>
      </c>
      <c r="C22" s="28">
        <v>334</v>
      </c>
      <c r="D22" s="3">
        <v>171</v>
      </c>
      <c r="E22" s="3">
        <v>27</v>
      </c>
      <c r="F22" s="3">
        <v>263</v>
      </c>
      <c r="G22" s="3">
        <v>13</v>
      </c>
      <c r="H22" s="3">
        <v>919</v>
      </c>
      <c r="I22" s="3">
        <v>38</v>
      </c>
      <c r="J22" s="3">
        <v>696</v>
      </c>
      <c r="K22" s="3">
        <v>161</v>
      </c>
      <c r="L22" s="3">
        <v>20</v>
      </c>
      <c r="M22" s="3">
        <v>5</v>
      </c>
      <c r="N22" s="3">
        <v>0</v>
      </c>
      <c r="O22" s="3">
        <v>36</v>
      </c>
      <c r="P22" s="3">
        <v>410</v>
      </c>
      <c r="Q22" s="3">
        <v>351</v>
      </c>
      <c r="R22" s="3">
        <v>36</v>
      </c>
      <c r="S22" s="3">
        <v>11</v>
      </c>
      <c r="T22" s="3">
        <v>2</v>
      </c>
      <c r="U22" s="3">
        <v>149</v>
      </c>
      <c r="V22" s="3">
        <v>16544</v>
      </c>
      <c r="W22" s="3">
        <v>209</v>
      </c>
      <c r="X22" s="3">
        <v>4</v>
      </c>
      <c r="Y22" s="3">
        <v>17</v>
      </c>
      <c r="Z22" s="3">
        <v>47</v>
      </c>
      <c r="AA22" s="3">
        <f>SUM(D22:Z22)</f>
        <v>20129</v>
      </c>
    </row>
    <row r="23" spans="1:27" x14ac:dyDescent="0.25">
      <c r="A23" t="s">
        <v>24</v>
      </c>
      <c r="B23" s="3">
        <v>4</v>
      </c>
      <c r="C23" s="27">
        <v>6</v>
      </c>
      <c r="D23" s="3">
        <v>0</v>
      </c>
      <c r="E23" s="3">
        <v>1</v>
      </c>
      <c r="F23" s="3">
        <v>0</v>
      </c>
      <c r="G23" s="3">
        <v>0</v>
      </c>
      <c r="H23" s="3">
        <v>1</v>
      </c>
      <c r="I23" s="3">
        <v>0</v>
      </c>
      <c r="J23" s="3">
        <v>6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  <c r="R23" s="3">
        <v>0</v>
      </c>
      <c r="S23" s="3">
        <v>1</v>
      </c>
      <c r="T23" s="3">
        <v>3</v>
      </c>
      <c r="U23" s="3">
        <v>0</v>
      </c>
      <c r="V23" s="3">
        <v>357</v>
      </c>
      <c r="W23" s="3">
        <v>0</v>
      </c>
      <c r="X23" s="3">
        <v>0</v>
      </c>
      <c r="Y23" s="3">
        <v>0</v>
      </c>
      <c r="Z23" s="3">
        <v>2</v>
      </c>
      <c r="AA23" s="3">
        <f t="shared" si="0"/>
        <v>372</v>
      </c>
    </row>
    <row r="24" spans="1:27" x14ac:dyDescent="0.25">
      <c r="A24" t="s">
        <v>11</v>
      </c>
      <c r="B24" s="3">
        <v>4</v>
      </c>
      <c r="C24" s="27">
        <v>9</v>
      </c>
      <c r="D24" s="3">
        <v>0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85</v>
      </c>
      <c r="K24" s="3">
        <v>1</v>
      </c>
      <c r="L24" s="3">
        <v>0</v>
      </c>
      <c r="M24" s="3">
        <v>0</v>
      </c>
      <c r="N24" s="3">
        <v>0</v>
      </c>
      <c r="O24" s="3">
        <v>5</v>
      </c>
      <c r="P24" s="3">
        <v>6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478</v>
      </c>
      <c r="W24" s="3">
        <v>0</v>
      </c>
      <c r="X24" s="3">
        <v>0</v>
      </c>
      <c r="Y24" s="3">
        <v>0</v>
      </c>
      <c r="Z24" s="3">
        <v>0</v>
      </c>
      <c r="AA24" s="3">
        <f t="shared" si="0"/>
        <v>576</v>
      </c>
    </row>
    <row r="25" spans="1:27" x14ac:dyDescent="0.25">
      <c r="A25" t="s">
        <v>20</v>
      </c>
      <c r="B25" s="3">
        <v>4</v>
      </c>
      <c r="C25" s="27">
        <v>4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10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95</v>
      </c>
      <c r="W25" s="3">
        <v>0</v>
      </c>
      <c r="X25" s="3">
        <v>0</v>
      </c>
      <c r="Y25" s="3">
        <v>0</v>
      </c>
      <c r="Z25" s="3">
        <v>0</v>
      </c>
      <c r="AA25" s="3">
        <f t="shared" si="0"/>
        <v>106</v>
      </c>
    </row>
    <row r="26" spans="1:27" x14ac:dyDescent="0.25">
      <c r="A26" t="s">
        <v>23</v>
      </c>
      <c r="B26" s="3">
        <v>8</v>
      </c>
      <c r="C26" s="27">
        <v>15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9</v>
      </c>
      <c r="T26" s="3">
        <v>2</v>
      </c>
      <c r="U26" s="3">
        <v>0</v>
      </c>
      <c r="V26" s="3">
        <v>309</v>
      </c>
      <c r="W26" s="3">
        <v>0</v>
      </c>
      <c r="X26" s="3">
        <v>0</v>
      </c>
      <c r="Y26" s="3">
        <v>0</v>
      </c>
      <c r="Z26" s="3">
        <v>0</v>
      </c>
      <c r="AA26" s="3">
        <f t="shared" si="0"/>
        <v>322</v>
      </c>
    </row>
    <row r="27" spans="1:27" x14ac:dyDescent="0.25">
      <c r="A27" t="s">
        <v>42</v>
      </c>
      <c r="B27">
        <v>2</v>
      </c>
      <c r="C27" s="28">
        <v>3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51</v>
      </c>
      <c r="W27" s="3">
        <v>0</v>
      </c>
      <c r="X27" s="3">
        <v>0</v>
      </c>
      <c r="Y27" s="3">
        <v>0</v>
      </c>
      <c r="Z27" s="3">
        <v>0</v>
      </c>
      <c r="AA27" s="3">
        <f t="shared" si="0"/>
        <v>51</v>
      </c>
    </row>
    <row r="28" spans="1:27" x14ac:dyDescent="0.25">
      <c r="A28" t="s">
        <v>28</v>
      </c>
      <c r="B28" s="3">
        <v>8</v>
      </c>
      <c r="C28" s="27">
        <v>19</v>
      </c>
      <c r="D28" s="3">
        <v>4</v>
      </c>
      <c r="E28" s="3">
        <v>1</v>
      </c>
      <c r="F28" s="3">
        <v>0</v>
      </c>
      <c r="G28" s="3">
        <v>0</v>
      </c>
      <c r="H28" s="3">
        <v>4</v>
      </c>
      <c r="I28" s="3">
        <v>0</v>
      </c>
      <c r="J28" s="3">
        <v>60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53</v>
      </c>
      <c r="Q28" s="3">
        <v>0</v>
      </c>
      <c r="R28" s="3">
        <v>0</v>
      </c>
      <c r="S28" s="3">
        <v>0</v>
      </c>
      <c r="T28" s="3">
        <v>0</v>
      </c>
      <c r="U28" s="3">
        <v>1</v>
      </c>
      <c r="V28" s="3">
        <v>877</v>
      </c>
      <c r="W28" s="3">
        <v>4</v>
      </c>
      <c r="X28" s="3">
        <v>0</v>
      </c>
      <c r="Y28" s="3">
        <v>0</v>
      </c>
      <c r="Z28" s="3">
        <v>6</v>
      </c>
      <c r="AA28" s="3">
        <f t="shared" si="0"/>
        <v>1011</v>
      </c>
    </row>
    <row r="29" spans="1:27" x14ac:dyDescent="0.25">
      <c r="A29" t="s">
        <v>37</v>
      </c>
      <c r="B29" s="3">
        <v>3</v>
      </c>
      <c r="C29" s="27">
        <v>6</v>
      </c>
      <c r="D29" s="3">
        <v>5</v>
      </c>
      <c r="E29" s="3">
        <v>0</v>
      </c>
      <c r="F29" s="3">
        <v>0</v>
      </c>
      <c r="G29" s="3">
        <v>0</v>
      </c>
      <c r="H29" s="3">
        <v>8</v>
      </c>
      <c r="I29" s="3">
        <v>0</v>
      </c>
      <c r="J29" s="3">
        <v>50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5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379</v>
      </c>
      <c r="W29" s="3">
        <v>0</v>
      </c>
      <c r="X29" s="3">
        <v>0</v>
      </c>
      <c r="Y29" s="3">
        <v>0</v>
      </c>
      <c r="Z29" s="3">
        <v>0</v>
      </c>
      <c r="AA29" s="3">
        <f t="shared" si="0"/>
        <v>447</v>
      </c>
    </row>
    <row r="30" spans="1:27" x14ac:dyDescent="0.25">
      <c r="A30" t="s">
        <v>49</v>
      </c>
      <c r="B30">
        <v>1</v>
      </c>
      <c r="C30" s="27">
        <v>3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32</v>
      </c>
      <c r="W30" s="3">
        <v>0</v>
      </c>
      <c r="X30" s="3">
        <v>0</v>
      </c>
      <c r="Y30" s="3">
        <v>0</v>
      </c>
      <c r="Z30" s="3">
        <v>0</v>
      </c>
      <c r="AA30" s="3">
        <f t="shared" si="0"/>
        <v>32</v>
      </c>
    </row>
    <row r="31" spans="1:27" x14ac:dyDescent="0.25">
      <c r="A31" t="s">
        <v>8</v>
      </c>
      <c r="B31">
        <v>23</v>
      </c>
      <c r="C31" s="28">
        <v>91</v>
      </c>
      <c r="D31" s="3">
        <v>143</v>
      </c>
      <c r="E31" s="3">
        <v>34</v>
      </c>
      <c r="F31" s="3">
        <v>0</v>
      </c>
      <c r="G31" s="3">
        <v>2</v>
      </c>
      <c r="H31" s="3">
        <v>482</v>
      </c>
      <c r="I31" s="3">
        <v>2</v>
      </c>
      <c r="J31" s="3">
        <v>611</v>
      </c>
      <c r="K31" s="3">
        <v>56</v>
      </c>
      <c r="L31" s="3">
        <v>0</v>
      </c>
      <c r="M31" s="3">
        <v>3</v>
      </c>
      <c r="N31" s="3">
        <v>0</v>
      </c>
      <c r="O31" s="3">
        <v>1</v>
      </c>
      <c r="P31" s="3">
        <v>130</v>
      </c>
      <c r="Q31" s="3">
        <v>161</v>
      </c>
      <c r="R31" s="3">
        <v>59</v>
      </c>
      <c r="S31" s="3">
        <v>7</v>
      </c>
      <c r="T31" s="3">
        <v>4</v>
      </c>
      <c r="U31" s="3">
        <v>258</v>
      </c>
      <c r="V31" s="3">
        <v>5734</v>
      </c>
      <c r="W31" s="3">
        <v>22</v>
      </c>
      <c r="X31" s="3">
        <v>2</v>
      </c>
      <c r="Y31" s="3">
        <v>467</v>
      </c>
      <c r="Z31" s="3">
        <v>12</v>
      </c>
      <c r="AA31" s="3">
        <f t="shared" si="0"/>
        <v>8190</v>
      </c>
    </row>
    <row r="32" spans="1:27" x14ac:dyDescent="0.25">
      <c r="A32" t="s">
        <v>19</v>
      </c>
      <c r="B32">
        <v>6</v>
      </c>
      <c r="C32" s="28">
        <v>20</v>
      </c>
      <c r="D32" s="3">
        <v>45</v>
      </c>
      <c r="E32" s="3">
        <v>2</v>
      </c>
      <c r="F32" s="3">
        <v>0</v>
      </c>
      <c r="G32" s="3">
        <v>0</v>
      </c>
      <c r="H32" s="3">
        <v>14</v>
      </c>
      <c r="I32" s="3">
        <v>1</v>
      </c>
      <c r="J32" s="3">
        <v>38</v>
      </c>
      <c r="K32" s="3">
        <v>2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1</v>
      </c>
      <c r="R32" s="3">
        <v>0</v>
      </c>
      <c r="S32" s="3">
        <v>0</v>
      </c>
      <c r="T32" s="3">
        <v>1</v>
      </c>
      <c r="U32" s="3">
        <v>7</v>
      </c>
      <c r="V32" s="3">
        <v>985</v>
      </c>
      <c r="W32" s="3">
        <v>0</v>
      </c>
      <c r="X32" s="3">
        <v>1</v>
      </c>
      <c r="Y32" s="3">
        <v>1</v>
      </c>
      <c r="Z32" s="3">
        <v>7</v>
      </c>
      <c r="AA32" s="3">
        <f t="shared" si="0"/>
        <v>1105</v>
      </c>
    </row>
    <row r="33" spans="1:27" x14ac:dyDescent="0.25">
      <c r="A33" t="s">
        <v>44</v>
      </c>
      <c r="B33" s="3">
        <v>1</v>
      </c>
      <c r="C33" s="27">
        <v>4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10</v>
      </c>
      <c r="W33" s="3">
        <v>0</v>
      </c>
      <c r="X33" s="3">
        <v>0</v>
      </c>
      <c r="Y33" s="3">
        <v>0</v>
      </c>
      <c r="Z33" s="3">
        <v>0</v>
      </c>
      <c r="AA33" s="3">
        <f t="shared" si="0"/>
        <v>10</v>
      </c>
    </row>
    <row r="34" spans="1:27" x14ac:dyDescent="0.25">
      <c r="A34" t="s">
        <v>0</v>
      </c>
      <c r="B34" s="3">
        <v>21</v>
      </c>
      <c r="C34" s="27">
        <v>68</v>
      </c>
      <c r="D34" s="3">
        <v>230</v>
      </c>
      <c r="E34" s="3">
        <v>7</v>
      </c>
      <c r="F34" s="3">
        <v>0</v>
      </c>
      <c r="G34" s="3">
        <v>1</v>
      </c>
      <c r="H34" s="3">
        <v>77</v>
      </c>
      <c r="I34" s="3">
        <v>0</v>
      </c>
      <c r="J34" s="3">
        <v>145</v>
      </c>
      <c r="K34" s="3">
        <v>6</v>
      </c>
      <c r="L34" s="3">
        <v>0</v>
      </c>
      <c r="M34" s="3">
        <v>1</v>
      </c>
      <c r="N34" s="3">
        <v>3</v>
      </c>
      <c r="O34" s="3">
        <v>1</v>
      </c>
      <c r="P34" s="3">
        <v>5</v>
      </c>
      <c r="Q34" s="3">
        <v>21</v>
      </c>
      <c r="R34" s="3">
        <v>3</v>
      </c>
      <c r="S34" s="3">
        <v>0</v>
      </c>
      <c r="T34" s="3">
        <v>2</v>
      </c>
      <c r="U34" s="3">
        <v>0</v>
      </c>
      <c r="V34" s="3">
        <v>4095</v>
      </c>
      <c r="W34" s="3">
        <v>4</v>
      </c>
      <c r="X34" s="3">
        <v>0</v>
      </c>
      <c r="Y34" s="3">
        <v>4</v>
      </c>
      <c r="Z34" s="3">
        <v>1</v>
      </c>
      <c r="AA34" s="3">
        <v>4606</v>
      </c>
    </row>
    <row r="35" spans="1:27" x14ac:dyDescent="0.25">
      <c r="A35" t="s">
        <v>62</v>
      </c>
      <c r="B35" s="3">
        <v>12</v>
      </c>
      <c r="C35" s="27">
        <v>52</v>
      </c>
      <c r="D35" s="3">
        <v>16</v>
      </c>
      <c r="E35" s="3">
        <v>27</v>
      </c>
      <c r="F35" s="3">
        <v>3</v>
      </c>
      <c r="G35" s="3">
        <v>0</v>
      </c>
      <c r="H35" s="3">
        <v>94</v>
      </c>
      <c r="I35" s="3">
        <v>22</v>
      </c>
      <c r="J35" s="3">
        <v>205</v>
      </c>
      <c r="K35" s="3">
        <v>29</v>
      </c>
      <c r="L35" s="3">
        <v>0</v>
      </c>
      <c r="M35" s="3">
        <v>8</v>
      </c>
      <c r="N35" s="3">
        <v>27</v>
      </c>
      <c r="O35" s="3">
        <v>0</v>
      </c>
      <c r="P35" s="3">
        <v>113</v>
      </c>
      <c r="Q35" s="3">
        <v>8</v>
      </c>
      <c r="R35" s="3">
        <v>0</v>
      </c>
      <c r="S35" s="3">
        <v>1</v>
      </c>
      <c r="T35" s="3">
        <v>27</v>
      </c>
      <c r="U35" s="3">
        <v>45</v>
      </c>
      <c r="V35" s="3">
        <v>1463</v>
      </c>
      <c r="W35" s="3">
        <v>29</v>
      </c>
      <c r="X35" s="3">
        <v>13</v>
      </c>
      <c r="Y35" s="3">
        <v>21</v>
      </c>
      <c r="Z35" s="3">
        <v>85</v>
      </c>
      <c r="AA35" s="3">
        <f t="shared" si="0"/>
        <v>2236</v>
      </c>
    </row>
    <row r="36" spans="1:27" x14ac:dyDescent="0.25">
      <c r="A36" t="s">
        <v>47</v>
      </c>
      <c r="B36">
        <v>1</v>
      </c>
      <c r="C36" s="28">
        <v>1</v>
      </c>
      <c r="D36" s="3">
        <v>15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10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94</v>
      </c>
      <c r="W36" s="3">
        <v>0</v>
      </c>
      <c r="X36" s="3">
        <v>0</v>
      </c>
      <c r="Y36" s="3">
        <v>0</v>
      </c>
      <c r="Z36" s="3">
        <v>0</v>
      </c>
      <c r="AA36" s="3">
        <f t="shared" si="0"/>
        <v>119</v>
      </c>
    </row>
    <row r="37" spans="1:27" x14ac:dyDescent="0.25">
      <c r="A37" t="s">
        <v>9</v>
      </c>
      <c r="B37">
        <v>26</v>
      </c>
      <c r="C37" s="28">
        <v>70</v>
      </c>
      <c r="D37" s="3">
        <v>64</v>
      </c>
      <c r="E37" s="3">
        <v>16</v>
      </c>
      <c r="F37" s="3">
        <v>0</v>
      </c>
      <c r="G37" s="3">
        <v>0</v>
      </c>
      <c r="H37" s="3">
        <v>133</v>
      </c>
      <c r="I37" s="3">
        <v>0</v>
      </c>
      <c r="J37" s="3">
        <v>146</v>
      </c>
      <c r="K37" s="3">
        <v>1</v>
      </c>
      <c r="L37" s="3">
        <v>1</v>
      </c>
      <c r="M37" s="3">
        <v>1</v>
      </c>
      <c r="N37" s="3">
        <v>0</v>
      </c>
      <c r="O37" s="3">
        <v>2</v>
      </c>
      <c r="P37" s="3">
        <v>18</v>
      </c>
      <c r="Q37" s="3">
        <v>20</v>
      </c>
      <c r="R37" s="3">
        <v>12</v>
      </c>
      <c r="S37" s="3">
        <v>0</v>
      </c>
      <c r="T37" s="3">
        <v>0</v>
      </c>
      <c r="U37" s="3">
        <v>8</v>
      </c>
      <c r="V37" s="3">
        <v>3620</v>
      </c>
      <c r="W37" s="3">
        <v>9</v>
      </c>
      <c r="X37" s="3">
        <v>0</v>
      </c>
      <c r="Y37" s="3">
        <v>4</v>
      </c>
      <c r="Z37" s="3">
        <v>11</v>
      </c>
      <c r="AA37" s="3">
        <f t="shared" ref="AA37:AA58" si="1">SUM(D37:Z37)</f>
        <v>4066</v>
      </c>
    </row>
    <row r="38" spans="1:27" x14ac:dyDescent="0.25">
      <c r="A38" t="s">
        <v>15</v>
      </c>
      <c r="B38" s="3">
        <v>34</v>
      </c>
      <c r="C38" s="27">
        <v>98</v>
      </c>
      <c r="D38" s="3">
        <v>125</v>
      </c>
      <c r="E38" s="3">
        <v>6</v>
      </c>
      <c r="F38" s="3">
        <v>0</v>
      </c>
      <c r="G38" s="3">
        <v>0</v>
      </c>
      <c r="H38" s="3">
        <v>220</v>
      </c>
      <c r="I38" s="3">
        <v>4</v>
      </c>
      <c r="J38" s="3">
        <v>224</v>
      </c>
      <c r="K38" s="3">
        <v>76</v>
      </c>
      <c r="L38" s="3">
        <v>5</v>
      </c>
      <c r="M38" s="3">
        <v>0</v>
      </c>
      <c r="N38" s="3">
        <v>0</v>
      </c>
      <c r="O38" s="3">
        <v>18</v>
      </c>
      <c r="P38" s="3">
        <v>105</v>
      </c>
      <c r="Q38" s="3">
        <v>1</v>
      </c>
      <c r="R38" s="3">
        <v>38</v>
      </c>
      <c r="S38" s="3">
        <v>7</v>
      </c>
      <c r="T38" s="3">
        <v>0</v>
      </c>
      <c r="U38" s="3">
        <v>6</v>
      </c>
      <c r="V38" s="3">
        <v>3651</v>
      </c>
      <c r="W38" s="3">
        <v>80</v>
      </c>
      <c r="X38" s="3">
        <v>0</v>
      </c>
      <c r="Y38" s="3">
        <v>1</v>
      </c>
      <c r="Z38" s="3">
        <v>4</v>
      </c>
      <c r="AA38" s="3">
        <f t="shared" si="1"/>
        <v>4571</v>
      </c>
    </row>
    <row r="39" spans="1:27" x14ac:dyDescent="0.25">
      <c r="A39" t="s">
        <v>34</v>
      </c>
      <c r="B39">
        <v>3</v>
      </c>
      <c r="C39" s="28">
        <v>17</v>
      </c>
      <c r="D39" s="3">
        <v>0</v>
      </c>
      <c r="E39" s="3">
        <v>0</v>
      </c>
      <c r="F39" s="3">
        <v>0</v>
      </c>
      <c r="G39" s="3">
        <v>0</v>
      </c>
      <c r="H39" s="3">
        <v>259</v>
      </c>
      <c r="I39" s="3">
        <v>0</v>
      </c>
      <c r="J39" s="3">
        <v>4</v>
      </c>
      <c r="K39" s="3">
        <v>0</v>
      </c>
      <c r="L39" s="3">
        <v>0</v>
      </c>
      <c r="M39" s="3">
        <v>0</v>
      </c>
      <c r="N39" s="3">
        <v>0</v>
      </c>
      <c r="O39" s="3">
        <v>12</v>
      </c>
      <c r="P39" s="3">
        <v>57</v>
      </c>
      <c r="Q39" s="3">
        <v>22</v>
      </c>
      <c r="R39" s="3">
        <v>5</v>
      </c>
      <c r="S39" s="3">
        <v>0</v>
      </c>
      <c r="T39" s="3">
        <v>0</v>
      </c>
      <c r="U39" s="3">
        <v>0</v>
      </c>
      <c r="V39" s="3">
        <v>292</v>
      </c>
      <c r="W39" s="3">
        <v>0</v>
      </c>
      <c r="X39" s="3">
        <v>0</v>
      </c>
      <c r="Y39" s="3">
        <v>0</v>
      </c>
      <c r="Z39" s="3">
        <v>0</v>
      </c>
      <c r="AA39" s="3">
        <f t="shared" si="1"/>
        <v>651</v>
      </c>
    </row>
    <row r="40" spans="1:27" x14ac:dyDescent="0.25">
      <c r="A40" t="s">
        <v>12</v>
      </c>
      <c r="B40">
        <v>13</v>
      </c>
      <c r="C40" s="28">
        <v>32</v>
      </c>
      <c r="D40" s="3">
        <v>2</v>
      </c>
      <c r="E40" s="3">
        <v>1</v>
      </c>
      <c r="F40" s="3">
        <v>0</v>
      </c>
      <c r="G40" s="3">
        <v>0</v>
      </c>
      <c r="H40" s="3">
        <v>6</v>
      </c>
      <c r="I40" s="3">
        <v>0</v>
      </c>
      <c r="J40" s="3">
        <v>107</v>
      </c>
      <c r="K40" s="3">
        <v>0</v>
      </c>
      <c r="L40" s="3">
        <v>0</v>
      </c>
      <c r="M40" s="3">
        <v>0</v>
      </c>
      <c r="N40" s="3">
        <v>0</v>
      </c>
      <c r="O40" s="3">
        <v>12</v>
      </c>
      <c r="P40" s="3">
        <v>5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1173</v>
      </c>
      <c r="W40" s="3">
        <v>5</v>
      </c>
      <c r="X40" s="3">
        <v>1</v>
      </c>
      <c r="Y40" s="3">
        <v>0</v>
      </c>
      <c r="Z40" s="3">
        <v>8</v>
      </c>
      <c r="AA40" s="3">
        <f t="shared" si="1"/>
        <v>1320</v>
      </c>
    </row>
    <row r="41" spans="1:27" x14ac:dyDescent="0.25">
      <c r="A41" t="s">
        <v>25</v>
      </c>
      <c r="B41" s="3">
        <v>6</v>
      </c>
      <c r="C41" s="27">
        <v>8</v>
      </c>
      <c r="D41" s="3">
        <v>30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7</v>
      </c>
      <c r="S41" s="3">
        <v>0</v>
      </c>
      <c r="T41" s="3">
        <v>0</v>
      </c>
      <c r="U41" s="3">
        <v>0</v>
      </c>
      <c r="V41" s="3">
        <v>178</v>
      </c>
      <c r="W41" s="3">
        <v>0</v>
      </c>
      <c r="X41" s="3">
        <v>0</v>
      </c>
      <c r="Y41" s="3">
        <v>0</v>
      </c>
      <c r="Z41" s="3">
        <v>0</v>
      </c>
      <c r="AA41" s="3">
        <f t="shared" si="1"/>
        <v>216</v>
      </c>
    </row>
    <row r="42" spans="1:27" x14ac:dyDescent="0.25">
      <c r="A42" t="s">
        <v>17</v>
      </c>
      <c r="B42" s="3">
        <v>9</v>
      </c>
      <c r="C42" s="27">
        <v>23</v>
      </c>
      <c r="D42" s="3">
        <v>0</v>
      </c>
      <c r="E42" s="3">
        <v>0</v>
      </c>
      <c r="F42" s="3">
        <v>0</v>
      </c>
      <c r="G42" s="3">
        <v>0</v>
      </c>
      <c r="H42" s="3">
        <v>173</v>
      </c>
      <c r="I42" s="3">
        <v>0</v>
      </c>
      <c r="J42" s="3">
        <v>117</v>
      </c>
      <c r="K42" s="3">
        <v>1</v>
      </c>
      <c r="L42" s="3">
        <v>3</v>
      </c>
      <c r="M42" s="3">
        <v>0</v>
      </c>
      <c r="N42" s="3">
        <v>0</v>
      </c>
      <c r="O42" s="3">
        <v>33</v>
      </c>
      <c r="P42" s="3">
        <v>36</v>
      </c>
      <c r="Q42" s="3">
        <v>0</v>
      </c>
      <c r="R42" s="3">
        <v>28</v>
      </c>
      <c r="S42" s="3">
        <v>0</v>
      </c>
      <c r="T42" s="3">
        <v>0</v>
      </c>
      <c r="U42" s="3">
        <v>0</v>
      </c>
      <c r="V42" s="3">
        <v>888</v>
      </c>
      <c r="W42" s="3">
        <v>4</v>
      </c>
      <c r="X42" s="3">
        <v>0</v>
      </c>
      <c r="Y42" s="3">
        <v>0</v>
      </c>
      <c r="Z42" s="3">
        <v>1</v>
      </c>
      <c r="AA42" s="3">
        <f t="shared" si="1"/>
        <v>1284</v>
      </c>
    </row>
    <row r="43" spans="1:27" x14ac:dyDescent="0.25">
      <c r="A43" t="s">
        <v>30</v>
      </c>
      <c r="B43">
        <v>7</v>
      </c>
      <c r="C43" s="28">
        <v>15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19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  <c r="Q43" s="3">
        <v>0</v>
      </c>
      <c r="R43" s="3">
        <v>0</v>
      </c>
      <c r="S43" s="3">
        <v>4</v>
      </c>
      <c r="T43" s="3">
        <v>0</v>
      </c>
      <c r="U43" s="3">
        <v>0</v>
      </c>
      <c r="V43" s="3">
        <v>561</v>
      </c>
      <c r="W43" s="3">
        <v>0</v>
      </c>
      <c r="X43" s="3">
        <v>0</v>
      </c>
      <c r="Y43" s="3">
        <v>1</v>
      </c>
      <c r="Z43" s="3">
        <v>7</v>
      </c>
      <c r="AA43" s="3">
        <f t="shared" si="1"/>
        <v>593</v>
      </c>
    </row>
    <row r="44" spans="1:27" x14ac:dyDescent="0.25">
      <c r="A44" t="s">
        <v>26</v>
      </c>
      <c r="B44" s="5">
        <v>21</v>
      </c>
      <c r="C44" s="28">
        <v>56</v>
      </c>
      <c r="D44" s="3">
        <v>77</v>
      </c>
      <c r="E44" s="3">
        <v>6</v>
      </c>
      <c r="F44" s="3">
        <v>0</v>
      </c>
      <c r="G44" s="3">
        <v>0</v>
      </c>
      <c r="H44" s="3">
        <v>1335</v>
      </c>
      <c r="I44" s="3">
        <v>0</v>
      </c>
      <c r="J44" s="3">
        <v>623</v>
      </c>
      <c r="K44" s="3">
        <v>56</v>
      </c>
      <c r="L44" s="3">
        <v>24</v>
      </c>
      <c r="M44" s="3">
        <v>5</v>
      </c>
      <c r="N44" s="3">
        <v>0</v>
      </c>
      <c r="O44" s="3">
        <v>1</v>
      </c>
      <c r="P44" s="3">
        <v>352</v>
      </c>
      <c r="Q44" s="3">
        <v>40</v>
      </c>
      <c r="R44" s="3">
        <v>9</v>
      </c>
      <c r="S44" s="3">
        <v>6</v>
      </c>
      <c r="T44" s="3">
        <v>1</v>
      </c>
      <c r="U44" s="3">
        <v>5</v>
      </c>
      <c r="V44" s="3">
        <v>2998</v>
      </c>
      <c r="W44" s="3">
        <v>4</v>
      </c>
      <c r="X44" s="3">
        <v>3</v>
      </c>
      <c r="Y44" s="3">
        <v>143</v>
      </c>
      <c r="Z44" s="3">
        <v>8</v>
      </c>
      <c r="AA44" s="3">
        <f t="shared" si="1"/>
        <v>5696</v>
      </c>
    </row>
    <row r="45" spans="1:27" x14ac:dyDescent="0.25">
      <c r="A45" t="s">
        <v>6</v>
      </c>
      <c r="B45" s="5">
        <v>8</v>
      </c>
      <c r="C45" s="28">
        <v>16</v>
      </c>
      <c r="D45" s="3">
        <v>2</v>
      </c>
      <c r="E45" s="3">
        <v>1</v>
      </c>
      <c r="F45" s="3">
        <v>0</v>
      </c>
      <c r="G45" s="3">
        <v>0</v>
      </c>
      <c r="H45" s="3">
        <v>1</v>
      </c>
      <c r="I45" s="3">
        <v>0</v>
      </c>
      <c r="J45" s="3">
        <v>17</v>
      </c>
      <c r="K45" s="3">
        <v>5</v>
      </c>
      <c r="L45" s="3">
        <v>0</v>
      </c>
      <c r="M45" s="3">
        <v>0</v>
      </c>
      <c r="N45" s="3">
        <v>0</v>
      </c>
      <c r="O45" s="3">
        <v>0</v>
      </c>
      <c r="P45" s="3">
        <v>2</v>
      </c>
      <c r="Q45" s="3">
        <v>1</v>
      </c>
      <c r="R45" s="3">
        <v>5</v>
      </c>
      <c r="S45" s="3">
        <v>0</v>
      </c>
      <c r="T45" s="3">
        <v>0</v>
      </c>
      <c r="U45" s="3">
        <v>0</v>
      </c>
      <c r="V45" s="3">
        <v>384</v>
      </c>
      <c r="W45" s="3">
        <v>0</v>
      </c>
      <c r="X45" s="3">
        <v>0</v>
      </c>
      <c r="Y45" s="3">
        <v>0</v>
      </c>
      <c r="Z45" s="3">
        <v>1</v>
      </c>
      <c r="AA45" s="3">
        <f t="shared" si="1"/>
        <v>419</v>
      </c>
    </row>
    <row r="46" spans="1:27" x14ac:dyDescent="0.25">
      <c r="A46" t="s">
        <v>97</v>
      </c>
      <c r="B46" s="5">
        <v>2</v>
      </c>
      <c r="C46" s="28">
        <v>2</v>
      </c>
      <c r="D46" s="3">
        <v>4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11</v>
      </c>
      <c r="W46" s="3">
        <v>0</v>
      </c>
      <c r="X46" s="3">
        <v>0</v>
      </c>
      <c r="Y46" s="3">
        <v>0</v>
      </c>
      <c r="Z46" s="3">
        <v>0</v>
      </c>
      <c r="AA46" s="3">
        <f t="shared" si="1"/>
        <v>15</v>
      </c>
    </row>
    <row r="47" spans="1:27" x14ac:dyDescent="0.25">
      <c r="A47" t="s">
        <v>98</v>
      </c>
      <c r="B47" s="5">
        <v>1</v>
      </c>
      <c r="C47" s="28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2</v>
      </c>
      <c r="W47" s="3">
        <v>0</v>
      </c>
      <c r="X47" s="3">
        <v>0</v>
      </c>
      <c r="Y47" s="3">
        <v>0</v>
      </c>
      <c r="Z47" s="3">
        <v>0</v>
      </c>
      <c r="AA47" s="3">
        <f t="shared" si="1"/>
        <v>2</v>
      </c>
    </row>
    <row r="48" spans="1:27" x14ac:dyDescent="0.25">
      <c r="A48" t="s">
        <v>99</v>
      </c>
      <c r="B48" s="5">
        <v>1</v>
      </c>
      <c r="C48" s="28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10</v>
      </c>
      <c r="W48" s="3">
        <v>0</v>
      </c>
      <c r="X48" s="3">
        <v>0</v>
      </c>
      <c r="Y48" s="3">
        <v>0</v>
      </c>
      <c r="Z48" s="3">
        <v>0</v>
      </c>
      <c r="AA48" s="3">
        <f t="shared" si="1"/>
        <v>10</v>
      </c>
    </row>
    <row r="49" spans="1:27" x14ac:dyDescent="0.25">
      <c r="A49" t="s">
        <v>21</v>
      </c>
      <c r="B49" s="5">
        <v>8</v>
      </c>
      <c r="C49" s="28">
        <v>14</v>
      </c>
      <c r="D49" s="3">
        <v>20</v>
      </c>
      <c r="E49" s="3">
        <v>0</v>
      </c>
      <c r="F49" s="3">
        <v>0</v>
      </c>
      <c r="G49" s="3">
        <v>0</v>
      </c>
      <c r="H49" s="3">
        <v>2</v>
      </c>
      <c r="I49" s="3">
        <v>0</v>
      </c>
      <c r="J49" s="3">
        <v>38</v>
      </c>
      <c r="K49" s="3">
        <v>23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  <c r="R49" s="3">
        <v>0</v>
      </c>
      <c r="S49" s="3">
        <v>0</v>
      </c>
      <c r="T49" s="3">
        <v>1</v>
      </c>
      <c r="U49" s="3">
        <v>0</v>
      </c>
      <c r="V49" s="3">
        <v>289</v>
      </c>
      <c r="W49" s="3">
        <v>21</v>
      </c>
      <c r="X49" s="3">
        <v>0</v>
      </c>
      <c r="Y49" s="3">
        <v>0</v>
      </c>
      <c r="Z49" s="3">
        <v>0</v>
      </c>
      <c r="AA49" s="3">
        <f t="shared" si="1"/>
        <v>395</v>
      </c>
    </row>
    <row r="50" spans="1:27" x14ac:dyDescent="0.25">
      <c r="A50" t="s">
        <v>3</v>
      </c>
      <c r="B50" s="5">
        <v>10</v>
      </c>
      <c r="C50" s="28">
        <v>16</v>
      </c>
      <c r="D50" s="3">
        <v>10</v>
      </c>
      <c r="E50" s="3">
        <v>0</v>
      </c>
      <c r="F50" s="3">
        <v>0</v>
      </c>
      <c r="G50" s="3">
        <v>0</v>
      </c>
      <c r="H50" s="3">
        <v>7</v>
      </c>
      <c r="I50" s="3">
        <v>0</v>
      </c>
      <c r="J50" s="3">
        <v>54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1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529</v>
      </c>
      <c r="W50" s="3">
        <v>0</v>
      </c>
      <c r="X50" s="3">
        <v>0</v>
      </c>
      <c r="Y50" s="3">
        <v>0</v>
      </c>
      <c r="Z50" s="3">
        <v>2</v>
      </c>
      <c r="AA50" s="3">
        <f t="shared" si="1"/>
        <v>605</v>
      </c>
    </row>
    <row r="51" spans="1:27" x14ac:dyDescent="0.25">
      <c r="A51" t="s">
        <v>7</v>
      </c>
      <c r="B51" s="5">
        <v>9</v>
      </c>
      <c r="C51" s="28">
        <v>17</v>
      </c>
      <c r="D51" s="3">
        <v>0</v>
      </c>
      <c r="E51" s="3">
        <v>3</v>
      </c>
      <c r="F51" s="3">
        <v>0</v>
      </c>
      <c r="G51" s="3">
        <v>0</v>
      </c>
      <c r="H51" s="3">
        <v>1</v>
      </c>
      <c r="I51" s="3">
        <v>1</v>
      </c>
      <c r="J51" s="3">
        <v>7</v>
      </c>
      <c r="K51" s="3">
        <v>0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3</v>
      </c>
      <c r="T51" s="3">
        <v>4</v>
      </c>
      <c r="U51" s="3">
        <v>0</v>
      </c>
      <c r="V51" s="3">
        <v>584</v>
      </c>
      <c r="W51" s="3">
        <v>1</v>
      </c>
      <c r="X51" s="3">
        <v>0</v>
      </c>
      <c r="Y51" s="3">
        <v>0</v>
      </c>
      <c r="Z51" s="3">
        <v>4</v>
      </c>
      <c r="AA51" s="3">
        <f t="shared" si="1"/>
        <v>609</v>
      </c>
    </row>
    <row r="52" spans="1:27" x14ac:dyDescent="0.25">
      <c r="A52" t="s">
        <v>18</v>
      </c>
      <c r="B52" s="5">
        <v>6</v>
      </c>
      <c r="C52" s="28">
        <v>9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55</v>
      </c>
      <c r="U52" s="3">
        <v>13</v>
      </c>
      <c r="V52" s="3">
        <v>156</v>
      </c>
      <c r="W52" s="3">
        <v>2</v>
      </c>
      <c r="X52" s="3">
        <v>0</v>
      </c>
      <c r="Y52" s="3">
        <v>0</v>
      </c>
      <c r="Z52" s="3">
        <v>0</v>
      </c>
      <c r="AA52" s="3">
        <f t="shared" si="1"/>
        <v>228</v>
      </c>
    </row>
    <row r="53" spans="1:27" x14ac:dyDescent="0.25">
      <c r="A53" t="s">
        <v>2</v>
      </c>
      <c r="B53" s="5">
        <v>2</v>
      </c>
      <c r="C53" s="28">
        <v>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68</v>
      </c>
      <c r="W53" s="3">
        <v>0</v>
      </c>
      <c r="X53" s="3">
        <v>0</v>
      </c>
      <c r="Y53" s="3">
        <v>0</v>
      </c>
      <c r="Z53" s="3">
        <v>0</v>
      </c>
      <c r="AA53" s="3">
        <f t="shared" si="1"/>
        <v>68</v>
      </c>
    </row>
    <row r="54" spans="1:27" x14ac:dyDescent="0.25">
      <c r="A54" t="s">
        <v>5</v>
      </c>
      <c r="B54" s="5">
        <v>11</v>
      </c>
      <c r="C54" s="28">
        <v>24</v>
      </c>
      <c r="D54" s="3">
        <v>1</v>
      </c>
      <c r="E54" s="3">
        <v>0</v>
      </c>
      <c r="F54" s="3">
        <v>0</v>
      </c>
      <c r="G54" s="3">
        <v>0</v>
      </c>
      <c r="H54" s="3">
        <v>0</v>
      </c>
      <c r="I54" s="3">
        <v>3</v>
      </c>
      <c r="J54" s="3">
        <v>11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3</v>
      </c>
      <c r="Q54" s="3">
        <v>2</v>
      </c>
      <c r="R54" s="3">
        <v>0</v>
      </c>
      <c r="S54" s="3">
        <v>10</v>
      </c>
      <c r="T54" s="3">
        <v>0</v>
      </c>
      <c r="U54" s="3">
        <v>0</v>
      </c>
      <c r="V54" s="3">
        <v>874</v>
      </c>
      <c r="W54" s="3">
        <v>1</v>
      </c>
      <c r="X54" s="3">
        <v>0</v>
      </c>
      <c r="Y54" s="3">
        <v>1</v>
      </c>
      <c r="Z54" s="3">
        <v>1</v>
      </c>
      <c r="AA54" s="3">
        <f t="shared" si="1"/>
        <v>907</v>
      </c>
    </row>
    <row r="55" spans="1:27" x14ac:dyDescent="0.25">
      <c r="A55" t="s">
        <v>1096</v>
      </c>
      <c r="B55" s="22">
        <v>2</v>
      </c>
      <c r="C55" s="27">
        <v>3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34</v>
      </c>
      <c r="W55" s="3">
        <v>0</v>
      </c>
      <c r="X55" s="3">
        <v>0</v>
      </c>
      <c r="Y55" s="3">
        <v>0</v>
      </c>
      <c r="Z55" s="3">
        <v>0</v>
      </c>
      <c r="AA55" s="3">
        <f t="shared" si="1"/>
        <v>34</v>
      </c>
    </row>
    <row r="56" spans="1:27" x14ac:dyDescent="0.25">
      <c r="A56" t="s">
        <v>38</v>
      </c>
      <c r="B56" s="5">
        <v>9</v>
      </c>
      <c r="C56" s="28">
        <v>27</v>
      </c>
      <c r="D56" s="3">
        <v>13</v>
      </c>
      <c r="E56" s="3">
        <v>1</v>
      </c>
      <c r="F56" s="3">
        <v>0</v>
      </c>
      <c r="G56" s="3">
        <v>0</v>
      </c>
      <c r="H56" s="3">
        <v>59</v>
      </c>
      <c r="I56" s="3">
        <v>0</v>
      </c>
      <c r="J56" s="3">
        <v>76</v>
      </c>
      <c r="K56" s="3">
        <v>20</v>
      </c>
      <c r="L56" s="3">
        <v>0</v>
      </c>
      <c r="M56" s="3">
        <v>0</v>
      </c>
      <c r="N56" s="3">
        <v>0</v>
      </c>
      <c r="O56" s="3">
        <v>5</v>
      </c>
      <c r="P56" s="3">
        <v>4</v>
      </c>
      <c r="Q56" s="3">
        <v>3</v>
      </c>
      <c r="R56" s="3">
        <v>0</v>
      </c>
      <c r="S56" s="3">
        <v>1</v>
      </c>
      <c r="T56" s="3">
        <v>1</v>
      </c>
      <c r="U56" s="3">
        <v>2</v>
      </c>
      <c r="V56" s="3">
        <v>1048</v>
      </c>
      <c r="W56" s="3">
        <v>0</v>
      </c>
      <c r="X56" s="3">
        <v>0</v>
      </c>
      <c r="Y56" s="3">
        <v>0</v>
      </c>
      <c r="Z56" s="3">
        <v>6</v>
      </c>
      <c r="AA56" s="3">
        <f t="shared" si="1"/>
        <v>1239</v>
      </c>
    </row>
    <row r="57" spans="1:27" x14ac:dyDescent="0.25">
      <c r="A57" t="s">
        <v>32</v>
      </c>
      <c r="B57" s="3">
        <v>5</v>
      </c>
      <c r="C57" s="27">
        <v>9</v>
      </c>
      <c r="D57" s="3">
        <v>1</v>
      </c>
      <c r="E57" s="3">
        <v>2</v>
      </c>
      <c r="F57" s="3">
        <v>1</v>
      </c>
      <c r="G57" s="3">
        <v>0</v>
      </c>
      <c r="H57" s="3">
        <v>14</v>
      </c>
      <c r="I57" s="3">
        <v>5</v>
      </c>
      <c r="J57" s="3">
        <v>10</v>
      </c>
      <c r="K57" s="3">
        <v>1</v>
      </c>
      <c r="L57" s="3">
        <v>0</v>
      </c>
      <c r="M57" s="3">
        <v>0</v>
      </c>
      <c r="N57" s="3">
        <v>0</v>
      </c>
      <c r="O57" s="3">
        <v>0</v>
      </c>
      <c r="P57" s="3">
        <v>8</v>
      </c>
      <c r="Q57" s="3">
        <v>2</v>
      </c>
      <c r="R57" s="3">
        <v>0</v>
      </c>
      <c r="S57" s="3">
        <v>0</v>
      </c>
      <c r="T57" s="3">
        <v>1</v>
      </c>
      <c r="U57" s="3">
        <v>12</v>
      </c>
      <c r="V57" s="3">
        <v>385</v>
      </c>
      <c r="W57" s="3">
        <v>0</v>
      </c>
      <c r="X57" s="3">
        <v>0</v>
      </c>
      <c r="Y57" s="3">
        <v>0</v>
      </c>
      <c r="Z57" s="3">
        <v>3</v>
      </c>
      <c r="AA57" s="3">
        <f t="shared" si="1"/>
        <v>445</v>
      </c>
    </row>
    <row r="58" spans="1:27" x14ac:dyDescent="0.25">
      <c r="A58" t="s">
        <v>41</v>
      </c>
      <c r="B58" s="3">
        <v>3</v>
      </c>
      <c r="C58" s="27">
        <v>5</v>
      </c>
      <c r="D58" s="3">
        <v>5</v>
      </c>
      <c r="E58" s="3">
        <v>0</v>
      </c>
      <c r="F58" s="3">
        <v>0</v>
      </c>
      <c r="G58" s="3">
        <v>0</v>
      </c>
      <c r="H58" s="22">
        <v>0</v>
      </c>
      <c r="I58" s="23">
        <v>0</v>
      </c>
      <c r="J58" s="3">
        <v>0</v>
      </c>
      <c r="K58" s="3">
        <v>0</v>
      </c>
      <c r="L58" s="3">
        <v>1</v>
      </c>
      <c r="M58" s="3">
        <v>0</v>
      </c>
      <c r="N58" s="3">
        <v>0</v>
      </c>
      <c r="O58" s="3">
        <v>5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>
        <v>69</v>
      </c>
      <c r="W58" s="3">
        <v>1</v>
      </c>
      <c r="X58" s="3">
        <v>0</v>
      </c>
      <c r="Y58" s="3">
        <v>0</v>
      </c>
      <c r="Z58" s="3">
        <v>0</v>
      </c>
      <c r="AA58" s="3">
        <f t="shared" si="1"/>
        <v>82</v>
      </c>
    </row>
    <row r="59" spans="1:27" x14ac:dyDescent="0.25">
      <c r="A59" t="s">
        <v>1097</v>
      </c>
      <c r="B59" s="4">
        <f t="shared" ref="B59:AA59" si="2">SUM(B5:B58)</f>
        <v>490</v>
      </c>
      <c r="C59" s="11">
        <f t="shared" si="2"/>
        <v>1289</v>
      </c>
      <c r="D59" s="4">
        <f t="shared" si="2"/>
        <v>1095</v>
      </c>
      <c r="E59" s="4">
        <f t="shared" si="2"/>
        <v>171</v>
      </c>
      <c r="F59" s="4">
        <f t="shared" si="2"/>
        <v>267</v>
      </c>
      <c r="G59" s="4">
        <f t="shared" si="2"/>
        <v>16</v>
      </c>
      <c r="H59" s="4">
        <f t="shared" si="2"/>
        <v>4474</v>
      </c>
      <c r="I59" s="4">
        <f t="shared" si="2"/>
        <v>76</v>
      </c>
      <c r="J59" s="4">
        <f t="shared" si="2"/>
        <v>4028</v>
      </c>
      <c r="K59" s="4">
        <f t="shared" si="2"/>
        <v>514</v>
      </c>
      <c r="L59" s="4">
        <f t="shared" si="2"/>
        <v>54</v>
      </c>
      <c r="M59" s="4">
        <f t="shared" si="2"/>
        <v>38</v>
      </c>
      <c r="N59" s="4">
        <f t="shared" si="2"/>
        <v>144</v>
      </c>
      <c r="O59" s="4">
        <f t="shared" si="2"/>
        <v>140</v>
      </c>
      <c r="P59" s="4">
        <f t="shared" si="2"/>
        <v>1445</v>
      </c>
      <c r="Q59" s="4">
        <f t="shared" si="2"/>
        <v>656</v>
      </c>
      <c r="R59" s="4">
        <f t="shared" si="2"/>
        <v>280</v>
      </c>
      <c r="S59" s="4">
        <f t="shared" si="2"/>
        <v>65</v>
      </c>
      <c r="T59" s="4">
        <f t="shared" si="2"/>
        <v>125</v>
      </c>
      <c r="U59" s="4">
        <f t="shared" si="2"/>
        <v>516</v>
      </c>
      <c r="V59" s="4">
        <f t="shared" si="2"/>
        <v>56503</v>
      </c>
      <c r="W59" s="4">
        <f t="shared" si="2"/>
        <v>409</v>
      </c>
      <c r="X59" s="4">
        <f t="shared" si="2"/>
        <v>28</v>
      </c>
      <c r="Y59" s="4">
        <f t="shared" si="2"/>
        <v>674</v>
      </c>
      <c r="Z59" s="4">
        <f t="shared" si="2"/>
        <v>309</v>
      </c>
      <c r="AA59" s="4">
        <f t="shared" si="2"/>
        <v>72027</v>
      </c>
    </row>
  </sheetData>
  <pageMargins left="0.7" right="0.7" top="0.75" bottom="0.75" header="0.3" footer="0.3"/>
  <pageSetup orientation="landscape" horizontalDpi="4294967295" verticalDpi="4294967295" r:id="rId1"/>
  <ignoredErrors>
    <ignoredError sqref="AA5:AA33 AA35:AA58" formulaRange="1"/>
    <ignoredError sqref="AA34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81640625" bestFit="1" customWidth="1"/>
    <col min="2" max="2" width="35.6328125" customWidth="1"/>
    <col min="3" max="3" width="12.632812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10</v>
      </c>
    </row>
    <row r="2" spans="1:26" ht="60.6" thickTop="1" x14ac:dyDescent="0.25">
      <c r="A2" s="2" t="s">
        <v>66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6" t="s">
        <v>217</v>
      </c>
      <c r="B3" s="2" t="s">
        <v>233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59</v>
      </c>
      <c r="V3">
        <v>0</v>
      </c>
      <c r="W3">
        <v>0</v>
      </c>
      <c r="X3">
        <v>0</v>
      </c>
      <c r="Y3">
        <v>0</v>
      </c>
      <c r="Z3">
        <f>SUM(Fresno[[#This Row],[American Sign Language Total]:[Other Total]])</f>
        <v>59</v>
      </c>
    </row>
    <row r="4" spans="1:26" ht="30" x14ac:dyDescent="0.25">
      <c r="A4" s="6" t="s">
        <v>218</v>
      </c>
      <c r="B4" s="5" t="s">
        <v>234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10</v>
      </c>
      <c r="J4">
        <v>0</v>
      </c>
      <c r="K4">
        <v>0</v>
      </c>
      <c r="L4">
        <v>0</v>
      </c>
      <c r="M4">
        <v>6</v>
      </c>
      <c r="N4">
        <v>0</v>
      </c>
      <c r="O4">
        <v>0</v>
      </c>
      <c r="P4">
        <v>0</v>
      </c>
      <c r="Q4">
        <v>0</v>
      </c>
      <c r="R4">
        <v>0</v>
      </c>
      <c r="S4">
        <v>10</v>
      </c>
      <c r="T4">
        <v>0</v>
      </c>
      <c r="U4">
        <v>143</v>
      </c>
      <c r="V4">
        <v>0</v>
      </c>
      <c r="W4">
        <v>0</v>
      </c>
      <c r="X4">
        <v>0</v>
      </c>
      <c r="Y4">
        <v>0</v>
      </c>
      <c r="Z4">
        <f>SUM(Fresno[[#This Row],[American Sign Language Total]:[Other Total]])</f>
        <v>169</v>
      </c>
    </row>
    <row r="5" spans="1:26" ht="45" x14ac:dyDescent="0.25">
      <c r="A5" s="6" t="s">
        <v>219</v>
      </c>
      <c r="B5" s="2" t="s">
        <v>235</v>
      </c>
      <c r="C5">
        <v>0</v>
      </c>
      <c r="D5">
        <v>2</v>
      </c>
      <c r="E5">
        <v>0</v>
      </c>
      <c r="F5">
        <v>0</v>
      </c>
      <c r="G5">
        <v>9</v>
      </c>
      <c r="H5">
        <v>0</v>
      </c>
      <c r="I5">
        <v>32</v>
      </c>
      <c r="J5">
        <v>2</v>
      </c>
      <c r="K5">
        <v>0</v>
      </c>
      <c r="L5">
        <v>1</v>
      </c>
      <c r="M5">
        <v>21</v>
      </c>
      <c r="N5">
        <v>0</v>
      </c>
      <c r="O5">
        <v>0</v>
      </c>
      <c r="P5">
        <v>1</v>
      </c>
      <c r="Q5">
        <v>0</v>
      </c>
      <c r="R5">
        <v>0</v>
      </c>
      <c r="S5">
        <v>0</v>
      </c>
      <c r="T5">
        <v>0</v>
      </c>
      <c r="U5">
        <v>177</v>
      </c>
      <c r="V5">
        <v>0</v>
      </c>
      <c r="W5">
        <v>1</v>
      </c>
      <c r="X5">
        <v>1</v>
      </c>
      <c r="Y5">
        <v>0</v>
      </c>
      <c r="Z5">
        <f>SUM(Fresno[[#This Row],[American Sign Language Total]:[Other Total]])</f>
        <v>247</v>
      </c>
    </row>
    <row r="6" spans="1:26" x14ac:dyDescent="0.25">
      <c r="A6" s="6" t="s">
        <v>220</v>
      </c>
      <c r="B6" s="5" t="s">
        <v>74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30</v>
      </c>
      <c r="V6">
        <v>0</v>
      </c>
      <c r="W6">
        <v>0</v>
      </c>
      <c r="X6">
        <v>0</v>
      </c>
      <c r="Y6">
        <v>0</v>
      </c>
      <c r="Z6">
        <f>SUM(Fresno[[#This Row],[American Sign Language Total]:[Other Total]])</f>
        <v>30</v>
      </c>
    </row>
    <row r="7" spans="1:26" x14ac:dyDescent="0.25">
      <c r="A7" t="s">
        <v>221</v>
      </c>
      <c r="B7" s="5" t="s">
        <v>236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11</v>
      </c>
      <c r="V7">
        <v>0</v>
      </c>
      <c r="W7">
        <v>0</v>
      </c>
      <c r="X7">
        <v>0</v>
      </c>
      <c r="Y7">
        <v>0</v>
      </c>
      <c r="Z7">
        <f>SUM(Fresno[[#This Row],[American Sign Language Total]:[Other Total]])</f>
        <v>11</v>
      </c>
    </row>
    <row r="8" spans="1:26" x14ac:dyDescent="0.25">
      <c r="A8" s="6" t="s">
        <v>222</v>
      </c>
      <c r="B8" s="2" t="s">
        <v>43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13</v>
      </c>
      <c r="V8">
        <v>0</v>
      </c>
      <c r="W8">
        <v>0</v>
      </c>
      <c r="X8">
        <v>0</v>
      </c>
      <c r="Y8">
        <v>0</v>
      </c>
      <c r="Z8">
        <f>SUM(Fresno[[#This Row],[American Sign Language Total]:[Other Total]])</f>
        <v>13</v>
      </c>
    </row>
    <row r="9" spans="1:26" ht="90" x14ac:dyDescent="0.25">
      <c r="A9" s="6" t="s">
        <v>223</v>
      </c>
      <c r="B9" s="5" t="s">
        <v>237</v>
      </c>
      <c r="C9">
        <v>6</v>
      </c>
      <c r="D9">
        <v>0</v>
      </c>
      <c r="E9">
        <v>0</v>
      </c>
      <c r="F9">
        <v>0</v>
      </c>
      <c r="G9">
        <v>2</v>
      </c>
      <c r="H9">
        <v>0</v>
      </c>
      <c r="I9">
        <v>8</v>
      </c>
      <c r="J9">
        <v>0</v>
      </c>
      <c r="K9">
        <v>0</v>
      </c>
      <c r="L9">
        <v>0</v>
      </c>
      <c r="M9">
        <v>72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558</v>
      </c>
      <c r="V9">
        <v>0</v>
      </c>
      <c r="W9">
        <v>0</v>
      </c>
      <c r="X9">
        <v>0</v>
      </c>
      <c r="Y9">
        <v>0</v>
      </c>
      <c r="Z9">
        <f>SUM(Fresno[[#This Row],[American Sign Language Total]:[Other Total]])</f>
        <v>646</v>
      </c>
    </row>
    <row r="10" spans="1:26" ht="30" x14ac:dyDescent="0.25">
      <c r="A10" t="s">
        <v>224</v>
      </c>
      <c r="B10" s="5" t="s">
        <v>238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  <c r="T10">
        <v>0</v>
      </c>
      <c r="U10">
        <v>51</v>
      </c>
      <c r="V10">
        <v>0</v>
      </c>
      <c r="W10">
        <v>0</v>
      </c>
      <c r="X10">
        <v>0</v>
      </c>
      <c r="Y10">
        <v>0</v>
      </c>
      <c r="Z10">
        <f>SUM(Fresno[[#This Row],[American Sign Language Total]:[Other Total]])</f>
        <v>52</v>
      </c>
    </row>
    <row r="11" spans="1:26" ht="30" x14ac:dyDescent="0.25">
      <c r="A11" s="6" t="s">
        <v>225</v>
      </c>
      <c r="B11" s="2" t="s">
        <v>110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51</v>
      </c>
      <c r="V11">
        <v>0</v>
      </c>
      <c r="W11">
        <v>0</v>
      </c>
      <c r="X11">
        <v>0</v>
      </c>
      <c r="Y11">
        <v>0</v>
      </c>
      <c r="Z11">
        <f>SUM(Fresno[[#This Row],[American Sign Language Total]:[Other Total]])</f>
        <v>51</v>
      </c>
    </row>
    <row r="12" spans="1:26" x14ac:dyDescent="0.25">
      <c r="A12" s="6" t="s">
        <v>226</v>
      </c>
      <c r="B12" s="2" t="s">
        <v>106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10</v>
      </c>
      <c r="V12">
        <v>0</v>
      </c>
      <c r="W12">
        <v>0</v>
      </c>
      <c r="X12">
        <v>0</v>
      </c>
      <c r="Y12">
        <v>0</v>
      </c>
      <c r="Z12">
        <f>SUM(Fresno[[#This Row],[American Sign Language Total]:[Other Total]])</f>
        <v>10</v>
      </c>
    </row>
    <row r="13" spans="1:26" x14ac:dyDescent="0.25">
      <c r="A13" s="6" t="s">
        <v>227</v>
      </c>
      <c r="B13" s="2" t="s">
        <v>107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25</v>
      </c>
      <c r="V13">
        <v>0</v>
      </c>
      <c r="W13">
        <v>0</v>
      </c>
      <c r="X13">
        <v>0</v>
      </c>
      <c r="Y13">
        <v>0</v>
      </c>
      <c r="Z13">
        <f>SUM(Fresno[[#This Row],[American Sign Language Total]:[Other Total]])</f>
        <v>25</v>
      </c>
    </row>
    <row r="14" spans="1:26" x14ac:dyDescent="0.25">
      <c r="A14" s="6" t="s">
        <v>228</v>
      </c>
      <c r="B14" s="2" t="s">
        <v>108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42</v>
      </c>
      <c r="V14">
        <v>0</v>
      </c>
      <c r="W14">
        <v>0</v>
      </c>
      <c r="X14">
        <v>0</v>
      </c>
      <c r="Y14">
        <v>0</v>
      </c>
      <c r="Z14">
        <f>SUM(Fresno[[#This Row],[American Sign Language Total]:[Other Total]])</f>
        <v>42</v>
      </c>
    </row>
    <row r="15" spans="1:26" x14ac:dyDescent="0.25">
      <c r="A15" s="6" t="s">
        <v>229</v>
      </c>
      <c r="B15" s="2" t="s">
        <v>75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25</v>
      </c>
      <c r="V15">
        <v>0</v>
      </c>
      <c r="W15">
        <v>0</v>
      </c>
      <c r="X15">
        <v>0</v>
      </c>
      <c r="Y15">
        <v>0</v>
      </c>
      <c r="Z15">
        <f>SUM(Fresno[[#This Row],[American Sign Language Total]:[Other Total]])</f>
        <v>25</v>
      </c>
    </row>
    <row r="16" spans="1:26" x14ac:dyDescent="0.25">
      <c r="A16" t="s">
        <v>230</v>
      </c>
      <c r="B16" s="5" t="s">
        <v>240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7</v>
      </c>
      <c r="J16">
        <v>0</v>
      </c>
      <c r="K16">
        <v>0</v>
      </c>
      <c r="L16">
        <v>0</v>
      </c>
      <c r="M16">
        <v>11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55</v>
      </c>
      <c r="V16">
        <v>0</v>
      </c>
      <c r="W16">
        <v>0</v>
      </c>
      <c r="X16">
        <v>0</v>
      </c>
      <c r="Y16">
        <v>0</v>
      </c>
      <c r="Z16">
        <f>SUM(Fresno[[#This Row],[American Sign Language Total]:[Other Total]])</f>
        <v>73</v>
      </c>
    </row>
    <row r="17" spans="1:26" x14ac:dyDescent="0.25">
      <c r="A17" s="6" t="s">
        <v>231</v>
      </c>
      <c r="B17" s="2" t="s">
        <v>76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16</v>
      </c>
      <c r="V17" s="6">
        <v>0</v>
      </c>
      <c r="W17" s="6">
        <v>0</v>
      </c>
      <c r="X17" s="6">
        <v>0</v>
      </c>
      <c r="Y17" s="6">
        <v>0</v>
      </c>
      <c r="Z17" s="6">
        <f>SUM(Fresno[[#This Row],[American Sign Language Total]:[Other Total]])</f>
        <v>16</v>
      </c>
    </row>
    <row r="18" spans="1:26" x14ac:dyDescent="0.25">
      <c r="A18" s="6" t="s">
        <v>105</v>
      </c>
      <c r="B18" s="2" t="s">
        <v>105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21</v>
      </c>
      <c r="R18" s="6">
        <v>0</v>
      </c>
      <c r="S18" s="6">
        <v>0</v>
      </c>
      <c r="T18" s="6">
        <v>0</v>
      </c>
      <c r="U18" s="6">
        <v>15</v>
      </c>
      <c r="V18" s="6">
        <v>0</v>
      </c>
      <c r="W18" s="6">
        <v>0</v>
      </c>
      <c r="X18" s="6">
        <v>0</v>
      </c>
      <c r="Y18" s="6">
        <v>0</v>
      </c>
      <c r="Z18" s="6">
        <f>SUM(Fresno[[#This Row],[American Sign Language Total]:[Other Total]])</f>
        <v>38</v>
      </c>
    </row>
    <row r="19" spans="1:26" x14ac:dyDescent="0.25">
      <c r="A19" s="6" t="s">
        <v>232</v>
      </c>
      <c r="B19" s="2" t="s">
        <v>239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24</v>
      </c>
      <c r="V19" s="6">
        <v>0</v>
      </c>
      <c r="W19" s="6">
        <v>0</v>
      </c>
      <c r="X19" s="6">
        <v>0</v>
      </c>
      <c r="Y19" s="6">
        <v>0</v>
      </c>
      <c r="Z19" s="6">
        <f>SUM(Fresno[[#This Row],[American Sign Language Total]:[Other Total]])</f>
        <v>24</v>
      </c>
    </row>
    <row r="20" spans="1:26" x14ac:dyDescent="0.25">
      <c r="A20" s="6" t="s">
        <v>109</v>
      </c>
      <c r="B20" s="2" t="s">
        <v>109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4</v>
      </c>
      <c r="V20" s="6">
        <v>0</v>
      </c>
      <c r="W20" s="6">
        <v>0</v>
      </c>
      <c r="X20" s="6">
        <v>0</v>
      </c>
      <c r="Y20" s="6">
        <v>0</v>
      </c>
      <c r="Z20" s="6">
        <f>SUM(Fresno[[#This Row],[American Sign Language Total]:[Other Total]])</f>
        <v>4</v>
      </c>
    </row>
    <row r="21" spans="1:26" ht="15.6" x14ac:dyDescent="0.25">
      <c r="A21" s="15" t="s">
        <v>241</v>
      </c>
      <c r="B21" s="26" t="s">
        <v>1087</v>
      </c>
      <c r="C21" s="3">
        <f>SUBTOTAL(109,Fresno[American Sign Language Total])</f>
        <v>6</v>
      </c>
      <c r="D21" s="3">
        <f>SUBTOTAL(109,Fresno[Arabic Total])</f>
        <v>2</v>
      </c>
      <c r="E21" s="3">
        <f>SUBTOTAL(109,Fresno[Armenian Total])</f>
        <v>0</v>
      </c>
      <c r="F21" s="3">
        <f>SUBTOTAL(109,Fresno[Bengali Total])</f>
        <v>0</v>
      </c>
      <c r="G21" s="3">
        <f>SUBTOTAL(109,Fresno[Chinese (Mandarin or Cantonese) Total])</f>
        <v>11</v>
      </c>
      <c r="H21" s="3">
        <f>SUBTOTAL(109,Fresno[Farsi (Persian) Total])</f>
        <v>0</v>
      </c>
      <c r="I21" s="3">
        <f>SUBTOTAL(109,Fresno[French Total])</f>
        <v>58</v>
      </c>
      <c r="J21" s="3">
        <f>SUBTOTAL(109,Fresno[German Total])</f>
        <v>2</v>
      </c>
      <c r="K21" s="3">
        <f>SUBTOTAL(109,Fresno[Hebrew Total])</f>
        <v>0</v>
      </c>
      <c r="L21" s="3">
        <f>SUBTOTAL(109,Fresno[Hindi Total])</f>
        <v>1</v>
      </c>
      <c r="M21" s="3">
        <f>SUBTOTAL(109,Fresno[Hmong Total])</f>
        <v>110</v>
      </c>
      <c r="N21" s="3">
        <f>SUBTOTAL(109,Fresno[Italian Total])</f>
        <v>0</v>
      </c>
      <c r="O21" s="3">
        <f>SUBTOTAL(109,Fresno[Japanese Total])</f>
        <v>1</v>
      </c>
      <c r="P21" s="3">
        <f>SUBTOTAL(109,Fresno[Korean Total])</f>
        <v>1</v>
      </c>
      <c r="Q21" s="3">
        <f>SUBTOTAL(109,Fresno[Latin Total])</f>
        <v>21</v>
      </c>
      <c r="R21" s="3">
        <f>SUBTOTAL(109,Fresno[Portuguese Total])</f>
        <v>0</v>
      </c>
      <c r="S21" s="3">
        <f>SUBTOTAL(109,Fresno[Punjabi Total])</f>
        <v>11</v>
      </c>
      <c r="T21" s="3">
        <f>SUBTOTAL(109,Fresno[Russian Total])</f>
        <v>0</v>
      </c>
      <c r="U21" s="3">
        <f>SUBTOTAL(109,Fresno[Spanish Total])</f>
        <v>1309</v>
      </c>
      <c r="V21" s="3">
        <f>SUBTOTAL(109,Fresno[Tagalog (Filipino) Total])</f>
        <v>0</v>
      </c>
      <c r="W21" s="3">
        <f>SUBTOTAL(109,Fresno[Urdu Total])</f>
        <v>1</v>
      </c>
      <c r="X21" s="3">
        <f>SUBTOTAL(109,Fresno[Vietnamese Total])</f>
        <v>1</v>
      </c>
      <c r="Y21" s="3">
        <f>SUBTOTAL(109,Fresno[Other Total])</f>
        <v>0</v>
      </c>
      <c r="Z21" s="3">
        <f>SUBTOTAL(109,Fresno[Total Seals per LEA])</f>
        <v>1535</v>
      </c>
    </row>
  </sheetData>
  <sortState xmlns:xlrd2="http://schemas.microsoft.com/office/spreadsheetml/2017/richdata2" ref="A2:AH16">
    <sortCondition ref="A2:A16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29" bestFit="1" customWidth="1"/>
    <col min="2" max="2" width="18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customWidth="1"/>
    <col min="18" max="18" width="12.90625" bestFit="1" customWidth="1"/>
    <col min="19" max="19" width="9.54296875" bestFit="1" customWidth="1"/>
    <col min="20" max="20" width="9.90625" bestFit="1" customWidth="1"/>
    <col min="21" max="21" width="8.90625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22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242</v>
      </c>
      <c r="B3" s="6" t="s">
        <v>245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6</v>
      </c>
      <c r="V3" s="6">
        <v>0</v>
      </c>
      <c r="W3" s="6">
        <v>0</v>
      </c>
      <c r="X3" s="6">
        <v>0</v>
      </c>
      <c r="Y3" s="6">
        <v>0</v>
      </c>
      <c r="Z3" s="6">
        <f>SUM(Glenn[[#This Row],[American Sign Language Total]:[Other Total]])</f>
        <v>6</v>
      </c>
    </row>
    <row r="4" spans="1:26" x14ac:dyDescent="0.25">
      <c r="A4" s="2" t="s">
        <v>243</v>
      </c>
      <c r="B4" s="6" t="s">
        <v>246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16</v>
      </c>
      <c r="V4" s="6">
        <v>0</v>
      </c>
      <c r="W4" s="6">
        <v>0</v>
      </c>
      <c r="X4" s="6">
        <v>0</v>
      </c>
      <c r="Y4" s="6">
        <v>0</v>
      </c>
      <c r="Z4" s="6">
        <f>SUM(Glenn[[#This Row],[American Sign Language Total]:[Other Total]])</f>
        <v>16</v>
      </c>
    </row>
    <row r="5" spans="1:26" x14ac:dyDescent="0.25">
      <c r="A5" t="s">
        <v>244</v>
      </c>
      <c r="B5" s="6" t="s">
        <v>77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16</v>
      </c>
      <c r="V5">
        <v>0</v>
      </c>
      <c r="W5">
        <v>0</v>
      </c>
      <c r="X5">
        <v>0</v>
      </c>
      <c r="Y5">
        <v>0</v>
      </c>
      <c r="Z5">
        <f>SUM(Glenn[[#This Row],[American Sign Language Total]:[Other Total]])</f>
        <v>16</v>
      </c>
    </row>
    <row r="6" spans="1:26" x14ac:dyDescent="0.25">
      <c r="A6" s="15" t="s">
        <v>215</v>
      </c>
      <c r="B6" s="26" t="s">
        <v>247</v>
      </c>
      <c r="C6">
        <f>SUBTOTAL(109,Glenn[American Sign Language Total])</f>
        <v>0</v>
      </c>
      <c r="D6">
        <f>SUBTOTAL(109,Glenn[Arabic Total])</f>
        <v>0</v>
      </c>
      <c r="E6">
        <f>SUBTOTAL(109,Glenn[Armenian Total])</f>
        <v>0</v>
      </c>
      <c r="F6">
        <f>SUBTOTAL(109,Glenn[Bengali Total])</f>
        <v>0</v>
      </c>
      <c r="G6">
        <f>SUBTOTAL(109,Glenn[Chinese (Mandarin or Cantonese) Total])</f>
        <v>0</v>
      </c>
      <c r="H6">
        <f>SUBTOTAL(109,Glenn[Farsi (Persian) Total])</f>
        <v>0</v>
      </c>
      <c r="I6">
        <f>SUBTOTAL(109,Glenn[French Total])</f>
        <v>0</v>
      </c>
      <c r="J6">
        <f>SUBTOTAL(109,Glenn[German Total])</f>
        <v>0</v>
      </c>
      <c r="K6">
        <f>SUBTOTAL(109,Glenn[Hebrew Total])</f>
        <v>0</v>
      </c>
      <c r="L6">
        <f>SUBTOTAL(109,Glenn[Hindi Total])</f>
        <v>0</v>
      </c>
      <c r="M6">
        <f>SUBTOTAL(109,Glenn[Hmong Total])</f>
        <v>0</v>
      </c>
      <c r="N6">
        <f>SUBTOTAL(109,Glenn[Italian Total])</f>
        <v>0</v>
      </c>
      <c r="O6">
        <f>SUBTOTAL(109,Glenn[Japanese Total])</f>
        <v>0</v>
      </c>
      <c r="P6">
        <f>SUBTOTAL(109,Glenn[Korean Total])</f>
        <v>0</v>
      </c>
      <c r="Q6">
        <f>SUBTOTAL(109,Glenn[Latin Total])</f>
        <v>0</v>
      </c>
      <c r="R6">
        <f>SUBTOTAL(109,Glenn[Portuguese Total])</f>
        <v>0</v>
      </c>
      <c r="S6">
        <f>SUBTOTAL(109,Glenn[Punjabi Total])</f>
        <v>0</v>
      </c>
      <c r="T6">
        <f>SUBTOTAL(109,Glenn[Russian Total])</f>
        <v>0</v>
      </c>
      <c r="U6">
        <f>SUBTOTAL(109,Glenn[Spanish Total])</f>
        <v>38</v>
      </c>
      <c r="V6">
        <f>SUBTOTAL(109,Glenn[Tagalog (Filipino) Total])</f>
        <v>0</v>
      </c>
      <c r="W6">
        <f>SUBTOTAL(109,Glenn[Urdu Total])</f>
        <v>0</v>
      </c>
      <c r="X6">
        <f>SUBTOTAL(109,Glenn[Vietnamese Total])</f>
        <v>0</v>
      </c>
      <c r="Y6">
        <f>SUBTOTAL(109,Glenn[Other Total])</f>
        <v>0</v>
      </c>
      <c r="Z6">
        <f>SUBTOTAL(109,Glenn[Total Seals per LEA])</f>
        <v>38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08984375" bestFit="1" customWidth="1"/>
    <col min="2" max="2" width="26.90625" bestFit="1" customWidth="1"/>
    <col min="3" max="3" width="12.08984375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13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248</v>
      </c>
      <c r="B3" s="6" t="s">
        <v>78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3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40</v>
      </c>
      <c r="V3">
        <v>1</v>
      </c>
      <c r="W3">
        <v>0</v>
      </c>
      <c r="X3">
        <v>0</v>
      </c>
      <c r="Y3">
        <v>1</v>
      </c>
      <c r="Z3">
        <f>SUM(Humboldt[[#This Row],[American Sign Language Total]:[Other Total]])</f>
        <v>46</v>
      </c>
    </row>
    <row r="4" spans="1:26" x14ac:dyDescent="0.25">
      <c r="A4" s="5" t="s">
        <v>249</v>
      </c>
      <c r="B4" s="5" t="s">
        <v>252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33</v>
      </c>
      <c r="V4">
        <v>0</v>
      </c>
      <c r="W4">
        <v>1</v>
      </c>
      <c r="X4">
        <v>0</v>
      </c>
      <c r="Y4">
        <v>0</v>
      </c>
      <c r="Z4">
        <f>SUM(Humboldt[[#This Row],[American Sign Language Total]:[Other Total]])</f>
        <v>34</v>
      </c>
    </row>
    <row r="5" spans="1:26" ht="30" x14ac:dyDescent="0.25">
      <c r="A5" s="5" t="s">
        <v>85</v>
      </c>
      <c r="B5" s="5" t="s">
        <v>85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4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</v>
      </c>
      <c r="V5">
        <v>0</v>
      </c>
      <c r="W5">
        <v>0</v>
      </c>
      <c r="X5">
        <v>0</v>
      </c>
      <c r="Y5">
        <v>1</v>
      </c>
      <c r="Z5">
        <f>SUM(Humboldt[[#This Row],[American Sign Language Total]:[Other Total]])</f>
        <v>7</v>
      </c>
    </row>
    <row r="6" spans="1:26" ht="30" x14ac:dyDescent="0.25">
      <c r="A6" s="5" t="s">
        <v>250</v>
      </c>
      <c r="B6" s="5" t="s">
        <v>111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10</v>
      </c>
      <c r="J6">
        <v>10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30</v>
      </c>
      <c r="V6">
        <v>0</v>
      </c>
      <c r="W6">
        <v>0</v>
      </c>
      <c r="X6">
        <v>0</v>
      </c>
      <c r="Y6">
        <v>10</v>
      </c>
      <c r="Z6">
        <f>SUM(Humboldt[[#This Row],[American Sign Language Total]:[Other Total]])</f>
        <v>60</v>
      </c>
    </row>
    <row r="7" spans="1:26" x14ac:dyDescent="0.25">
      <c r="A7" s="5" t="s">
        <v>251</v>
      </c>
      <c r="B7" s="5" t="s">
        <v>112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</v>
      </c>
      <c r="V7">
        <v>0</v>
      </c>
      <c r="W7">
        <v>0</v>
      </c>
      <c r="X7">
        <v>0</v>
      </c>
      <c r="Y7">
        <v>0</v>
      </c>
      <c r="Z7">
        <f>SUM(Humboldt[[#This Row],[American Sign Language Total]:[Other Total]])</f>
        <v>2</v>
      </c>
    </row>
    <row r="8" spans="1:26" x14ac:dyDescent="0.25">
      <c r="A8" s="15" t="s">
        <v>166</v>
      </c>
      <c r="B8" s="26" t="s">
        <v>172</v>
      </c>
      <c r="C8">
        <f>SUBTOTAL(109,Humboldt[American Sign Language Total])</f>
        <v>0</v>
      </c>
      <c r="D8">
        <f>SUBTOTAL(109,Humboldt[Arabic Total])</f>
        <v>0</v>
      </c>
      <c r="E8">
        <f>SUBTOTAL(109,Humboldt[Armenian Total])</f>
        <v>0</v>
      </c>
      <c r="F8">
        <f>SUBTOTAL(109,Humboldt[Bengali Total])</f>
        <v>0</v>
      </c>
      <c r="G8">
        <f>SUBTOTAL(109,Humboldt[Chinese (Mandarin or Cantonese) Total])</f>
        <v>0</v>
      </c>
      <c r="H8">
        <f>SUBTOTAL(109,Humboldt[Farsi (Persian) Total])</f>
        <v>0</v>
      </c>
      <c r="I8">
        <f>SUBTOTAL(109,Humboldt[French Total])</f>
        <v>14</v>
      </c>
      <c r="J8">
        <f>SUBTOTAL(109,Humboldt[German Total])</f>
        <v>13</v>
      </c>
      <c r="K8">
        <f>SUBTOTAL(109,Humboldt[Hebrew Total])</f>
        <v>0</v>
      </c>
      <c r="L8">
        <f>SUBTOTAL(109,Humboldt[Hindi Total])</f>
        <v>0</v>
      </c>
      <c r="M8">
        <f>SUBTOTAL(109,Humboldt[Hmong Total])</f>
        <v>1</v>
      </c>
      <c r="N8">
        <f>SUBTOTAL(109,Humboldt[Italian Total])</f>
        <v>0</v>
      </c>
      <c r="O8">
        <f>SUBTOTAL(109,Humboldt[Japanese Total])</f>
        <v>0</v>
      </c>
      <c r="P8">
        <f>SUBTOTAL(109,Humboldt[Korean Total])</f>
        <v>0</v>
      </c>
      <c r="Q8">
        <f>SUBTOTAL(109,Humboldt[Latin Total])</f>
        <v>0</v>
      </c>
      <c r="R8">
        <f>SUBTOTAL(109,Humboldt[Portuguese Total])</f>
        <v>0</v>
      </c>
      <c r="S8">
        <f>SUBTOTAL(109,Humboldt[Punjabi Total])</f>
        <v>0</v>
      </c>
      <c r="T8">
        <f>SUBTOTAL(109,Humboldt[Russian Total])</f>
        <v>0</v>
      </c>
      <c r="U8">
        <f>SUBTOTAL(109,Humboldt[Spanish Total])</f>
        <v>107</v>
      </c>
      <c r="V8">
        <f>SUBTOTAL(109,Humboldt[Tagalog (Filipino) Total])</f>
        <v>1</v>
      </c>
      <c r="W8">
        <f>SUBTOTAL(109,Humboldt[Urdu Total])</f>
        <v>1</v>
      </c>
      <c r="X8">
        <f>SUBTOTAL(109,Humboldt[Vietnamese Total])</f>
        <v>0</v>
      </c>
      <c r="Y8">
        <f>SUBTOTAL(109,Humboldt[Other Total])</f>
        <v>12</v>
      </c>
      <c r="Z8">
        <f>SUBTOTAL(109,Humboldt[Total Seals per LEA])</f>
        <v>149</v>
      </c>
    </row>
  </sheetData>
  <sortState xmlns:xlrd2="http://schemas.microsoft.com/office/spreadsheetml/2017/richdata2" ref="A2:BL8">
    <sortCondition ref="A2:A8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7.36328125" bestFit="1" customWidth="1"/>
    <col min="2" max="2" width="31.08984375" customWidth="1"/>
    <col min="3" max="3" width="12.179687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48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6" t="s">
        <v>86</v>
      </c>
      <c r="B3" s="2" t="s">
        <v>86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27</v>
      </c>
      <c r="V3">
        <v>0</v>
      </c>
      <c r="W3">
        <v>0</v>
      </c>
      <c r="X3">
        <v>0</v>
      </c>
      <c r="Y3">
        <v>0</v>
      </c>
      <c r="Z3">
        <f>SUM(Imperial[[#This Row],[American Sign Language Total]:[Other Total]])</f>
        <v>27</v>
      </c>
    </row>
    <row r="4" spans="1:26" x14ac:dyDescent="0.25">
      <c r="A4" s="6" t="s">
        <v>253</v>
      </c>
      <c r="B4" s="2" t="s">
        <v>79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100</v>
      </c>
      <c r="V4">
        <v>0</v>
      </c>
      <c r="W4">
        <v>0</v>
      </c>
      <c r="X4">
        <v>0</v>
      </c>
      <c r="Y4">
        <v>0</v>
      </c>
      <c r="Z4">
        <f>SUM(Imperial[[#This Row],[American Sign Language Total]:[Other Total]])</f>
        <v>100</v>
      </c>
    </row>
    <row r="5" spans="1:26" ht="30" x14ac:dyDescent="0.25">
      <c r="A5" s="6" t="s">
        <v>254</v>
      </c>
      <c r="B5" s="2" t="s">
        <v>257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134</v>
      </c>
      <c r="V5" s="6">
        <v>0</v>
      </c>
      <c r="W5" s="6">
        <v>0</v>
      </c>
      <c r="X5" s="6">
        <v>0</v>
      </c>
      <c r="Y5" s="6">
        <v>0</v>
      </c>
      <c r="Z5" s="6">
        <f>SUM(Imperial[[#This Row],[American Sign Language Total]:[Other Total]])</f>
        <v>134</v>
      </c>
    </row>
    <row r="6" spans="1:26" x14ac:dyDescent="0.25">
      <c r="A6" s="6" t="s">
        <v>255</v>
      </c>
      <c r="B6" s="2" t="s">
        <v>258</v>
      </c>
      <c r="C6" s="6">
        <v>7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28</v>
      </c>
      <c r="V6" s="6">
        <v>0</v>
      </c>
      <c r="W6" s="6">
        <v>0</v>
      </c>
      <c r="X6" s="6">
        <v>0</v>
      </c>
      <c r="Y6" s="6">
        <v>0</v>
      </c>
      <c r="Z6" s="6">
        <f>SUM(Imperial[[#This Row],[American Sign Language Total]:[Other Total]])</f>
        <v>35</v>
      </c>
    </row>
    <row r="7" spans="1:26" x14ac:dyDescent="0.25">
      <c r="A7" s="6" t="s">
        <v>256</v>
      </c>
      <c r="B7" s="2" t="s">
        <v>259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</v>
      </c>
      <c r="V7">
        <v>0</v>
      </c>
      <c r="W7">
        <v>0</v>
      </c>
      <c r="X7">
        <v>0</v>
      </c>
      <c r="Y7">
        <v>0</v>
      </c>
      <c r="Z7">
        <f>SUM(Imperial[[#This Row],[American Sign Language Total]:[Other Total]])</f>
        <v>4</v>
      </c>
    </row>
    <row r="8" spans="1:26" x14ac:dyDescent="0.25">
      <c r="A8" s="15" t="s">
        <v>166</v>
      </c>
      <c r="B8" s="26" t="s">
        <v>172</v>
      </c>
      <c r="C8">
        <f>SUBTOTAL(109,Imperial[American Sign Language Total])</f>
        <v>7</v>
      </c>
      <c r="D8">
        <f>SUBTOTAL(109,Imperial[Arabic Total])</f>
        <v>0</v>
      </c>
      <c r="E8">
        <f>SUBTOTAL(109,Imperial[Armenian Total])</f>
        <v>0</v>
      </c>
      <c r="F8">
        <f>SUBTOTAL(109,Imperial[Bengali Total])</f>
        <v>0</v>
      </c>
      <c r="G8">
        <f>SUBTOTAL(109,Imperial[Chinese (Mandarin or Cantonese) Total])</f>
        <v>0</v>
      </c>
      <c r="H8">
        <f>SUBTOTAL(109,Imperial[Farsi (Persian) Total])</f>
        <v>0</v>
      </c>
      <c r="I8">
        <f>SUBTOTAL(109,Imperial[French Total])</f>
        <v>0</v>
      </c>
      <c r="J8">
        <f>SUBTOTAL(109,Imperial[German Total])</f>
        <v>0</v>
      </c>
      <c r="K8">
        <f>SUBTOTAL(109,Imperial[Hebrew Total])</f>
        <v>0</v>
      </c>
      <c r="L8">
        <f>SUBTOTAL(109,Imperial[Hindi Total])</f>
        <v>0</v>
      </c>
      <c r="M8">
        <f>SUBTOTAL(109,Imperial[Hmong Total])</f>
        <v>0</v>
      </c>
      <c r="N8">
        <f>SUBTOTAL(109,Imperial[Italian Total])</f>
        <v>0</v>
      </c>
      <c r="O8">
        <f>SUBTOTAL(109,Imperial[Japanese Total])</f>
        <v>0</v>
      </c>
      <c r="P8">
        <f>SUBTOTAL(109,Imperial[Korean Total])</f>
        <v>0</v>
      </c>
      <c r="Q8">
        <f>SUBTOTAL(109,Imperial[Latin Total])</f>
        <v>0</v>
      </c>
      <c r="R8">
        <f>SUBTOTAL(109,Imperial[Portuguese Total])</f>
        <v>0</v>
      </c>
      <c r="S8">
        <f>SUBTOTAL(109,Imperial[Punjabi Total])</f>
        <v>0</v>
      </c>
      <c r="T8">
        <f>SUBTOTAL(109,Imperial[Russian Total])</f>
        <v>0</v>
      </c>
      <c r="U8">
        <f>SUBTOTAL(109,Imperial[Spanish Total])</f>
        <v>293</v>
      </c>
      <c r="V8">
        <f>SUBTOTAL(109,Imperial[Tagalog (Filipino) Total])</f>
        <v>0</v>
      </c>
      <c r="W8">
        <f>SUBTOTAL(109,Imperial[Urdu Total])</f>
        <v>0</v>
      </c>
      <c r="X8">
        <f>SUBTOTAL(109,Imperial[Vietnamese Total])</f>
        <v>0</v>
      </c>
      <c r="Y8">
        <f>SUBTOTAL(109,Imperial[Other Total])</f>
        <v>0</v>
      </c>
      <c r="Z8">
        <f>SUBTOTAL(109,Imperial[Total Seals per LEA])</f>
        <v>300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D599-3BA0-4CD6-9904-967F8D4A5608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" bestFit="1" customWidth="1"/>
    <col min="2" max="2" width="16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87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6" t="s">
        <v>260</v>
      </c>
      <c r="B3" s="6" t="s">
        <v>88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14</v>
      </c>
      <c r="V3">
        <v>0</v>
      </c>
      <c r="W3">
        <v>0</v>
      </c>
      <c r="X3">
        <v>0</v>
      </c>
      <c r="Y3">
        <v>0</v>
      </c>
      <c r="Z3">
        <f>SUM(Inyo[[American Sign Language Total]:[Other Total]])</f>
        <v>14</v>
      </c>
    </row>
    <row r="4" spans="1:26" x14ac:dyDescent="0.25">
      <c r="A4" s="15" t="s">
        <v>158</v>
      </c>
      <c r="B4" s="26" t="s">
        <v>210</v>
      </c>
      <c r="C4">
        <f>SUBTOTAL(109,Inyo[American Sign Language Total])</f>
        <v>0</v>
      </c>
      <c r="D4">
        <f>SUBTOTAL(109,Inyo[Arabic Total])</f>
        <v>0</v>
      </c>
      <c r="E4">
        <f>SUBTOTAL(109,Inyo[Armenian Total])</f>
        <v>0</v>
      </c>
      <c r="F4">
        <f>SUBTOTAL(109,Inyo[Bengali Total])</f>
        <v>0</v>
      </c>
      <c r="G4">
        <f>SUBTOTAL(109,Inyo[Chinese (Mandarin or Cantonese) Total])</f>
        <v>0</v>
      </c>
      <c r="H4">
        <f>SUBTOTAL(109,Inyo[Farsi (Persian) Total])</f>
        <v>0</v>
      </c>
      <c r="I4">
        <f>SUBTOTAL(109,Inyo[French Total])</f>
        <v>0</v>
      </c>
      <c r="J4">
        <f>SUBTOTAL(109,Inyo[German Total])</f>
        <v>0</v>
      </c>
      <c r="K4">
        <f>SUBTOTAL(109,Inyo[Hebrew Total])</f>
        <v>0</v>
      </c>
      <c r="L4">
        <f>SUBTOTAL(109,Inyo[Hindi Total])</f>
        <v>0</v>
      </c>
      <c r="M4">
        <f>SUBTOTAL(109,Inyo[Hmong Total])</f>
        <v>0</v>
      </c>
      <c r="N4">
        <f>SUBTOTAL(109,Inyo[Italian Total])</f>
        <v>0</v>
      </c>
      <c r="O4">
        <f>SUBTOTAL(109,Inyo[Japanese Total])</f>
        <v>0</v>
      </c>
      <c r="P4">
        <f>SUBTOTAL(109,Inyo[Korean Total])</f>
        <v>0</v>
      </c>
      <c r="Q4">
        <f>SUBTOTAL(109,Inyo[Latin Total])</f>
        <v>0</v>
      </c>
      <c r="R4">
        <f>SUBTOTAL(109,Inyo[Portuguese Total])</f>
        <v>0</v>
      </c>
      <c r="S4">
        <f>SUBTOTAL(109,Inyo[Punjabi Total])</f>
        <v>0</v>
      </c>
      <c r="T4">
        <f>SUBTOTAL(109,Inyo[Russian Total])</f>
        <v>0</v>
      </c>
      <c r="U4">
        <f>SUBTOTAL(109,Inyo[Spanish Total])</f>
        <v>14</v>
      </c>
      <c r="V4">
        <f>SUBTOTAL(109,Inyo[Tagalog (Filipino) Total])</f>
        <v>0</v>
      </c>
      <c r="W4">
        <f>SUBTOTAL(109,Inyo[Urdu Total])</f>
        <v>0</v>
      </c>
      <c r="X4">
        <f>SUBTOTAL(109,Inyo[Vietnamese Total])</f>
        <v>0</v>
      </c>
      <c r="Y4">
        <f>SUBTOTAL(109,Inyo[Other Total])</f>
        <v>0</v>
      </c>
      <c r="Z4">
        <f>SUBTOTAL(109,Inyo[Total Seals per LEA])</f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1.81640625" bestFit="1" customWidth="1"/>
    <col min="2" max="2" width="37.6328125" customWidth="1"/>
    <col min="3" max="3" width="12.36328125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16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261</v>
      </c>
      <c r="B3" s="5" t="s">
        <v>272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335</v>
      </c>
      <c r="V3">
        <v>0</v>
      </c>
      <c r="W3">
        <v>0</v>
      </c>
      <c r="X3">
        <v>0</v>
      </c>
      <c r="Y3">
        <v>0</v>
      </c>
      <c r="Z3">
        <f>SUM(Kern[[#This Row],[American Sign Language Total]:[Other Total]])</f>
        <v>336</v>
      </c>
    </row>
    <row r="4" spans="1:26" x14ac:dyDescent="0.25">
      <c r="A4" s="2" t="s">
        <v>262</v>
      </c>
      <c r="B4" s="5" t="s">
        <v>262</v>
      </c>
      <c r="C4" s="6">
        <v>20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20</v>
      </c>
      <c r="P4" s="6">
        <v>0</v>
      </c>
      <c r="Q4" s="6">
        <v>20</v>
      </c>
      <c r="R4" s="6">
        <v>0</v>
      </c>
      <c r="S4" s="6">
        <v>0</v>
      </c>
      <c r="T4" s="6">
        <v>0</v>
      </c>
      <c r="U4" s="6">
        <v>20</v>
      </c>
      <c r="V4" s="6">
        <v>0</v>
      </c>
      <c r="W4" s="6">
        <v>0</v>
      </c>
      <c r="X4" s="6">
        <v>0</v>
      </c>
      <c r="Y4" s="6">
        <v>0</v>
      </c>
      <c r="Z4" s="6">
        <f>SUM(Kern[[#This Row],[American Sign Language Total]:[Other Total]])</f>
        <v>80</v>
      </c>
    </row>
    <row r="5" spans="1:26" x14ac:dyDescent="0.25">
      <c r="A5" s="2" t="s">
        <v>263</v>
      </c>
      <c r="B5" s="5" t="s">
        <v>273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2</v>
      </c>
      <c r="V5" s="6">
        <v>0</v>
      </c>
      <c r="W5" s="6">
        <v>0</v>
      </c>
      <c r="X5" s="6">
        <v>0</v>
      </c>
      <c r="Y5" s="6">
        <v>0</v>
      </c>
      <c r="Z5" s="6">
        <f>SUM(Kern[[#This Row],[American Sign Language Total]:[Other Total]])</f>
        <v>2</v>
      </c>
    </row>
    <row r="6" spans="1:26" ht="105" x14ac:dyDescent="0.25">
      <c r="A6" s="5" t="s">
        <v>264</v>
      </c>
      <c r="B6" s="5" t="s">
        <v>113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84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 s="3">
        <v>1596</v>
      </c>
      <c r="V6" s="3">
        <v>0</v>
      </c>
      <c r="W6" s="3">
        <v>0</v>
      </c>
      <c r="X6" s="3">
        <v>0</v>
      </c>
      <c r="Y6" s="3">
        <v>0</v>
      </c>
      <c r="Z6" s="3">
        <f>SUM(Kern[[#This Row],[American Sign Language Total]:[Other Total]])</f>
        <v>1682</v>
      </c>
    </row>
    <row r="7" spans="1:26" x14ac:dyDescent="0.25">
      <c r="A7" s="5" t="s">
        <v>265</v>
      </c>
      <c r="B7" t="s">
        <v>100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44</v>
      </c>
      <c r="V7">
        <v>0</v>
      </c>
      <c r="W7">
        <v>0</v>
      </c>
      <c r="X7">
        <v>0</v>
      </c>
      <c r="Y7">
        <v>0</v>
      </c>
      <c r="Z7">
        <f>SUM(Kern[[#This Row],[American Sign Language Total]:[Other Total]])</f>
        <v>44</v>
      </c>
    </row>
    <row r="8" spans="1:26" x14ac:dyDescent="0.25">
      <c r="A8" s="2" t="s">
        <v>266</v>
      </c>
      <c r="B8" s="5" t="s">
        <v>274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9</v>
      </c>
      <c r="V8" s="6">
        <v>0</v>
      </c>
      <c r="W8" s="6">
        <v>0</v>
      </c>
      <c r="X8" s="6">
        <v>0</v>
      </c>
      <c r="Y8" s="6">
        <v>5</v>
      </c>
      <c r="Z8" s="6">
        <f>SUM(Kern[[#This Row],[American Sign Language Total]:[Other Total]])</f>
        <v>14</v>
      </c>
    </row>
    <row r="9" spans="1:26" x14ac:dyDescent="0.25">
      <c r="A9" s="2" t="s">
        <v>267</v>
      </c>
      <c r="B9" s="5" t="s">
        <v>275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6</v>
      </c>
      <c r="V9" s="6">
        <v>0</v>
      </c>
      <c r="W9" s="6">
        <v>0</v>
      </c>
      <c r="X9" s="6">
        <v>0</v>
      </c>
      <c r="Y9" s="6">
        <v>0</v>
      </c>
      <c r="Z9" s="6">
        <f>SUM(Kern[[#This Row],[American Sign Language Total]:[Other Total]])</f>
        <v>6</v>
      </c>
    </row>
    <row r="10" spans="1:26" x14ac:dyDescent="0.25">
      <c r="A10" s="2" t="s">
        <v>268</v>
      </c>
      <c r="B10" s="5" t="s">
        <v>101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38</v>
      </c>
      <c r="V10" s="6">
        <v>0</v>
      </c>
      <c r="W10" s="6">
        <v>0</v>
      </c>
      <c r="X10" s="6">
        <v>0</v>
      </c>
      <c r="Y10" s="6">
        <v>0</v>
      </c>
      <c r="Z10" s="6">
        <f>SUM(Kern[[#This Row],[American Sign Language Total]:[Other Total]])</f>
        <v>38</v>
      </c>
    </row>
    <row r="11" spans="1:26" x14ac:dyDescent="0.25">
      <c r="A11" s="5" t="s">
        <v>269</v>
      </c>
      <c r="B11" s="5" t="s">
        <v>269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15</v>
      </c>
      <c r="V11">
        <v>0</v>
      </c>
      <c r="W11">
        <v>0</v>
      </c>
      <c r="X11">
        <v>0</v>
      </c>
      <c r="Y11">
        <v>0</v>
      </c>
      <c r="Z11">
        <f>SUM(Kern[[#This Row],[American Sign Language Total]:[Other Total]])</f>
        <v>15</v>
      </c>
    </row>
    <row r="12" spans="1:26" ht="30" x14ac:dyDescent="0.25">
      <c r="A12" s="5" t="s">
        <v>270</v>
      </c>
      <c r="B12" s="5" t="s">
        <v>270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</v>
      </c>
      <c r="V12">
        <v>0</v>
      </c>
      <c r="W12">
        <v>0</v>
      </c>
      <c r="X12">
        <v>0</v>
      </c>
      <c r="Y12">
        <v>0</v>
      </c>
      <c r="Z12">
        <f>SUM(Kern[[#This Row],[American Sign Language Total]:[Other Total]])</f>
        <v>2</v>
      </c>
    </row>
    <row r="13" spans="1:26" x14ac:dyDescent="0.25">
      <c r="A13" s="15" t="s">
        <v>271</v>
      </c>
      <c r="B13" s="26" t="s">
        <v>1088</v>
      </c>
      <c r="C13" s="3">
        <f>SUBTOTAL(109,Kern[American Sign Language Total])</f>
        <v>20</v>
      </c>
      <c r="D13" s="3">
        <f>SUBTOTAL(109,Kern[Arabic Total])</f>
        <v>0</v>
      </c>
      <c r="E13" s="3">
        <f>SUBTOTAL(109,Kern[Armenian Total])</f>
        <v>0</v>
      </c>
      <c r="F13" s="3">
        <f>SUBTOTAL(109,Kern[Bengali Total])</f>
        <v>0</v>
      </c>
      <c r="G13" s="3">
        <f>SUBTOTAL(109,Kern[Chinese (Mandarin or Cantonese) Total])</f>
        <v>1</v>
      </c>
      <c r="H13" s="3">
        <f>SUBTOTAL(109,Kern[Farsi (Persian) Total])</f>
        <v>0</v>
      </c>
      <c r="I13" s="3">
        <f>SUBTOTAL(109,Kern[French Total])</f>
        <v>85</v>
      </c>
      <c r="J13" s="3">
        <f>SUBTOTAL(109,Kern[German Total])</f>
        <v>0</v>
      </c>
      <c r="K13" s="3">
        <f>SUBTOTAL(109,Kern[Hebrew Total])</f>
        <v>0</v>
      </c>
      <c r="L13" s="3">
        <f>SUBTOTAL(109,Kern[Hindi Total])</f>
        <v>0</v>
      </c>
      <c r="M13" s="3">
        <f>SUBTOTAL(109,Kern[Hmong Total])</f>
        <v>0</v>
      </c>
      <c r="N13" s="3">
        <f>SUBTOTAL(109,Kern[Italian Total])</f>
        <v>0</v>
      </c>
      <c r="O13" s="3">
        <f>SUBTOTAL(109,Kern[Japanese Total])</f>
        <v>21</v>
      </c>
      <c r="P13" s="3">
        <f>SUBTOTAL(109,Kern[Korean Total])</f>
        <v>0</v>
      </c>
      <c r="Q13" s="3">
        <f>SUBTOTAL(109,Kern[Latin Total])</f>
        <v>20</v>
      </c>
      <c r="R13" s="3">
        <f>SUBTOTAL(109,Kern[Portuguese Total])</f>
        <v>0</v>
      </c>
      <c r="S13" s="3">
        <f>SUBTOTAL(109,Kern[Punjabi Total])</f>
        <v>0</v>
      </c>
      <c r="T13" s="3">
        <f>SUBTOTAL(109,Kern[Russian Total])</f>
        <v>0</v>
      </c>
      <c r="U13" s="3">
        <f>SUBTOTAL(109,Kern[Spanish Total])</f>
        <v>2067</v>
      </c>
      <c r="V13" s="3">
        <f>SUBTOTAL(109,Kern[Tagalog (Filipino) Total])</f>
        <v>0</v>
      </c>
      <c r="W13" s="3">
        <f>SUBTOTAL(109,Kern[Urdu Total])</f>
        <v>0</v>
      </c>
      <c r="X13" s="3">
        <f>SUBTOTAL(109,Kern[Vietnamese Total])</f>
        <v>0</v>
      </c>
      <c r="Y13" s="3">
        <f>SUBTOTAL(109,Kern[Other Total])</f>
        <v>5</v>
      </c>
      <c r="Z13" s="3">
        <f>SUBTOTAL(109,Kern[Total Seals per LEA])</f>
        <v>2219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" bestFit="1" customWidth="1"/>
    <col min="2" max="2" width="28" customWidth="1"/>
    <col min="3" max="3" width="13.453125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33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t="s">
        <v>276</v>
      </c>
      <c r="B3" s="5" t="s">
        <v>280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50</v>
      </c>
      <c r="V3">
        <v>0</v>
      </c>
      <c r="W3">
        <v>0</v>
      </c>
      <c r="X3">
        <v>0</v>
      </c>
      <c r="Y3">
        <v>0</v>
      </c>
      <c r="Z3">
        <f>SUM(Kings[[#This Row],[American Sign Language Total]:[Other Total]])</f>
        <v>51</v>
      </c>
    </row>
    <row r="4" spans="1:26" x14ac:dyDescent="0.25">
      <c r="A4" s="6" t="s">
        <v>277</v>
      </c>
      <c r="B4" s="2" t="s">
        <v>277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10</v>
      </c>
      <c r="V4" s="6">
        <v>0</v>
      </c>
      <c r="W4" s="6">
        <v>0</v>
      </c>
      <c r="X4" s="6">
        <v>0</v>
      </c>
      <c r="Y4" s="6">
        <v>0</v>
      </c>
      <c r="Z4" s="6">
        <f>SUM(Kings[[#This Row],[American Sign Language Total]:[Other Total]])</f>
        <v>10</v>
      </c>
    </row>
    <row r="5" spans="1:26" ht="30" x14ac:dyDescent="0.25">
      <c r="A5" t="s">
        <v>278</v>
      </c>
      <c r="B5" s="5" t="s">
        <v>278</v>
      </c>
      <c r="C5">
        <v>0</v>
      </c>
      <c r="D5">
        <v>3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6</v>
      </c>
      <c r="V5">
        <v>0</v>
      </c>
      <c r="W5">
        <v>0</v>
      </c>
      <c r="X5">
        <v>0</v>
      </c>
      <c r="Y5">
        <v>0</v>
      </c>
      <c r="Z5">
        <f>SUM(Kings[[#This Row],[American Sign Language Total]:[Other Total]])</f>
        <v>9</v>
      </c>
    </row>
    <row r="6" spans="1:26" x14ac:dyDescent="0.25">
      <c r="A6" s="6" t="s">
        <v>279</v>
      </c>
      <c r="B6" s="6" t="s">
        <v>281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23</v>
      </c>
      <c r="V6" s="6">
        <v>0</v>
      </c>
      <c r="W6" s="6">
        <v>0</v>
      </c>
      <c r="X6" s="6">
        <v>0</v>
      </c>
      <c r="Y6" s="6">
        <v>0</v>
      </c>
      <c r="Z6" s="6">
        <f>SUM(Kings[[#This Row],[American Sign Language Total]:[Other Total]])</f>
        <v>23</v>
      </c>
    </row>
    <row r="7" spans="1:26" x14ac:dyDescent="0.25">
      <c r="A7" s="15" t="s">
        <v>186</v>
      </c>
      <c r="B7" s="26" t="s">
        <v>216</v>
      </c>
      <c r="C7">
        <f>SUBTOTAL(109,Kings[American Sign Language Total])</f>
        <v>0</v>
      </c>
      <c r="D7">
        <f>SUBTOTAL(109,Kings[Arabic Total])</f>
        <v>3</v>
      </c>
      <c r="E7">
        <f>SUBTOTAL(109,Kings[Armenian Total])</f>
        <v>0</v>
      </c>
      <c r="F7">
        <f>SUBTOTAL(109,Kings[Bengali Total])</f>
        <v>0</v>
      </c>
      <c r="G7">
        <f>SUBTOTAL(109,Kings[Chinese (Mandarin or Cantonese) Total])</f>
        <v>1</v>
      </c>
      <c r="H7">
        <f>SUBTOTAL(109,Kings[Farsi (Persian) Total])</f>
        <v>0</v>
      </c>
      <c r="I7">
        <f>SUBTOTAL(109,Kings[French Total])</f>
        <v>0</v>
      </c>
      <c r="J7">
        <f>SUBTOTAL(109,Kings[German Total])</f>
        <v>0</v>
      </c>
      <c r="K7">
        <f>SUBTOTAL(109,Kings[Hebrew Total])</f>
        <v>0</v>
      </c>
      <c r="L7">
        <f>SUBTOTAL(109,Kings[Hindi Total])</f>
        <v>0</v>
      </c>
      <c r="M7">
        <f>SUBTOTAL(109,Kings[Hmong Total])</f>
        <v>0</v>
      </c>
      <c r="N7">
        <f>SUBTOTAL(109,Kings[Italian Total])</f>
        <v>0</v>
      </c>
      <c r="O7">
        <f>SUBTOTAL(109,Kings[Japanese Total])</f>
        <v>0</v>
      </c>
      <c r="P7">
        <f>SUBTOTAL(109,Kings[Korean Total])</f>
        <v>0</v>
      </c>
      <c r="Q7">
        <f>SUBTOTAL(109,Kings[Latin Total])</f>
        <v>0</v>
      </c>
      <c r="R7">
        <f>SUBTOTAL(109,Kings[Portuguese Total])</f>
        <v>0</v>
      </c>
      <c r="S7">
        <f>SUBTOTAL(109,Kings[Punjabi Total])</f>
        <v>0</v>
      </c>
      <c r="T7">
        <f>SUBTOTAL(109,Kings[Russian Total])</f>
        <v>0</v>
      </c>
      <c r="U7">
        <f>SUBTOTAL(109,Kings[Spanish Total])</f>
        <v>89</v>
      </c>
      <c r="V7">
        <f>SUBTOTAL(109,Kings[Tagalog (Filipino) Total])</f>
        <v>0</v>
      </c>
      <c r="W7">
        <f>SUBTOTAL(109,Kings[Urdu Total])</f>
        <v>0</v>
      </c>
      <c r="X7">
        <f>SUBTOTAL(109,Kings[Vietnamese Total])</f>
        <v>0</v>
      </c>
      <c r="Y7">
        <f>SUBTOTAL(109,Kings[Other Total])</f>
        <v>0</v>
      </c>
      <c r="Z7">
        <f>SUBTOTAL(109,Kings[Total Seals per LEA])</f>
        <v>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08984375" bestFit="1" customWidth="1"/>
    <col min="2" max="2" width="24.36328125" customWidth="1"/>
    <col min="3" max="3" width="14.6328125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36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6" t="s">
        <v>282</v>
      </c>
      <c r="B3" s="5" t="s">
        <v>282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2</v>
      </c>
      <c r="V3" s="6">
        <v>0</v>
      </c>
      <c r="W3" s="6">
        <v>0</v>
      </c>
      <c r="X3" s="6">
        <v>0</v>
      </c>
      <c r="Y3" s="6">
        <v>0</v>
      </c>
      <c r="Z3" s="6">
        <f>SUM(Lake[[#This Row],[American Sign Language Total]:[Other Total]])</f>
        <v>2</v>
      </c>
    </row>
    <row r="4" spans="1:26" x14ac:dyDescent="0.25">
      <c r="A4" t="s">
        <v>283</v>
      </c>
      <c r="B4" s="5" t="s">
        <v>284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</v>
      </c>
      <c r="V4">
        <v>0</v>
      </c>
      <c r="W4">
        <v>0</v>
      </c>
      <c r="X4">
        <v>0</v>
      </c>
      <c r="Y4">
        <v>0</v>
      </c>
      <c r="Z4">
        <f>SUM(Lake[[#This Row],[American Sign Language Total]:[Other Total]])</f>
        <v>2</v>
      </c>
    </row>
    <row r="5" spans="1:26" x14ac:dyDescent="0.25">
      <c r="A5" s="15" t="s">
        <v>175</v>
      </c>
      <c r="B5" s="26" t="s">
        <v>160</v>
      </c>
      <c r="C5">
        <f>SUBTOTAL(109,Lake[American Sign Language Total])</f>
        <v>0</v>
      </c>
      <c r="D5">
        <f>SUBTOTAL(109,Lake[Arabic Total])</f>
        <v>0</v>
      </c>
      <c r="E5">
        <f>SUBTOTAL(109,Lake[Armenian Total])</f>
        <v>0</v>
      </c>
      <c r="F5">
        <f>SUBTOTAL(109,Lake[Bengali Total])</f>
        <v>0</v>
      </c>
      <c r="G5">
        <f>SUBTOTAL(109,Lake[Chinese (Mandarin or Cantonese) Total])</f>
        <v>0</v>
      </c>
      <c r="H5">
        <f>SUBTOTAL(109,Lake[Farsi (Persian) Total])</f>
        <v>0</v>
      </c>
      <c r="I5">
        <f>SUBTOTAL(109,Lake[French Total])</f>
        <v>0</v>
      </c>
      <c r="J5">
        <f>SUBTOTAL(109,Lake[German Total])</f>
        <v>0</v>
      </c>
      <c r="K5">
        <f>SUBTOTAL(109,Lake[Hebrew Total])</f>
        <v>0</v>
      </c>
      <c r="L5">
        <f>SUBTOTAL(109,Lake[Hindi Total])</f>
        <v>0</v>
      </c>
      <c r="M5">
        <f>SUBTOTAL(109,Lake[Hmong Total])</f>
        <v>0</v>
      </c>
      <c r="N5">
        <f>SUBTOTAL(109,Lake[Italian Total])</f>
        <v>0</v>
      </c>
      <c r="O5">
        <f>SUBTOTAL(109,Lake[Japanese Total])</f>
        <v>0</v>
      </c>
      <c r="P5">
        <f>SUBTOTAL(109,Lake[Korean Total])</f>
        <v>0</v>
      </c>
      <c r="Q5">
        <f>SUBTOTAL(109,Lake[Latin Total])</f>
        <v>0</v>
      </c>
      <c r="R5">
        <f>SUBTOTAL(109,Lake[Portuguese Total])</f>
        <v>0</v>
      </c>
      <c r="S5">
        <f>SUBTOTAL(109,Lake[Punjabi Total])</f>
        <v>0</v>
      </c>
      <c r="T5">
        <f>SUBTOTAL(109,Lake[Russian Total])</f>
        <v>0</v>
      </c>
      <c r="U5">
        <f>SUBTOTAL(109,Lake[Spanish Total])</f>
        <v>4</v>
      </c>
      <c r="V5">
        <f>SUBTOTAL(109,Lake[Tagalog (Filipino) Total])</f>
        <v>0</v>
      </c>
      <c r="W5">
        <f>SUBTOTAL(109,Lake[Urdu Total])</f>
        <v>0</v>
      </c>
      <c r="X5">
        <f>SUBTOTAL(109,Lake[Vietnamese Total])</f>
        <v>0</v>
      </c>
      <c r="Y5">
        <f>SUBTOTAL(109,Lake[Other Total])</f>
        <v>0</v>
      </c>
      <c r="Z5">
        <f>SUBTOTAL(109,Lake[Total Seals per LEA])</f>
        <v>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7.6328125" bestFit="1" customWidth="1"/>
    <col min="2" max="2" width="19.453125" customWidth="1"/>
    <col min="3" max="3" width="12.36328125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45</v>
      </c>
    </row>
    <row r="2" spans="1:26" ht="75.599999999999994" thickTop="1" x14ac:dyDescent="0.25">
      <c r="A2" s="2" t="s">
        <v>70</v>
      </c>
      <c r="B2" s="2" t="s">
        <v>71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96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285</v>
      </c>
      <c r="B3" s="5" t="s">
        <v>114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12</v>
      </c>
      <c r="V3">
        <v>0</v>
      </c>
      <c r="W3">
        <v>0</v>
      </c>
      <c r="X3">
        <v>0</v>
      </c>
      <c r="Y3">
        <v>0</v>
      </c>
      <c r="Z3" s="6">
        <f>SUM(Lassen[[American Sign Language Total]:[Other Total]])</f>
        <v>12</v>
      </c>
    </row>
    <row r="4" spans="1:26" x14ac:dyDescent="0.25">
      <c r="A4" s="15" t="s">
        <v>158</v>
      </c>
      <c r="B4" s="26" t="s">
        <v>210</v>
      </c>
      <c r="C4">
        <f>SUBTOTAL(109,Lassen[American Sign Language Total])</f>
        <v>0</v>
      </c>
      <c r="D4">
        <f>SUBTOTAL(109,Lassen[Arabic Total])</f>
        <v>0</v>
      </c>
      <c r="E4">
        <f>SUBTOTAL(109,Lassen[Armenian Total])</f>
        <v>0</v>
      </c>
      <c r="F4">
        <f>SUBTOTAL(109,Lassen[Bengali Total])</f>
        <v>0</v>
      </c>
      <c r="G4">
        <f>SUBTOTAL(109,Lassen[Chinese (Mandarin or Cantonese) Total])</f>
        <v>0</v>
      </c>
      <c r="H4">
        <f>SUBTOTAL(109,Lassen[Farsi (Persian) Total])</f>
        <v>0</v>
      </c>
      <c r="I4">
        <f>SUBTOTAL(109,Lassen[French Total])</f>
        <v>0</v>
      </c>
      <c r="J4">
        <f>SUBTOTAL(109,Lassen[German Total])</f>
        <v>0</v>
      </c>
      <c r="K4">
        <f>SUBTOTAL(109,Lassen[Hebrew Total])</f>
        <v>0</v>
      </c>
      <c r="L4">
        <f>SUBTOTAL(109,Lassen[Hindi Total])</f>
        <v>0</v>
      </c>
      <c r="M4">
        <f>SUBTOTAL(109,Lassen[Hmong Total])</f>
        <v>0</v>
      </c>
      <c r="N4">
        <f>SUBTOTAL(109,Lassen[Italian Total])</f>
        <v>0</v>
      </c>
      <c r="O4">
        <f>SUBTOTAL(109,Lassen[Japanese Total])</f>
        <v>0</v>
      </c>
      <c r="P4">
        <f>SUBTOTAL(109,Lassen[Korean Total])</f>
        <v>0</v>
      </c>
      <c r="Q4">
        <f>SUBTOTAL(109,Lassen[Latin Total])</f>
        <v>0</v>
      </c>
      <c r="R4">
        <f>SUBTOTAL(109,Lassen[Portuguese Total])</f>
        <v>0</v>
      </c>
      <c r="S4">
        <f>SUBTOTAL(109,Lassen[[Punjabi Total ]])</f>
        <v>0</v>
      </c>
      <c r="T4">
        <f>SUBTOTAL(109,Lassen[Russian Total])</f>
        <v>0</v>
      </c>
      <c r="U4">
        <f>SUBTOTAL(109,Lassen[Spanish Total])</f>
        <v>12</v>
      </c>
      <c r="V4">
        <f>SUBTOTAL(109,Lassen[Tagalog (Filipino) Total])</f>
        <v>0</v>
      </c>
      <c r="W4">
        <f>SUBTOTAL(109,Lassen[Urdu Total])</f>
        <v>0</v>
      </c>
      <c r="X4">
        <f>SUBTOTAL(109,Lassen[Vietnamese Total])</f>
        <v>0</v>
      </c>
      <c r="Y4">
        <f>SUBTOTAL(109,Lassen[Other Total])</f>
        <v>0</v>
      </c>
      <c r="Z4">
        <f>SUBTOTAL(109,Lassen[Total Seals per LEA])</f>
        <v>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9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43.453125" style="5" bestFit="1" customWidth="1"/>
    <col min="2" max="2" width="37.08984375" style="5" customWidth="1"/>
    <col min="3" max="3" width="11.81640625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0" t="s">
        <v>1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2" t="s">
        <v>286</v>
      </c>
      <c r="B3" s="5" t="s">
        <v>378</v>
      </c>
      <c r="C3" s="6">
        <v>0</v>
      </c>
      <c r="D3" s="6">
        <v>0</v>
      </c>
      <c r="E3" s="6">
        <v>0</v>
      </c>
      <c r="F3" s="8">
        <v>0</v>
      </c>
      <c r="G3" s="8">
        <v>40</v>
      </c>
      <c r="H3" s="8">
        <v>0</v>
      </c>
      <c r="I3" s="6">
        <v>10</v>
      </c>
      <c r="J3" s="6">
        <v>0</v>
      </c>
      <c r="K3" s="8">
        <v>0</v>
      </c>
      <c r="L3" s="8">
        <v>0</v>
      </c>
      <c r="M3" s="6">
        <v>0</v>
      </c>
      <c r="N3" s="6">
        <v>0</v>
      </c>
      <c r="O3" s="6">
        <v>53</v>
      </c>
      <c r="P3" s="6">
        <v>37</v>
      </c>
      <c r="Q3" s="6">
        <v>0</v>
      </c>
      <c r="R3" s="6">
        <v>0</v>
      </c>
      <c r="S3" s="8">
        <v>0</v>
      </c>
      <c r="T3" s="8">
        <v>0</v>
      </c>
      <c r="U3" s="6">
        <v>340</v>
      </c>
      <c r="V3" s="6">
        <v>18</v>
      </c>
      <c r="W3" s="8">
        <v>0</v>
      </c>
      <c r="X3" s="6">
        <v>0</v>
      </c>
      <c r="Y3" s="6">
        <v>1</v>
      </c>
      <c r="Z3" s="6">
        <f>SUM(LosAngeles[[#This Row],[American Sign Language Total]:[Other Total]])</f>
        <v>499</v>
      </c>
    </row>
    <row r="4" spans="1:26" ht="30" x14ac:dyDescent="0.25">
      <c r="A4" s="5" t="s">
        <v>287</v>
      </c>
      <c r="B4" s="5" t="s">
        <v>379</v>
      </c>
      <c r="C4">
        <v>0</v>
      </c>
      <c r="D4">
        <v>0</v>
      </c>
      <c r="E4">
        <v>0</v>
      </c>
      <c r="F4">
        <v>0</v>
      </c>
      <c r="G4">
        <v>119</v>
      </c>
      <c r="H4">
        <v>0</v>
      </c>
      <c r="I4">
        <v>19</v>
      </c>
      <c r="J4">
        <v>0</v>
      </c>
      <c r="K4">
        <v>0</v>
      </c>
      <c r="L4">
        <v>0</v>
      </c>
      <c r="M4">
        <v>0</v>
      </c>
      <c r="N4">
        <v>0</v>
      </c>
      <c r="O4">
        <v>13</v>
      </c>
      <c r="P4">
        <v>0</v>
      </c>
      <c r="Q4">
        <v>0</v>
      </c>
      <c r="R4">
        <v>0</v>
      </c>
      <c r="S4">
        <v>0</v>
      </c>
      <c r="T4">
        <v>0</v>
      </c>
      <c r="U4">
        <v>159</v>
      </c>
      <c r="V4">
        <v>0</v>
      </c>
      <c r="W4">
        <v>0</v>
      </c>
      <c r="X4">
        <v>0</v>
      </c>
      <c r="Y4">
        <v>0</v>
      </c>
      <c r="Z4">
        <f>SUM(LosAngeles[[#This Row],[American Sign Language Total]:[Other Total]])</f>
        <v>310</v>
      </c>
    </row>
    <row r="5" spans="1:26" ht="29.25" customHeight="1" x14ac:dyDescent="0.25">
      <c r="A5" s="5" t="s">
        <v>288</v>
      </c>
      <c r="B5" s="16" t="s">
        <v>380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469</v>
      </c>
      <c r="V5">
        <v>0</v>
      </c>
      <c r="W5">
        <v>0</v>
      </c>
      <c r="X5">
        <v>0</v>
      </c>
      <c r="Y5">
        <v>0</v>
      </c>
      <c r="Z5">
        <f>SUM(LosAngeles[[#This Row],[American Sign Language Total]:[Other Total]])</f>
        <v>469</v>
      </c>
    </row>
    <row r="6" spans="1:26" x14ac:dyDescent="0.25">
      <c r="A6" s="5" t="s">
        <v>289</v>
      </c>
      <c r="B6" s="5" t="s">
        <v>289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71</v>
      </c>
      <c r="V6">
        <v>0</v>
      </c>
      <c r="W6">
        <v>0</v>
      </c>
      <c r="X6">
        <v>0</v>
      </c>
      <c r="Y6">
        <v>0</v>
      </c>
      <c r="Z6">
        <f>SUM(LosAngeles[[#This Row],[American Sign Language Total]:[Other Total]])</f>
        <v>71</v>
      </c>
    </row>
    <row r="7" spans="1:26" ht="30" x14ac:dyDescent="0.25">
      <c r="A7" s="5" t="s">
        <v>290</v>
      </c>
      <c r="B7" s="5" t="s">
        <v>290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12</v>
      </c>
      <c r="V7">
        <v>0</v>
      </c>
      <c r="W7">
        <v>0</v>
      </c>
      <c r="X7">
        <v>0</v>
      </c>
      <c r="Y7">
        <v>4</v>
      </c>
      <c r="Z7">
        <f>SUM(LosAngeles[[#This Row],[American Sign Language Total]:[Other Total]])</f>
        <v>16</v>
      </c>
    </row>
    <row r="8" spans="1:26" ht="150" x14ac:dyDescent="0.25">
      <c r="A8" s="5" t="s">
        <v>291</v>
      </c>
      <c r="B8" s="5" t="s">
        <v>381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484</v>
      </c>
      <c r="V8">
        <v>0</v>
      </c>
      <c r="W8">
        <v>0</v>
      </c>
      <c r="X8">
        <v>0</v>
      </c>
      <c r="Y8">
        <v>0</v>
      </c>
      <c r="Z8">
        <f>SUM(LosAngeles[[#This Row],[American Sign Language Total]:[Other Total]])</f>
        <v>484</v>
      </c>
    </row>
    <row r="9" spans="1:26" ht="75" x14ac:dyDescent="0.25">
      <c r="A9" s="5" t="s">
        <v>292</v>
      </c>
      <c r="B9" s="5" t="s">
        <v>382</v>
      </c>
      <c r="C9">
        <v>0</v>
      </c>
      <c r="D9">
        <v>0</v>
      </c>
      <c r="E9">
        <v>0</v>
      </c>
      <c r="F9">
        <v>0</v>
      </c>
      <c r="G9">
        <v>10</v>
      </c>
      <c r="H9">
        <v>0</v>
      </c>
      <c r="I9">
        <v>5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485</v>
      </c>
      <c r="V9">
        <v>0</v>
      </c>
      <c r="W9">
        <v>0</v>
      </c>
      <c r="X9">
        <v>0</v>
      </c>
      <c r="Y9">
        <v>0</v>
      </c>
      <c r="Z9">
        <f>SUM(LosAngeles[[#This Row],[American Sign Language Total]:[Other Total]])</f>
        <v>500</v>
      </c>
    </row>
    <row r="10" spans="1:26" x14ac:dyDescent="0.25">
      <c r="A10" s="5" t="s">
        <v>293</v>
      </c>
      <c r="B10" s="5" t="s">
        <v>383</v>
      </c>
      <c r="C10">
        <v>0</v>
      </c>
      <c r="D10">
        <v>0</v>
      </c>
      <c r="E10">
        <v>0</v>
      </c>
      <c r="F10">
        <v>0</v>
      </c>
      <c r="G10">
        <v>27</v>
      </c>
      <c r="H10">
        <v>0</v>
      </c>
      <c r="I10">
        <v>2</v>
      </c>
      <c r="J10">
        <v>0</v>
      </c>
      <c r="K10">
        <v>0</v>
      </c>
      <c r="L10">
        <v>0</v>
      </c>
      <c r="M10">
        <v>0</v>
      </c>
      <c r="N10">
        <v>0</v>
      </c>
      <c r="O10">
        <v>4</v>
      </c>
      <c r="P10">
        <v>0</v>
      </c>
      <c r="Q10">
        <v>0</v>
      </c>
      <c r="R10">
        <v>0</v>
      </c>
      <c r="S10">
        <v>0</v>
      </c>
      <c r="T10">
        <v>0</v>
      </c>
      <c r="U10">
        <v>6</v>
      </c>
      <c r="V10">
        <v>0</v>
      </c>
      <c r="W10">
        <v>0</v>
      </c>
      <c r="X10">
        <v>0</v>
      </c>
      <c r="Y10">
        <v>0</v>
      </c>
      <c r="Z10">
        <f>SUM(LosAngeles[[#This Row],[American Sign Language Total]:[Other Total]])</f>
        <v>39</v>
      </c>
    </row>
    <row r="11" spans="1:26" x14ac:dyDescent="0.25">
      <c r="A11" s="5" t="s">
        <v>294</v>
      </c>
      <c r="B11" s="5" t="s">
        <v>294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42</v>
      </c>
      <c r="V11">
        <v>0</v>
      </c>
      <c r="W11">
        <v>0</v>
      </c>
      <c r="X11">
        <v>0</v>
      </c>
      <c r="Y11">
        <v>0</v>
      </c>
      <c r="Z11">
        <f>SUM(LosAngeles[[#This Row],[American Sign Language Total]:[Other Total]])</f>
        <v>42</v>
      </c>
    </row>
    <row r="12" spans="1:26" x14ac:dyDescent="0.25">
      <c r="A12" s="5" t="s">
        <v>295</v>
      </c>
      <c r="B12" s="5" t="s">
        <v>295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28</v>
      </c>
      <c r="V12">
        <v>0</v>
      </c>
      <c r="W12">
        <v>0</v>
      </c>
      <c r="X12">
        <v>0</v>
      </c>
      <c r="Y12">
        <v>0</v>
      </c>
      <c r="Z12">
        <f>SUM(LosAngeles[[#This Row],[American Sign Language Total]:[Other Total]])</f>
        <v>28</v>
      </c>
    </row>
    <row r="13" spans="1:26" x14ac:dyDescent="0.25">
      <c r="A13" s="5" t="s">
        <v>296</v>
      </c>
      <c r="B13" s="5" t="s">
        <v>384</v>
      </c>
      <c r="C13">
        <v>3</v>
      </c>
      <c r="D13">
        <v>0</v>
      </c>
      <c r="E13">
        <v>0</v>
      </c>
      <c r="F13">
        <v>0</v>
      </c>
      <c r="G13">
        <v>0</v>
      </c>
      <c r="H13">
        <v>0</v>
      </c>
      <c r="I13">
        <v>7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69</v>
      </c>
      <c r="V13">
        <v>0</v>
      </c>
      <c r="W13">
        <v>0</v>
      </c>
      <c r="X13">
        <v>0</v>
      </c>
      <c r="Y13">
        <v>0</v>
      </c>
      <c r="Z13">
        <f>SUM(LosAngeles[[#This Row],[American Sign Language Total]:[Other Total]])</f>
        <v>79</v>
      </c>
    </row>
    <row r="14" spans="1:26" x14ac:dyDescent="0.25">
      <c r="A14" s="5" t="s">
        <v>297</v>
      </c>
      <c r="B14" s="5" t="s">
        <v>385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26</v>
      </c>
      <c r="V14">
        <v>0</v>
      </c>
      <c r="W14">
        <v>0</v>
      </c>
      <c r="X14">
        <v>0</v>
      </c>
      <c r="Y14">
        <v>0</v>
      </c>
      <c r="Z14">
        <f>SUM(LosAngeles[[#This Row],[American Sign Language Total]:[Other Total]])</f>
        <v>26</v>
      </c>
    </row>
    <row r="15" spans="1:26" x14ac:dyDescent="0.25">
      <c r="A15" s="5" t="s">
        <v>298</v>
      </c>
      <c r="B15" s="5" t="s">
        <v>386</v>
      </c>
      <c r="C15">
        <v>0</v>
      </c>
      <c r="D15">
        <v>0</v>
      </c>
      <c r="E15">
        <v>0</v>
      </c>
      <c r="F15">
        <v>0</v>
      </c>
      <c r="G15">
        <v>12</v>
      </c>
      <c r="H15">
        <v>0</v>
      </c>
      <c r="I15">
        <v>5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122</v>
      </c>
      <c r="V15">
        <v>0</v>
      </c>
      <c r="W15">
        <v>0</v>
      </c>
      <c r="X15">
        <v>0</v>
      </c>
      <c r="Y15">
        <v>0</v>
      </c>
      <c r="Z15">
        <f>SUM(LosAngeles[[#This Row],[American Sign Language Total]:[Other Total]])</f>
        <v>139</v>
      </c>
    </row>
    <row r="16" spans="1:26" x14ac:dyDescent="0.25">
      <c r="A16" s="5" t="s">
        <v>299</v>
      </c>
      <c r="B16" s="5" t="s">
        <v>387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6</v>
      </c>
      <c r="J16">
        <v>0</v>
      </c>
      <c r="K16">
        <v>3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31</v>
      </c>
      <c r="V16">
        <v>0</v>
      </c>
      <c r="W16">
        <v>0</v>
      </c>
      <c r="X16">
        <v>0</v>
      </c>
      <c r="Y16">
        <v>0</v>
      </c>
      <c r="Z16">
        <f>SUM(LosAngeles[[#This Row],[American Sign Language Total]:[Other Total]])</f>
        <v>40</v>
      </c>
    </row>
    <row r="17" spans="1:26" x14ac:dyDescent="0.25">
      <c r="A17" s="5" t="s">
        <v>300</v>
      </c>
      <c r="B17" s="5" t="s">
        <v>300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17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113</v>
      </c>
      <c r="V17">
        <v>0</v>
      </c>
      <c r="W17">
        <v>0</v>
      </c>
      <c r="X17">
        <v>0</v>
      </c>
      <c r="Y17">
        <v>0</v>
      </c>
      <c r="Z17">
        <f>SUM(LosAngeles[[#This Row],[American Sign Language Total]:[Other Total]])</f>
        <v>130</v>
      </c>
    </row>
    <row r="18" spans="1:26" x14ac:dyDescent="0.25">
      <c r="A18" s="5" t="s">
        <v>301</v>
      </c>
      <c r="B18" s="5" t="s">
        <v>388</v>
      </c>
      <c r="C18">
        <v>10</v>
      </c>
      <c r="D18">
        <v>0</v>
      </c>
      <c r="E18">
        <v>0</v>
      </c>
      <c r="F18">
        <v>0</v>
      </c>
      <c r="G18">
        <v>2</v>
      </c>
      <c r="H18">
        <v>0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35</v>
      </c>
      <c r="V18">
        <v>0</v>
      </c>
      <c r="W18">
        <v>0</v>
      </c>
      <c r="X18">
        <v>0</v>
      </c>
      <c r="Y18">
        <v>0</v>
      </c>
      <c r="Z18">
        <f>SUM(LosAngeles[[#This Row],[American Sign Language Total]:[Other Total]])</f>
        <v>48</v>
      </c>
    </row>
    <row r="19" spans="1:26" x14ac:dyDescent="0.25">
      <c r="A19" s="5" t="s">
        <v>302</v>
      </c>
      <c r="B19" s="5" t="s">
        <v>389</v>
      </c>
      <c r="C19">
        <v>33</v>
      </c>
      <c r="D19">
        <v>0</v>
      </c>
      <c r="E19">
        <v>0</v>
      </c>
      <c r="F19">
        <v>0</v>
      </c>
      <c r="G19">
        <v>0</v>
      </c>
      <c r="H19">
        <v>0</v>
      </c>
      <c r="I19">
        <v>15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58</v>
      </c>
      <c r="V19">
        <v>0</v>
      </c>
      <c r="W19">
        <v>0</v>
      </c>
      <c r="X19">
        <v>0</v>
      </c>
      <c r="Y19">
        <v>0</v>
      </c>
      <c r="Z19">
        <f>SUM(LosAngeles[[#This Row],[American Sign Language Total]:[Other Total]])</f>
        <v>106</v>
      </c>
    </row>
    <row r="20" spans="1:26" x14ac:dyDescent="0.25">
      <c r="A20" s="5" t="s">
        <v>303</v>
      </c>
      <c r="B20" s="5" t="s">
        <v>303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  <c r="X20">
        <v>0</v>
      </c>
      <c r="Y20">
        <v>0</v>
      </c>
      <c r="Z20">
        <f>SUM(LosAngeles[[#This Row],[American Sign Language Total]:[Other Total]])</f>
        <v>1</v>
      </c>
    </row>
    <row r="21" spans="1:26" ht="30" x14ac:dyDescent="0.25">
      <c r="A21" s="5" t="s">
        <v>304</v>
      </c>
      <c r="B21" s="5" t="s">
        <v>304</v>
      </c>
      <c r="C21">
        <v>0</v>
      </c>
      <c r="D21">
        <v>0</v>
      </c>
      <c r="E21">
        <v>0</v>
      </c>
      <c r="F21">
        <v>0</v>
      </c>
      <c r="G21">
        <v>19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53</v>
      </c>
      <c r="V21">
        <v>0</v>
      </c>
      <c r="W21">
        <v>0</v>
      </c>
      <c r="X21">
        <v>0</v>
      </c>
      <c r="Y21">
        <v>0</v>
      </c>
      <c r="Z21">
        <f>SUM(LosAngeles[[#This Row],[American Sign Language Total]:[Other Total]])</f>
        <v>73</v>
      </c>
    </row>
    <row r="22" spans="1:26" x14ac:dyDescent="0.25">
      <c r="A22" s="5" t="s">
        <v>305</v>
      </c>
      <c r="B22" s="5" t="s">
        <v>305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4</v>
      </c>
      <c r="V22">
        <v>0</v>
      </c>
      <c r="W22">
        <v>0</v>
      </c>
      <c r="X22">
        <v>0</v>
      </c>
      <c r="Y22">
        <v>0</v>
      </c>
      <c r="Z22">
        <f>SUM(LosAngeles[[#This Row],[American Sign Language Total]:[Other Total]])</f>
        <v>5</v>
      </c>
    </row>
    <row r="23" spans="1:26" x14ac:dyDescent="0.25">
      <c r="A23" s="5" t="s">
        <v>306</v>
      </c>
      <c r="B23" s="5" t="s">
        <v>306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14</v>
      </c>
      <c r="V23">
        <v>0</v>
      </c>
      <c r="W23">
        <v>0</v>
      </c>
      <c r="X23">
        <v>0</v>
      </c>
      <c r="Y23">
        <v>0</v>
      </c>
      <c r="Z23">
        <f>SUM(LosAngeles[[#This Row],[American Sign Language Total]:[Other Total]])</f>
        <v>14</v>
      </c>
    </row>
    <row r="24" spans="1:26" ht="45" x14ac:dyDescent="0.25">
      <c r="A24" s="5" t="s">
        <v>307</v>
      </c>
      <c r="B24" s="5" t="s">
        <v>390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178</v>
      </c>
      <c r="V24">
        <v>0</v>
      </c>
      <c r="W24">
        <v>0</v>
      </c>
      <c r="X24">
        <v>0</v>
      </c>
      <c r="Y24">
        <v>0</v>
      </c>
      <c r="Z24">
        <f>SUM(LosAngeles[[#This Row],[American Sign Language Total]:[Other Total]])</f>
        <v>178</v>
      </c>
    </row>
    <row r="25" spans="1:26" x14ac:dyDescent="0.25">
      <c r="A25" s="5" t="s">
        <v>308</v>
      </c>
      <c r="B25" s="5" t="s">
        <v>391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27</v>
      </c>
      <c r="V25">
        <v>0</v>
      </c>
      <c r="W25">
        <v>0</v>
      </c>
      <c r="X25">
        <v>0</v>
      </c>
      <c r="Y25">
        <v>0</v>
      </c>
      <c r="Z25">
        <f>SUM(LosAngeles[[#This Row],[American Sign Language Total]:[Other Total]])</f>
        <v>27</v>
      </c>
    </row>
    <row r="26" spans="1:26" ht="30" x14ac:dyDescent="0.25">
      <c r="A26" s="5" t="s">
        <v>309</v>
      </c>
      <c r="B26" s="5" t="s">
        <v>392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22</v>
      </c>
      <c r="J26">
        <v>12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98</v>
      </c>
      <c r="V26">
        <v>0</v>
      </c>
      <c r="W26">
        <v>0</v>
      </c>
      <c r="X26">
        <v>0</v>
      </c>
      <c r="Y26">
        <v>0</v>
      </c>
      <c r="Z26">
        <f>SUM(LosAngeles[[#This Row],[American Sign Language Total]:[Other Total]])</f>
        <v>132</v>
      </c>
    </row>
    <row r="27" spans="1:26" ht="30" x14ac:dyDescent="0.25">
      <c r="A27" s="5" t="s">
        <v>310</v>
      </c>
      <c r="B27" s="5" t="s">
        <v>393</v>
      </c>
      <c r="C27">
        <v>4</v>
      </c>
      <c r="D27">
        <v>0</v>
      </c>
      <c r="E27">
        <v>0</v>
      </c>
      <c r="F27">
        <v>0</v>
      </c>
      <c r="G27">
        <v>2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307</v>
      </c>
      <c r="V27">
        <v>0</v>
      </c>
      <c r="W27">
        <v>0</v>
      </c>
      <c r="X27">
        <v>0</v>
      </c>
      <c r="Y27">
        <v>0</v>
      </c>
      <c r="Z27">
        <f>SUM(LosAngeles[[#This Row],[American Sign Language Total]:[Other Total]])</f>
        <v>313</v>
      </c>
    </row>
    <row r="28" spans="1:26" ht="15.6" customHeight="1" x14ac:dyDescent="0.25">
      <c r="A28" s="5" t="s">
        <v>311</v>
      </c>
      <c r="B28" s="5" t="s">
        <v>394</v>
      </c>
      <c r="C28">
        <v>0</v>
      </c>
      <c r="D28">
        <v>0</v>
      </c>
      <c r="E28">
        <v>0</v>
      </c>
      <c r="F28">
        <v>0</v>
      </c>
      <c r="G28">
        <v>2</v>
      </c>
      <c r="H28">
        <v>0</v>
      </c>
      <c r="I28">
        <v>7</v>
      </c>
      <c r="J28">
        <v>0</v>
      </c>
      <c r="K28">
        <v>0</v>
      </c>
      <c r="L28">
        <v>0</v>
      </c>
      <c r="M28">
        <v>0</v>
      </c>
      <c r="N28">
        <v>0</v>
      </c>
      <c r="O28">
        <v>37</v>
      </c>
      <c r="P28">
        <v>0</v>
      </c>
      <c r="Q28">
        <v>0</v>
      </c>
      <c r="R28">
        <v>0</v>
      </c>
      <c r="S28">
        <v>0</v>
      </c>
      <c r="T28">
        <v>0</v>
      </c>
      <c r="U28">
        <v>117</v>
      </c>
      <c r="V28">
        <v>0</v>
      </c>
      <c r="W28">
        <v>0</v>
      </c>
      <c r="X28">
        <v>0</v>
      </c>
      <c r="Y28">
        <v>0</v>
      </c>
      <c r="Z28">
        <f>SUM(LosAngeles[[#This Row],[American Sign Language Total]:[Other Total]])</f>
        <v>163</v>
      </c>
    </row>
    <row r="29" spans="1:26" x14ac:dyDescent="0.25">
      <c r="A29" s="5" t="s">
        <v>312</v>
      </c>
      <c r="B29" s="5" t="s">
        <v>312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26</v>
      </c>
      <c r="V29">
        <v>0</v>
      </c>
      <c r="W29">
        <v>0</v>
      </c>
      <c r="X29">
        <v>0</v>
      </c>
      <c r="Y29">
        <v>0</v>
      </c>
      <c r="Z29">
        <f>SUM(LosAngeles[[#This Row],[American Sign Language Total]:[Other Total]])</f>
        <v>26</v>
      </c>
    </row>
    <row r="30" spans="1:26" x14ac:dyDescent="0.25">
      <c r="A30" s="5" t="s">
        <v>313</v>
      </c>
      <c r="B30" s="5" t="s">
        <v>395</v>
      </c>
      <c r="C30">
        <v>17</v>
      </c>
      <c r="D30">
        <v>0</v>
      </c>
      <c r="E30">
        <v>0</v>
      </c>
      <c r="F30">
        <v>0</v>
      </c>
      <c r="G30">
        <v>0</v>
      </c>
      <c r="H30">
        <v>0</v>
      </c>
      <c r="I30">
        <v>10</v>
      </c>
      <c r="J30">
        <v>12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135</v>
      </c>
      <c r="V30">
        <v>0</v>
      </c>
      <c r="W30">
        <v>0</v>
      </c>
      <c r="X30">
        <v>0</v>
      </c>
      <c r="Y30">
        <v>0</v>
      </c>
      <c r="Z30">
        <f>SUM(LosAngeles[[#This Row],[American Sign Language Total]:[Other Total]])</f>
        <v>174</v>
      </c>
    </row>
    <row r="31" spans="1:26" ht="75" x14ac:dyDescent="0.25">
      <c r="A31" s="5" t="s">
        <v>314</v>
      </c>
      <c r="B31" s="5" t="s">
        <v>396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117</v>
      </c>
      <c r="V31">
        <v>0</v>
      </c>
      <c r="W31">
        <v>0</v>
      </c>
      <c r="X31">
        <v>0</v>
      </c>
      <c r="Y31">
        <v>0</v>
      </c>
      <c r="Z31">
        <f>SUM(LosAngeles[[#This Row],[American Sign Language Total]:[Other Total]])</f>
        <v>117</v>
      </c>
    </row>
    <row r="32" spans="1:26" s="9" customFormat="1" x14ac:dyDescent="0.25">
      <c r="A32" s="5" t="s">
        <v>315</v>
      </c>
      <c r="B32" s="5" t="s">
        <v>315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12</v>
      </c>
      <c r="J32">
        <v>0</v>
      </c>
      <c r="K32">
        <v>1</v>
      </c>
      <c r="L32">
        <v>0</v>
      </c>
      <c r="M32">
        <v>0</v>
      </c>
      <c r="N32">
        <v>0</v>
      </c>
      <c r="O32">
        <v>2</v>
      </c>
      <c r="P32">
        <v>0</v>
      </c>
      <c r="Q32">
        <v>0</v>
      </c>
      <c r="R32">
        <v>0</v>
      </c>
      <c r="S32">
        <v>0</v>
      </c>
      <c r="T32">
        <v>0</v>
      </c>
      <c r="U32">
        <v>119</v>
      </c>
      <c r="V32">
        <v>0</v>
      </c>
      <c r="W32">
        <v>0</v>
      </c>
      <c r="X32">
        <v>0</v>
      </c>
      <c r="Y32">
        <v>0</v>
      </c>
      <c r="Z32">
        <f>SUM(LosAngeles[[#This Row],[American Sign Language Total]:[Other Total]])</f>
        <v>134</v>
      </c>
    </row>
    <row r="33" spans="1:26" ht="30" x14ac:dyDescent="0.25">
      <c r="A33" s="5" t="s">
        <v>316</v>
      </c>
      <c r="B33" s="5" t="s">
        <v>397</v>
      </c>
      <c r="C33">
        <v>0</v>
      </c>
      <c r="D33">
        <v>0</v>
      </c>
      <c r="E33">
        <v>0</v>
      </c>
      <c r="F33">
        <v>0</v>
      </c>
      <c r="G33">
        <v>50</v>
      </c>
      <c r="H33">
        <v>0</v>
      </c>
      <c r="I33">
        <v>10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3">
        <v>240</v>
      </c>
      <c r="V33">
        <v>0</v>
      </c>
      <c r="W33">
        <v>0</v>
      </c>
      <c r="X33">
        <v>0</v>
      </c>
      <c r="Y33">
        <v>0</v>
      </c>
      <c r="Z33" s="3">
        <f>SUM(LosAngeles[[#This Row],[American Sign Language Total]:[Other Total]])</f>
        <v>300</v>
      </c>
    </row>
    <row r="34" spans="1:26" x14ac:dyDescent="0.25">
      <c r="A34" s="5" t="s">
        <v>317</v>
      </c>
      <c r="B34" s="5" t="s">
        <v>398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76</v>
      </c>
      <c r="W34">
        <v>0</v>
      </c>
      <c r="X34">
        <v>0</v>
      </c>
      <c r="Y34">
        <v>0</v>
      </c>
      <c r="Z34">
        <f>SUM(LosAngeles[[#This Row],[American Sign Language Total]:[Other Total]])</f>
        <v>76</v>
      </c>
    </row>
    <row r="35" spans="1:26" x14ac:dyDescent="0.25">
      <c r="A35" s="5" t="s">
        <v>318</v>
      </c>
      <c r="B35" s="5" t="s">
        <v>318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46</v>
      </c>
      <c r="V35">
        <v>0</v>
      </c>
      <c r="W35">
        <v>0</v>
      </c>
      <c r="X35">
        <v>0</v>
      </c>
      <c r="Y35">
        <v>0</v>
      </c>
      <c r="Z35">
        <f>SUM(LosAngeles[[#This Row],[American Sign Language Total]:[Other Total]])</f>
        <v>46</v>
      </c>
    </row>
    <row r="36" spans="1:26" ht="45" x14ac:dyDescent="0.25">
      <c r="A36" s="5" t="s">
        <v>319</v>
      </c>
      <c r="B36" s="5" t="s">
        <v>399</v>
      </c>
      <c r="C36">
        <v>0</v>
      </c>
      <c r="D36">
        <v>5</v>
      </c>
      <c r="E36">
        <v>200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10</v>
      </c>
      <c r="Q36">
        <v>0</v>
      </c>
      <c r="R36">
        <v>0</v>
      </c>
      <c r="S36">
        <v>0</v>
      </c>
      <c r="T36">
        <v>90</v>
      </c>
      <c r="U36">
        <v>150</v>
      </c>
      <c r="V36">
        <v>15</v>
      </c>
      <c r="W36">
        <v>0</v>
      </c>
      <c r="X36">
        <v>0</v>
      </c>
      <c r="Y36">
        <v>0</v>
      </c>
      <c r="Z36">
        <f>SUM(LosAngeles[[#This Row],[American Sign Language Total]:[Other Total]])</f>
        <v>470</v>
      </c>
    </row>
    <row r="37" spans="1:26" x14ac:dyDescent="0.25">
      <c r="A37" s="5" t="s">
        <v>320</v>
      </c>
      <c r="B37" s="5" t="s">
        <v>320</v>
      </c>
      <c r="C37">
        <v>0</v>
      </c>
      <c r="D37">
        <v>4</v>
      </c>
      <c r="E37">
        <v>0</v>
      </c>
      <c r="F37">
        <v>0</v>
      </c>
      <c r="G37">
        <v>12</v>
      </c>
      <c r="H37">
        <v>0</v>
      </c>
      <c r="I37">
        <v>10</v>
      </c>
      <c r="J37">
        <v>0</v>
      </c>
      <c r="K37">
        <v>0</v>
      </c>
      <c r="L37">
        <v>0</v>
      </c>
      <c r="M37">
        <v>0</v>
      </c>
      <c r="N37">
        <v>0</v>
      </c>
      <c r="O37">
        <v>2</v>
      </c>
      <c r="P37">
        <v>18</v>
      </c>
      <c r="Q37">
        <v>0</v>
      </c>
      <c r="R37">
        <v>0</v>
      </c>
      <c r="S37">
        <v>0</v>
      </c>
      <c r="T37">
        <v>0</v>
      </c>
      <c r="U37">
        <v>97</v>
      </c>
      <c r="V37">
        <v>0</v>
      </c>
      <c r="W37">
        <v>0</v>
      </c>
      <c r="X37">
        <v>0</v>
      </c>
      <c r="Y37">
        <v>0</v>
      </c>
      <c r="Z37">
        <f>SUM(LosAngeles[[#This Row],[American Sign Language Total]:[Other Total]])</f>
        <v>143</v>
      </c>
    </row>
    <row r="38" spans="1:26" ht="30" x14ac:dyDescent="0.25">
      <c r="A38" s="5" t="s">
        <v>321</v>
      </c>
      <c r="B38" s="5" t="s">
        <v>400</v>
      </c>
      <c r="C38">
        <v>0</v>
      </c>
      <c r="D38">
        <v>0</v>
      </c>
      <c r="E38">
        <v>0</v>
      </c>
      <c r="F38">
        <v>0</v>
      </c>
      <c r="G38">
        <v>43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6</v>
      </c>
      <c r="Q38">
        <v>0</v>
      </c>
      <c r="R38">
        <v>0</v>
      </c>
      <c r="S38">
        <v>0</v>
      </c>
      <c r="T38">
        <v>0</v>
      </c>
      <c r="U38">
        <v>123</v>
      </c>
      <c r="V38">
        <v>0</v>
      </c>
      <c r="W38">
        <v>0</v>
      </c>
      <c r="X38">
        <v>0</v>
      </c>
      <c r="Y38">
        <v>0</v>
      </c>
      <c r="Z38">
        <f>SUM(LosAngeles[[#This Row],[American Sign Language Total]:[Other Total]])</f>
        <v>172</v>
      </c>
    </row>
    <row r="39" spans="1:26" x14ac:dyDescent="0.25">
      <c r="A39" s="5" t="s">
        <v>322</v>
      </c>
      <c r="B39" s="5" t="s">
        <v>401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47</v>
      </c>
      <c r="V39">
        <v>0</v>
      </c>
      <c r="W39">
        <v>0</v>
      </c>
      <c r="X39">
        <v>0</v>
      </c>
      <c r="Y39">
        <v>0</v>
      </c>
      <c r="Z39">
        <f>SUM(LosAngeles[[#This Row],[American Sign Language Total]:[Other Total]])</f>
        <v>47</v>
      </c>
    </row>
    <row r="40" spans="1:26" x14ac:dyDescent="0.25">
      <c r="A40" s="5" t="s">
        <v>323</v>
      </c>
      <c r="B40" s="5" t="s">
        <v>323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2</v>
      </c>
      <c r="J40">
        <v>1</v>
      </c>
      <c r="K40">
        <v>0</v>
      </c>
      <c r="L40">
        <v>0</v>
      </c>
      <c r="M40">
        <v>0</v>
      </c>
      <c r="N40">
        <v>1</v>
      </c>
      <c r="O40">
        <v>0</v>
      </c>
      <c r="P40">
        <v>1</v>
      </c>
      <c r="Q40">
        <v>0</v>
      </c>
      <c r="R40">
        <v>0</v>
      </c>
      <c r="S40">
        <v>0</v>
      </c>
      <c r="T40">
        <v>0</v>
      </c>
      <c r="U40">
        <v>6</v>
      </c>
      <c r="V40">
        <v>0</v>
      </c>
      <c r="W40">
        <v>0</v>
      </c>
      <c r="X40">
        <v>0</v>
      </c>
      <c r="Y40">
        <v>0</v>
      </c>
      <c r="Z40">
        <f>SUM(LosAngeles[[#This Row],[American Sign Language Total]:[Other Total]])</f>
        <v>11</v>
      </c>
    </row>
    <row r="41" spans="1:26" x14ac:dyDescent="0.25">
      <c r="A41" s="5" t="s">
        <v>324</v>
      </c>
      <c r="B41" s="5" t="s">
        <v>324</v>
      </c>
      <c r="C41">
        <v>1</v>
      </c>
      <c r="D41">
        <v>0</v>
      </c>
      <c r="E41">
        <v>0</v>
      </c>
      <c r="F41">
        <v>0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2</v>
      </c>
      <c r="V41">
        <v>0</v>
      </c>
      <c r="W41">
        <v>0</v>
      </c>
      <c r="X41">
        <v>0</v>
      </c>
      <c r="Y41">
        <v>0</v>
      </c>
      <c r="Z41">
        <f>SUM(LosAngeles[[#This Row],[American Sign Language Total]:[Other Total]])</f>
        <v>4</v>
      </c>
    </row>
    <row r="42" spans="1:26" ht="30" x14ac:dyDescent="0.25">
      <c r="A42" s="5" t="s">
        <v>325</v>
      </c>
      <c r="B42" s="5" t="s">
        <v>402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19</v>
      </c>
      <c r="V42">
        <v>0</v>
      </c>
      <c r="W42">
        <v>0</v>
      </c>
      <c r="X42">
        <v>0</v>
      </c>
      <c r="Y42">
        <v>0</v>
      </c>
      <c r="Z42">
        <f>SUM(LosAngeles[[#This Row],[American Sign Language Total]:[Other Total]])</f>
        <v>19</v>
      </c>
    </row>
    <row r="43" spans="1:26" ht="45" x14ac:dyDescent="0.25">
      <c r="A43" s="5" t="s">
        <v>326</v>
      </c>
      <c r="B43" s="5" t="s">
        <v>405</v>
      </c>
      <c r="C43">
        <v>0</v>
      </c>
      <c r="D43">
        <v>0</v>
      </c>
      <c r="E43">
        <v>0</v>
      </c>
      <c r="F43">
        <v>0</v>
      </c>
      <c r="G43">
        <v>10</v>
      </c>
      <c r="H43">
        <v>0</v>
      </c>
      <c r="I43">
        <v>34</v>
      </c>
      <c r="J43">
        <v>17</v>
      </c>
      <c r="K43">
        <v>0</v>
      </c>
      <c r="L43">
        <v>0</v>
      </c>
      <c r="M43">
        <v>0</v>
      </c>
      <c r="N43">
        <v>0</v>
      </c>
      <c r="O43">
        <v>1</v>
      </c>
      <c r="P43">
        <v>22</v>
      </c>
      <c r="Q43">
        <v>0</v>
      </c>
      <c r="R43">
        <v>0</v>
      </c>
      <c r="S43">
        <v>0</v>
      </c>
      <c r="T43">
        <v>0</v>
      </c>
      <c r="U43">
        <v>37</v>
      </c>
      <c r="V43">
        <v>0</v>
      </c>
      <c r="W43">
        <v>0</v>
      </c>
      <c r="X43">
        <v>0</v>
      </c>
      <c r="Y43">
        <v>0</v>
      </c>
      <c r="Z43">
        <f>SUM(LosAngeles[[#This Row],[American Sign Language Total]:[Other Total]])</f>
        <v>121</v>
      </c>
    </row>
    <row r="44" spans="1:26" x14ac:dyDescent="0.25">
      <c r="A44" s="5" t="s">
        <v>327</v>
      </c>
      <c r="B44" s="5" t="s">
        <v>327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12</v>
      </c>
      <c r="V44">
        <v>0</v>
      </c>
      <c r="W44">
        <v>0</v>
      </c>
      <c r="X44">
        <v>0</v>
      </c>
      <c r="Y44">
        <v>0</v>
      </c>
      <c r="Z44">
        <f>SUM(LosAngeles[[#This Row],[American Sign Language Total]:[Other Total]])</f>
        <v>12</v>
      </c>
    </row>
    <row r="45" spans="1:26" x14ac:dyDescent="0.25">
      <c r="A45" s="5" t="s">
        <v>328</v>
      </c>
      <c r="B45" s="5" t="s">
        <v>403</v>
      </c>
      <c r="C45">
        <v>0</v>
      </c>
      <c r="D45">
        <v>0</v>
      </c>
      <c r="E45">
        <v>0</v>
      </c>
      <c r="F45">
        <v>0</v>
      </c>
      <c r="G45">
        <v>18</v>
      </c>
      <c r="H45">
        <v>0</v>
      </c>
      <c r="I45">
        <v>12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  <c r="U45">
        <v>50</v>
      </c>
      <c r="V45">
        <v>0</v>
      </c>
      <c r="W45">
        <v>0</v>
      </c>
      <c r="X45">
        <v>0</v>
      </c>
      <c r="Y45">
        <v>0</v>
      </c>
      <c r="Z45">
        <f>SUM(LosAngeles[[#This Row],[American Sign Language Total]:[Other Total]])</f>
        <v>81</v>
      </c>
    </row>
    <row r="46" spans="1:26" x14ac:dyDescent="0.25">
      <c r="A46" s="5" t="s">
        <v>329</v>
      </c>
      <c r="B46" s="5" t="s">
        <v>329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3</v>
      </c>
      <c r="V46">
        <v>0</v>
      </c>
      <c r="W46">
        <v>0</v>
      </c>
      <c r="X46">
        <v>0</v>
      </c>
      <c r="Y46">
        <v>0</v>
      </c>
      <c r="Z46">
        <f>SUM(LosAngeles[[#This Row],[American Sign Language Total]:[Other Total]])</f>
        <v>3</v>
      </c>
    </row>
    <row r="47" spans="1:26" ht="120" x14ac:dyDescent="0.25">
      <c r="A47" s="5" t="s">
        <v>330</v>
      </c>
      <c r="B47" s="5" t="s">
        <v>1095</v>
      </c>
      <c r="C47">
        <v>7</v>
      </c>
      <c r="D47">
        <v>0</v>
      </c>
      <c r="E47">
        <v>0</v>
      </c>
      <c r="F47">
        <v>0</v>
      </c>
      <c r="G47">
        <v>9</v>
      </c>
      <c r="H47">
        <v>0</v>
      </c>
      <c r="I47">
        <v>57</v>
      </c>
      <c r="J47">
        <v>38</v>
      </c>
      <c r="K47">
        <v>0</v>
      </c>
      <c r="L47">
        <v>0</v>
      </c>
      <c r="M47">
        <v>0</v>
      </c>
      <c r="N47">
        <v>0</v>
      </c>
      <c r="O47">
        <v>66</v>
      </c>
      <c r="P47">
        <v>0</v>
      </c>
      <c r="Q47">
        <v>0</v>
      </c>
      <c r="R47">
        <v>0</v>
      </c>
      <c r="S47">
        <v>0</v>
      </c>
      <c r="T47">
        <v>0</v>
      </c>
      <c r="U47">
        <v>630</v>
      </c>
      <c r="V47">
        <v>0</v>
      </c>
      <c r="W47">
        <v>0</v>
      </c>
      <c r="X47">
        <v>0</v>
      </c>
      <c r="Y47">
        <v>0</v>
      </c>
      <c r="Z47">
        <f>SUM(LosAngeles[[#This Row],[American Sign Language Total]:[Other Total]])</f>
        <v>807</v>
      </c>
    </row>
    <row r="48" spans="1:26" x14ac:dyDescent="0.25">
      <c r="A48" s="2" t="s">
        <v>331</v>
      </c>
      <c r="B48" s="5" t="s">
        <v>404</v>
      </c>
      <c r="C48" s="6">
        <v>0</v>
      </c>
      <c r="D48" s="6">
        <v>0</v>
      </c>
      <c r="E48" s="6">
        <v>0</v>
      </c>
      <c r="F48" s="8">
        <v>0</v>
      </c>
      <c r="G48" s="8">
        <v>0</v>
      </c>
      <c r="H48" s="8">
        <v>0</v>
      </c>
      <c r="I48" s="6">
        <v>0</v>
      </c>
      <c r="J48" s="6">
        <v>0</v>
      </c>
      <c r="K48" s="8">
        <v>0</v>
      </c>
      <c r="L48" s="8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8">
        <v>0</v>
      </c>
      <c r="T48" s="8">
        <v>0</v>
      </c>
      <c r="U48" s="6">
        <v>10</v>
      </c>
      <c r="V48" s="6">
        <v>0</v>
      </c>
      <c r="W48" s="8">
        <v>0</v>
      </c>
      <c r="X48" s="6">
        <v>0</v>
      </c>
      <c r="Y48" s="6">
        <v>0</v>
      </c>
      <c r="Z48" s="6">
        <f>SUM(LosAngeles[[#This Row],[American Sign Language Total]:[Other Total]])</f>
        <v>10</v>
      </c>
    </row>
    <row r="49" spans="1:26" x14ac:dyDescent="0.25">
      <c r="A49" s="2" t="s">
        <v>332</v>
      </c>
      <c r="B49" s="5" t="s">
        <v>332</v>
      </c>
      <c r="C49" s="6">
        <v>0</v>
      </c>
      <c r="D49" s="6">
        <v>0</v>
      </c>
      <c r="E49" s="6">
        <v>0</v>
      </c>
      <c r="F49" s="8">
        <v>0</v>
      </c>
      <c r="G49" s="8">
        <v>0</v>
      </c>
      <c r="H49" s="8">
        <v>0</v>
      </c>
      <c r="I49" s="6">
        <v>2</v>
      </c>
      <c r="J49" s="6">
        <v>1</v>
      </c>
      <c r="K49" s="8">
        <v>0</v>
      </c>
      <c r="L49" s="8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8">
        <v>0</v>
      </c>
      <c r="T49" s="8">
        <v>0</v>
      </c>
      <c r="U49" s="6">
        <v>16</v>
      </c>
      <c r="V49" s="6">
        <v>0</v>
      </c>
      <c r="W49" s="8">
        <v>0</v>
      </c>
      <c r="X49" s="6">
        <v>0</v>
      </c>
      <c r="Y49" s="6">
        <v>0</v>
      </c>
      <c r="Z49" s="6">
        <f>SUM(LosAngeles[[#This Row],[American Sign Language Total]:[Other Total]])</f>
        <v>19</v>
      </c>
    </row>
    <row r="50" spans="1:26" ht="30" x14ac:dyDescent="0.25">
      <c r="A50" s="2" t="s">
        <v>102</v>
      </c>
      <c r="B50" s="5" t="s">
        <v>426</v>
      </c>
      <c r="C50" s="6">
        <v>42</v>
      </c>
      <c r="D50" s="6">
        <v>15</v>
      </c>
      <c r="E50" s="6">
        <v>57</v>
      </c>
      <c r="F50" s="8">
        <v>4</v>
      </c>
      <c r="G50" s="8">
        <v>72</v>
      </c>
      <c r="H50" s="8">
        <v>10</v>
      </c>
      <c r="I50" s="6">
        <v>129</v>
      </c>
      <c r="J50" s="6">
        <v>8</v>
      </c>
      <c r="K50" s="8">
        <v>10</v>
      </c>
      <c r="L50" s="8">
        <v>4</v>
      </c>
      <c r="M50" s="8">
        <v>0</v>
      </c>
      <c r="N50" s="8">
        <v>27</v>
      </c>
      <c r="O50" s="8">
        <v>44</v>
      </c>
      <c r="P50" s="8">
        <v>99</v>
      </c>
      <c r="Q50" s="8">
        <v>5</v>
      </c>
      <c r="R50" s="8">
        <v>5</v>
      </c>
      <c r="S50" s="8">
        <v>2</v>
      </c>
      <c r="T50" s="8">
        <v>51</v>
      </c>
      <c r="U50" s="8">
        <v>7564</v>
      </c>
      <c r="V50" s="8">
        <v>96</v>
      </c>
      <c r="W50" s="8">
        <v>4</v>
      </c>
      <c r="X50" s="8">
        <v>16</v>
      </c>
      <c r="Y50" s="8">
        <v>36</v>
      </c>
      <c r="Z50" s="8">
        <f>SUM(LosAngeles[[#This Row],[American Sign Language Total]:[Other Total]])</f>
        <v>8300</v>
      </c>
    </row>
    <row r="51" spans="1:26" ht="30" x14ac:dyDescent="0.25">
      <c r="A51" s="2" t="s">
        <v>1103</v>
      </c>
      <c r="B51" s="5" t="s">
        <v>1102</v>
      </c>
      <c r="C51" s="6">
        <v>0</v>
      </c>
      <c r="D51" s="6">
        <v>0</v>
      </c>
      <c r="E51" s="6">
        <v>0</v>
      </c>
      <c r="F51" s="8">
        <v>7</v>
      </c>
      <c r="G51" s="8">
        <v>0</v>
      </c>
      <c r="H51" s="8">
        <v>0</v>
      </c>
      <c r="I51" s="6">
        <v>0</v>
      </c>
      <c r="J51" s="6">
        <v>0</v>
      </c>
      <c r="K51" s="8">
        <v>0</v>
      </c>
      <c r="L51" s="8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8">
        <v>0</v>
      </c>
      <c r="T51" s="8">
        <v>0</v>
      </c>
      <c r="U51" s="6">
        <v>137</v>
      </c>
      <c r="V51" s="6">
        <v>0</v>
      </c>
      <c r="W51" s="8">
        <v>0</v>
      </c>
      <c r="X51" s="6">
        <v>0</v>
      </c>
      <c r="Y51" s="6">
        <v>0</v>
      </c>
      <c r="Z51" s="6">
        <f>SUM(LosAngeles[[#This Row],[American Sign Language Total]:[Other Total]])</f>
        <v>144</v>
      </c>
    </row>
    <row r="52" spans="1:26" x14ac:dyDescent="0.25">
      <c r="A52" s="2" t="s">
        <v>333</v>
      </c>
      <c r="B52" s="5" t="s">
        <v>333</v>
      </c>
      <c r="C52" s="6">
        <v>0</v>
      </c>
      <c r="D52" s="6">
        <v>0</v>
      </c>
      <c r="E52" s="6">
        <v>0</v>
      </c>
      <c r="F52" s="8">
        <v>0</v>
      </c>
      <c r="G52" s="8">
        <v>0</v>
      </c>
      <c r="H52" s="8">
        <v>0</v>
      </c>
      <c r="I52" s="6">
        <v>0</v>
      </c>
      <c r="J52" s="6">
        <v>0</v>
      </c>
      <c r="K52" s="8">
        <v>0</v>
      </c>
      <c r="L52" s="8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8">
        <v>0</v>
      </c>
      <c r="T52" s="8">
        <v>0</v>
      </c>
      <c r="U52" s="6">
        <v>24</v>
      </c>
      <c r="V52" s="6">
        <v>0</v>
      </c>
      <c r="W52" s="8">
        <v>0</v>
      </c>
      <c r="X52" s="6">
        <v>0</v>
      </c>
      <c r="Y52" s="6">
        <v>0</v>
      </c>
      <c r="Z52" s="6">
        <f>SUM(LosAngeles[[#This Row],[American Sign Language Total]:[Other Total]])</f>
        <v>24</v>
      </c>
    </row>
    <row r="53" spans="1:26" x14ac:dyDescent="0.25">
      <c r="A53" s="2" t="s">
        <v>334</v>
      </c>
      <c r="B53" s="5" t="s">
        <v>334</v>
      </c>
      <c r="C53" s="6">
        <v>0</v>
      </c>
      <c r="D53" s="6">
        <v>0</v>
      </c>
      <c r="E53" s="6">
        <v>0</v>
      </c>
      <c r="F53" s="8">
        <v>0</v>
      </c>
      <c r="G53" s="8">
        <v>0</v>
      </c>
      <c r="H53" s="8">
        <v>0</v>
      </c>
      <c r="I53" s="6">
        <v>0</v>
      </c>
      <c r="J53" s="6">
        <v>0</v>
      </c>
      <c r="K53" s="8">
        <v>0</v>
      </c>
      <c r="L53" s="8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8">
        <v>0</v>
      </c>
      <c r="T53" s="8">
        <v>0</v>
      </c>
      <c r="U53" s="6">
        <v>10</v>
      </c>
      <c r="V53" s="6">
        <v>0</v>
      </c>
      <c r="W53" s="8">
        <v>0</v>
      </c>
      <c r="X53" s="6">
        <v>0</v>
      </c>
      <c r="Y53" s="6">
        <v>0</v>
      </c>
      <c r="Z53" s="6">
        <f>SUM(LosAngeles[[#This Row],[American Sign Language Total]:[Other Total]])</f>
        <v>10</v>
      </c>
    </row>
    <row r="54" spans="1:26" x14ac:dyDescent="0.25">
      <c r="A54" s="2" t="s">
        <v>335</v>
      </c>
      <c r="B54" s="5" t="s">
        <v>335</v>
      </c>
      <c r="C54" s="6">
        <v>0</v>
      </c>
      <c r="D54" s="6">
        <v>0</v>
      </c>
      <c r="E54" s="6">
        <v>0</v>
      </c>
      <c r="F54" s="8">
        <v>0</v>
      </c>
      <c r="G54" s="8">
        <v>0</v>
      </c>
      <c r="H54" s="8">
        <v>0</v>
      </c>
      <c r="I54" s="6">
        <v>0</v>
      </c>
      <c r="J54" s="6">
        <v>0</v>
      </c>
      <c r="K54" s="8">
        <v>0</v>
      </c>
      <c r="L54" s="8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8">
        <v>0</v>
      </c>
      <c r="T54" s="8">
        <v>0</v>
      </c>
      <c r="U54" s="6">
        <v>2</v>
      </c>
      <c r="V54" s="6">
        <v>0</v>
      </c>
      <c r="W54" s="8">
        <v>0</v>
      </c>
      <c r="X54" s="6">
        <v>0</v>
      </c>
      <c r="Y54" s="6">
        <v>0</v>
      </c>
      <c r="Z54" s="6">
        <f>SUM(LosAngeles[[#This Row],[American Sign Language Total]:[Other Total]])</f>
        <v>2</v>
      </c>
    </row>
    <row r="55" spans="1:26" x14ac:dyDescent="0.25">
      <c r="A55" s="2" t="s">
        <v>336</v>
      </c>
      <c r="B55" s="5" t="s">
        <v>336</v>
      </c>
      <c r="C55" s="6">
        <v>0</v>
      </c>
      <c r="D55" s="6">
        <v>0</v>
      </c>
      <c r="E55" s="6">
        <v>0</v>
      </c>
      <c r="F55" s="8">
        <v>0</v>
      </c>
      <c r="G55" s="8">
        <v>0</v>
      </c>
      <c r="H55" s="8">
        <v>0</v>
      </c>
      <c r="I55" s="6">
        <v>0</v>
      </c>
      <c r="J55" s="6">
        <v>0</v>
      </c>
      <c r="K55" s="8">
        <v>0</v>
      </c>
      <c r="L55" s="8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8">
        <v>0</v>
      </c>
      <c r="T55" s="8">
        <v>0</v>
      </c>
      <c r="U55" s="6">
        <v>2</v>
      </c>
      <c r="V55" s="6">
        <v>0</v>
      </c>
      <c r="W55" s="8">
        <v>0</v>
      </c>
      <c r="X55" s="6">
        <v>0</v>
      </c>
      <c r="Y55" s="6">
        <v>0</v>
      </c>
      <c r="Z55" s="6">
        <f>SUM(LosAngeles[[#This Row],[American Sign Language Total]:[Other Total]])</f>
        <v>2</v>
      </c>
    </row>
    <row r="56" spans="1:26" x14ac:dyDescent="0.25">
      <c r="A56" s="2" t="s">
        <v>337</v>
      </c>
      <c r="B56" s="5" t="s">
        <v>337</v>
      </c>
      <c r="C56" s="6">
        <v>0</v>
      </c>
      <c r="D56" s="6">
        <v>0</v>
      </c>
      <c r="E56" s="6">
        <v>0</v>
      </c>
      <c r="F56" s="8">
        <v>0</v>
      </c>
      <c r="G56" s="8">
        <v>0</v>
      </c>
      <c r="H56" s="8">
        <v>0</v>
      </c>
      <c r="I56" s="6">
        <v>0</v>
      </c>
      <c r="J56" s="6">
        <v>0</v>
      </c>
      <c r="K56" s="8">
        <v>0</v>
      </c>
      <c r="L56" s="8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8">
        <v>0</v>
      </c>
      <c r="T56" s="8">
        <v>0</v>
      </c>
      <c r="U56" s="6">
        <v>17</v>
      </c>
      <c r="V56" s="6">
        <v>0</v>
      </c>
      <c r="W56" s="8">
        <v>0</v>
      </c>
      <c r="X56" s="6">
        <v>0</v>
      </c>
      <c r="Y56" s="6">
        <v>0</v>
      </c>
      <c r="Z56" s="6">
        <f>SUM(LosAngeles[[#This Row],[American Sign Language Total]:[Other Total]])</f>
        <v>17</v>
      </c>
    </row>
    <row r="57" spans="1:26" x14ac:dyDescent="0.25">
      <c r="A57" s="2" t="s">
        <v>338</v>
      </c>
      <c r="B57" s="5" t="s">
        <v>406</v>
      </c>
      <c r="C57" s="6">
        <v>23</v>
      </c>
      <c r="D57" s="6">
        <v>0</v>
      </c>
      <c r="E57" s="6">
        <v>0</v>
      </c>
      <c r="F57" s="8">
        <v>0</v>
      </c>
      <c r="G57" s="8">
        <v>6</v>
      </c>
      <c r="H57" s="8">
        <v>0</v>
      </c>
      <c r="I57" s="6">
        <v>16</v>
      </c>
      <c r="J57" s="6">
        <v>0</v>
      </c>
      <c r="K57" s="8">
        <v>0</v>
      </c>
      <c r="L57" s="8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8">
        <v>0</v>
      </c>
      <c r="T57" s="8">
        <v>0</v>
      </c>
      <c r="U57" s="6">
        <v>114</v>
      </c>
      <c r="V57" s="6">
        <v>0</v>
      </c>
      <c r="W57" s="8">
        <v>0</v>
      </c>
      <c r="X57" s="6">
        <v>0</v>
      </c>
      <c r="Y57" s="6">
        <v>0</v>
      </c>
      <c r="Z57" s="6">
        <f>SUM(LosAngeles[[#This Row],[American Sign Language Total]:[Other Total]])</f>
        <v>159</v>
      </c>
    </row>
    <row r="58" spans="1:26" x14ac:dyDescent="0.25">
      <c r="A58" s="2" t="s">
        <v>339</v>
      </c>
      <c r="B58" s="5" t="s">
        <v>339</v>
      </c>
      <c r="C58" s="6">
        <v>0</v>
      </c>
      <c r="D58" s="6">
        <v>0</v>
      </c>
      <c r="E58" s="6">
        <v>0</v>
      </c>
      <c r="F58" s="8">
        <v>0</v>
      </c>
      <c r="G58" s="8">
        <v>0</v>
      </c>
      <c r="H58" s="8">
        <v>0</v>
      </c>
      <c r="I58" s="6">
        <v>0</v>
      </c>
      <c r="J58" s="6">
        <v>0</v>
      </c>
      <c r="K58" s="8">
        <v>0</v>
      </c>
      <c r="L58" s="8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8">
        <v>0</v>
      </c>
      <c r="T58" s="8">
        <v>0</v>
      </c>
      <c r="U58" s="6">
        <v>14</v>
      </c>
      <c r="V58" s="6">
        <v>0</v>
      </c>
      <c r="W58" s="8">
        <v>0</v>
      </c>
      <c r="X58" s="6">
        <v>0</v>
      </c>
      <c r="Y58" s="6">
        <v>0</v>
      </c>
      <c r="Z58" s="6">
        <f>SUM(LosAngeles[[#This Row],[American Sign Language Total]:[Other Total]])</f>
        <v>14</v>
      </c>
    </row>
    <row r="59" spans="1:26" x14ac:dyDescent="0.25">
      <c r="A59" s="2" t="s">
        <v>340</v>
      </c>
      <c r="B59" s="5" t="s">
        <v>407</v>
      </c>
      <c r="C59" s="6">
        <v>0</v>
      </c>
      <c r="D59" s="6">
        <v>0</v>
      </c>
      <c r="E59" s="6">
        <v>0</v>
      </c>
      <c r="F59" s="8">
        <v>0</v>
      </c>
      <c r="G59" s="8">
        <v>0</v>
      </c>
      <c r="H59" s="8">
        <v>0</v>
      </c>
      <c r="I59" s="6">
        <v>8</v>
      </c>
      <c r="J59" s="6">
        <v>0</v>
      </c>
      <c r="K59" s="8">
        <v>0</v>
      </c>
      <c r="L59" s="8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8">
        <v>0</v>
      </c>
      <c r="T59" s="8">
        <v>0</v>
      </c>
      <c r="U59" s="6">
        <v>73</v>
      </c>
      <c r="V59" s="6">
        <v>0</v>
      </c>
      <c r="W59" s="8">
        <v>0</v>
      </c>
      <c r="X59" s="6">
        <v>0</v>
      </c>
      <c r="Y59" s="6">
        <v>0</v>
      </c>
      <c r="Z59" s="6">
        <f>SUM(LosAngeles[[#This Row],[American Sign Language Total]:[Other Total]])</f>
        <v>81</v>
      </c>
    </row>
    <row r="60" spans="1:26" ht="45" x14ac:dyDescent="0.25">
      <c r="A60" s="2" t="s">
        <v>341</v>
      </c>
      <c r="B60" s="5" t="s">
        <v>408</v>
      </c>
      <c r="C60" s="6">
        <v>0</v>
      </c>
      <c r="D60" s="6">
        <v>0</v>
      </c>
      <c r="E60" s="6">
        <v>0</v>
      </c>
      <c r="F60" s="8">
        <v>0</v>
      </c>
      <c r="G60" s="8">
        <v>13</v>
      </c>
      <c r="H60" s="8">
        <v>0</v>
      </c>
      <c r="I60" s="6">
        <v>1</v>
      </c>
      <c r="J60" s="6">
        <v>0</v>
      </c>
      <c r="K60" s="8">
        <v>0</v>
      </c>
      <c r="L60" s="8">
        <v>0</v>
      </c>
      <c r="M60" s="6">
        <v>0</v>
      </c>
      <c r="N60" s="6">
        <v>0</v>
      </c>
      <c r="O60" s="6">
        <v>4</v>
      </c>
      <c r="P60" s="6">
        <v>0</v>
      </c>
      <c r="Q60" s="6">
        <v>0</v>
      </c>
      <c r="R60" s="6">
        <v>0</v>
      </c>
      <c r="S60" s="8">
        <v>0</v>
      </c>
      <c r="T60" s="8">
        <v>0</v>
      </c>
      <c r="U60" s="6">
        <v>191</v>
      </c>
      <c r="V60" s="6">
        <v>0</v>
      </c>
      <c r="W60" s="8">
        <v>0</v>
      </c>
      <c r="X60" s="6">
        <v>0</v>
      </c>
      <c r="Y60" s="6">
        <v>0</v>
      </c>
      <c r="Z60" s="6">
        <f>SUM(LosAngeles[[#This Row],[American Sign Language Total]:[Other Total]])</f>
        <v>209</v>
      </c>
    </row>
    <row r="61" spans="1:26" x14ac:dyDescent="0.25">
      <c r="A61" s="2" t="s">
        <v>342</v>
      </c>
      <c r="B61" s="5" t="s">
        <v>342</v>
      </c>
      <c r="C61" s="6">
        <v>0</v>
      </c>
      <c r="D61" s="6">
        <v>0</v>
      </c>
      <c r="E61" s="6">
        <v>0</v>
      </c>
      <c r="F61" s="8">
        <v>0</v>
      </c>
      <c r="G61" s="8">
        <v>0</v>
      </c>
      <c r="H61" s="8">
        <v>0</v>
      </c>
      <c r="I61" s="6">
        <v>0</v>
      </c>
      <c r="J61" s="6">
        <v>0</v>
      </c>
      <c r="K61" s="8">
        <v>0</v>
      </c>
      <c r="L61" s="8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8">
        <v>0</v>
      </c>
      <c r="T61" s="8">
        <v>0</v>
      </c>
      <c r="U61" s="6">
        <v>5</v>
      </c>
      <c r="V61" s="6">
        <v>0</v>
      </c>
      <c r="W61" s="8">
        <v>0</v>
      </c>
      <c r="X61" s="6">
        <v>0</v>
      </c>
      <c r="Y61" s="6">
        <v>0</v>
      </c>
      <c r="Z61" s="6">
        <f>SUM(LosAngeles[[#This Row],[American Sign Language Total]:[Other Total]])</f>
        <v>5</v>
      </c>
    </row>
    <row r="62" spans="1:26" x14ac:dyDescent="0.25">
      <c r="A62" s="2" t="s">
        <v>343</v>
      </c>
      <c r="B62" s="5" t="s">
        <v>343</v>
      </c>
      <c r="C62" s="6">
        <v>0</v>
      </c>
      <c r="D62" s="6">
        <v>0</v>
      </c>
      <c r="E62" s="6">
        <v>0</v>
      </c>
      <c r="F62" s="8">
        <v>0</v>
      </c>
      <c r="G62" s="8">
        <v>0</v>
      </c>
      <c r="H62" s="8">
        <v>10</v>
      </c>
      <c r="I62" s="6">
        <v>0</v>
      </c>
      <c r="J62" s="6">
        <v>0</v>
      </c>
      <c r="K62" s="8">
        <v>2</v>
      </c>
      <c r="L62" s="8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8">
        <v>0</v>
      </c>
      <c r="T62" s="8">
        <v>0</v>
      </c>
      <c r="U62" s="6">
        <v>70</v>
      </c>
      <c r="V62" s="6">
        <v>0</v>
      </c>
      <c r="W62" s="8">
        <v>0</v>
      </c>
      <c r="X62" s="6">
        <v>0</v>
      </c>
      <c r="Y62" s="6">
        <v>0</v>
      </c>
      <c r="Z62" s="6">
        <f>SUM(LosAngeles[[#This Row],[American Sign Language Total]:[Other Total]])</f>
        <v>82</v>
      </c>
    </row>
    <row r="63" spans="1:26" ht="30" x14ac:dyDescent="0.25">
      <c r="A63" s="2" t="s">
        <v>344</v>
      </c>
      <c r="B63" s="5" t="s">
        <v>409</v>
      </c>
      <c r="C63" s="6">
        <v>0</v>
      </c>
      <c r="D63" s="6">
        <v>0</v>
      </c>
      <c r="E63" s="6">
        <v>0</v>
      </c>
      <c r="F63" s="8">
        <v>0</v>
      </c>
      <c r="G63" s="8">
        <v>0</v>
      </c>
      <c r="H63" s="8">
        <v>0</v>
      </c>
      <c r="I63" s="6">
        <v>0</v>
      </c>
      <c r="J63" s="6">
        <v>0</v>
      </c>
      <c r="K63" s="8">
        <v>0</v>
      </c>
      <c r="L63" s="8">
        <v>0</v>
      </c>
      <c r="M63" s="6">
        <v>0</v>
      </c>
      <c r="N63" s="6">
        <v>0</v>
      </c>
      <c r="O63" s="6">
        <v>0</v>
      </c>
      <c r="P63" s="6">
        <v>5</v>
      </c>
      <c r="Q63" s="6">
        <v>0</v>
      </c>
      <c r="R63" s="6">
        <v>0</v>
      </c>
      <c r="S63" s="8">
        <v>0</v>
      </c>
      <c r="T63" s="8">
        <v>0</v>
      </c>
      <c r="U63" s="6">
        <v>64</v>
      </c>
      <c r="V63" s="6">
        <v>0</v>
      </c>
      <c r="W63" s="8">
        <v>0</v>
      </c>
      <c r="X63" s="6">
        <v>0</v>
      </c>
      <c r="Y63" s="6">
        <v>0</v>
      </c>
      <c r="Z63" s="6">
        <f>SUM(LosAngeles[[#This Row],[American Sign Language Total]:[Other Total]])</f>
        <v>69</v>
      </c>
    </row>
    <row r="64" spans="1:26" x14ac:dyDescent="0.25">
      <c r="A64" s="2" t="s">
        <v>345</v>
      </c>
      <c r="B64" s="5" t="s">
        <v>345</v>
      </c>
      <c r="C64" s="6">
        <v>0</v>
      </c>
      <c r="D64" s="6">
        <v>0</v>
      </c>
      <c r="E64" s="6">
        <v>0</v>
      </c>
      <c r="F64" s="8">
        <v>0</v>
      </c>
      <c r="G64" s="8">
        <v>0</v>
      </c>
      <c r="H64" s="8">
        <v>0</v>
      </c>
      <c r="I64" s="6">
        <v>0</v>
      </c>
      <c r="J64" s="6">
        <v>0</v>
      </c>
      <c r="K64" s="8">
        <v>0</v>
      </c>
      <c r="L64" s="8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8">
        <v>0</v>
      </c>
      <c r="T64" s="8">
        <v>0</v>
      </c>
      <c r="U64" s="6">
        <v>2</v>
      </c>
      <c r="V64" s="6">
        <v>0</v>
      </c>
      <c r="W64" s="8">
        <v>0</v>
      </c>
      <c r="X64" s="6">
        <v>0</v>
      </c>
      <c r="Y64" s="6">
        <v>0</v>
      </c>
      <c r="Z64" s="6">
        <f>SUM(LosAngeles[[#This Row],[American Sign Language Total]:[Other Total]])</f>
        <v>2</v>
      </c>
    </row>
    <row r="65" spans="1:26" x14ac:dyDescent="0.25">
      <c r="A65" s="2" t="s">
        <v>346</v>
      </c>
      <c r="B65" s="5" t="s">
        <v>346</v>
      </c>
      <c r="C65" s="6">
        <v>0</v>
      </c>
      <c r="D65" s="6">
        <v>0</v>
      </c>
      <c r="E65" s="6">
        <v>0</v>
      </c>
      <c r="F65" s="8">
        <v>0</v>
      </c>
      <c r="G65" s="8">
        <v>0</v>
      </c>
      <c r="H65" s="8">
        <v>0</v>
      </c>
      <c r="I65" s="6">
        <v>0</v>
      </c>
      <c r="J65" s="6">
        <v>0</v>
      </c>
      <c r="K65" s="8">
        <v>0</v>
      </c>
      <c r="L65" s="8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8">
        <v>0</v>
      </c>
      <c r="T65" s="8">
        <v>1</v>
      </c>
      <c r="U65" s="6">
        <v>3</v>
      </c>
      <c r="V65" s="6">
        <v>0</v>
      </c>
      <c r="W65" s="8">
        <v>0</v>
      </c>
      <c r="X65" s="6">
        <v>0</v>
      </c>
      <c r="Y65" s="6">
        <v>0</v>
      </c>
      <c r="Z65" s="6">
        <f>SUM(LosAngeles[[#This Row],[American Sign Language Total]:[Other Total]])</f>
        <v>4</v>
      </c>
    </row>
    <row r="66" spans="1:26" x14ac:dyDescent="0.25">
      <c r="A66" s="2" t="s">
        <v>347</v>
      </c>
      <c r="B66" s="5" t="s">
        <v>347</v>
      </c>
      <c r="C66" s="6">
        <v>0</v>
      </c>
      <c r="D66" s="6">
        <v>0</v>
      </c>
      <c r="E66" s="6">
        <v>0</v>
      </c>
      <c r="F66" s="8">
        <v>0</v>
      </c>
      <c r="G66" s="8">
        <v>0</v>
      </c>
      <c r="H66" s="8">
        <v>0</v>
      </c>
      <c r="I66" s="6">
        <v>0</v>
      </c>
      <c r="J66" s="6">
        <v>0</v>
      </c>
      <c r="K66" s="8">
        <v>0</v>
      </c>
      <c r="L66" s="8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8">
        <v>0</v>
      </c>
      <c r="T66" s="8">
        <v>0</v>
      </c>
      <c r="U66" s="6">
        <v>13</v>
      </c>
      <c r="V66" s="6">
        <v>0</v>
      </c>
      <c r="W66" s="8">
        <v>0</v>
      </c>
      <c r="X66" s="6">
        <v>0</v>
      </c>
      <c r="Y66" s="6">
        <v>0</v>
      </c>
      <c r="Z66" s="6">
        <f>SUM(LosAngeles[[#This Row],[American Sign Language Total]:[Other Total]])</f>
        <v>13</v>
      </c>
    </row>
    <row r="67" spans="1:26" x14ac:dyDescent="0.25">
      <c r="A67" s="2" t="s">
        <v>348</v>
      </c>
      <c r="B67" s="5" t="s">
        <v>348</v>
      </c>
      <c r="C67" s="6">
        <v>1</v>
      </c>
      <c r="D67" s="6">
        <v>0</v>
      </c>
      <c r="E67" s="6">
        <v>0</v>
      </c>
      <c r="F67" s="8">
        <v>0</v>
      </c>
      <c r="G67" s="8">
        <v>0</v>
      </c>
      <c r="H67" s="8">
        <v>0</v>
      </c>
      <c r="I67" s="6">
        <v>0</v>
      </c>
      <c r="J67" s="6">
        <v>0</v>
      </c>
      <c r="K67" s="8">
        <v>0</v>
      </c>
      <c r="L67" s="8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8">
        <v>0</v>
      </c>
      <c r="T67" s="8">
        <v>0</v>
      </c>
      <c r="U67" s="6">
        <v>58</v>
      </c>
      <c r="V67" s="6">
        <v>0</v>
      </c>
      <c r="W67" s="8">
        <v>0</v>
      </c>
      <c r="X67" s="6">
        <v>0</v>
      </c>
      <c r="Y67" s="6">
        <v>0</v>
      </c>
      <c r="Z67" s="6">
        <f>SUM(LosAngeles[[#This Row],[American Sign Language Total]:[Other Total]])</f>
        <v>59</v>
      </c>
    </row>
    <row r="68" spans="1:26" x14ac:dyDescent="0.25">
      <c r="A68" s="2" t="s">
        <v>349</v>
      </c>
      <c r="B68" s="5" t="s">
        <v>349</v>
      </c>
      <c r="C68" s="6">
        <v>0</v>
      </c>
      <c r="D68" s="6">
        <v>2</v>
      </c>
      <c r="E68" s="6">
        <v>1</v>
      </c>
      <c r="F68" s="8">
        <v>2</v>
      </c>
      <c r="G68" s="8">
        <v>1</v>
      </c>
      <c r="H68" s="8">
        <v>18</v>
      </c>
      <c r="I68" s="6">
        <v>5</v>
      </c>
      <c r="J68" s="6">
        <v>2</v>
      </c>
      <c r="K68" s="8">
        <v>4</v>
      </c>
      <c r="L68" s="8">
        <v>1</v>
      </c>
      <c r="M68" s="6">
        <v>0</v>
      </c>
      <c r="N68" s="6">
        <v>8</v>
      </c>
      <c r="O68" s="6">
        <v>3</v>
      </c>
      <c r="P68" s="6">
        <v>8</v>
      </c>
      <c r="Q68" s="6">
        <v>0</v>
      </c>
      <c r="R68" s="6">
        <v>5</v>
      </c>
      <c r="S68" s="8">
        <v>0</v>
      </c>
      <c r="T68" s="8">
        <v>7</v>
      </c>
      <c r="U68" s="6">
        <v>68</v>
      </c>
      <c r="V68" s="6">
        <v>2</v>
      </c>
      <c r="W68" s="8">
        <v>0</v>
      </c>
      <c r="X68" s="6">
        <v>1</v>
      </c>
      <c r="Y68" s="6">
        <v>0</v>
      </c>
      <c r="Z68" s="6">
        <f>SUM(LosAngeles[[#This Row],[American Sign Language Total]:[Other Total]])</f>
        <v>138</v>
      </c>
    </row>
    <row r="69" spans="1:26" x14ac:dyDescent="0.25">
      <c r="A69" s="2" t="s">
        <v>350</v>
      </c>
      <c r="B69" s="5" t="s">
        <v>350</v>
      </c>
      <c r="C69" s="6">
        <v>0</v>
      </c>
      <c r="D69" s="6">
        <v>0</v>
      </c>
      <c r="E69" s="6">
        <v>0</v>
      </c>
      <c r="F69" s="8">
        <v>0</v>
      </c>
      <c r="G69" s="8">
        <v>0</v>
      </c>
      <c r="H69" s="8">
        <v>0</v>
      </c>
      <c r="I69" s="6">
        <v>0</v>
      </c>
      <c r="J69" s="6">
        <v>0</v>
      </c>
      <c r="K69" s="8">
        <v>0</v>
      </c>
      <c r="L69" s="8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8">
        <v>0</v>
      </c>
      <c r="T69" s="8">
        <v>0</v>
      </c>
      <c r="U69" s="6">
        <v>60</v>
      </c>
      <c r="V69" s="6">
        <v>0</v>
      </c>
      <c r="W69" s="8">
        <v>0</v>
      </c>
      <c r="X69" s="6">
        <v>0</v>
      </c>
      <c r="Y69" s="6">
        <v>0</v>
      </c>
      <c r="Z69" s="6">
        <f>SUM(LosAngeles[[#This Row],[American Sign Language Total]:[Other Total]])</f>
        <v>60</v>
      </c>
    </row>
    <row r="70" spans="1:26" x14ac:dyDescent="0.25">
      <c r="A70" s="2" t="s">
        <v>351</v>
      </c>
      <c r="B70" s="5" t="s">
        <v>351</v>
      </c>
      <c r="C70" s="6">
        <v>0</v>
      </c>
      <c r="D70" s="6">
        <v>0</v>
      </c>
      <c r="E70" s="6">
        <v>0</v>
      </c>
      <c r="F70" s="8">
        <v>0</v>
      </c>
      <c r="G70" s="8">
        <v>0</v>
      </c>
      <c r="H70" s="8">
        <v>0</v>
      </c>
      <c r="I70" s="6">
        <v>0</v>
      </c>
      <c r="J70" s="6">
        <v>0</v>
      </c>
      <c r="K70" s="8">
        <v>0</v>
      </c>
      <c r="L70" s="8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8">
        <v>0</v>
      </c>
      <c r="T70" s="8">
        <v>0</v>
      </c>
      <c r="U70" s="6">
        <v>20</v>
      </c>
      <c r="V70" s="6">
        <v>0</v>
      </c>
      <c r="W70" s="8">
        <v>0</v>
      </c>
      <c r="X70" s="6">
        <v>0</v>
      </c>
      <c r="Y70" s="6">
        <v>0</v>
      </c>
      <c r="Z70" s="6">
        <f>SUM(LosAngeles[[#This Row],[American Sign Language Total]:[Other Total]])</f>
        <v>20</v>
      </c>
    </row>
    <row r="71" spans="1:26" ht="30" x14ac:dyDescent="0.25">
      <c r="A71" s="2" t="s">
        <v>352</v>
      </c>
      <c r="B71" s="5" t="s">
        <v>410</v>
      </c>
      <c r="C71" s="6">
        <v>0</v>
      </c>
      <c r="D71" s="6">
        <v>0</v>
      </c>
      <c r="E71" s="6">
        <v>0</v>
      </c>
      <c r="F71" s="8">
        <v>0</v>
      </c>
      <c r="G71" s="8">
        <v>53</v>
      </c>
      <c r="H71" s="8">
        <v>0</v>
      </c>
      <c r="I71" s="6">
        <v>27</v>
      </c>
      <c r="J71" s="6">
        <v>1</v>
      </c>
      <c r="K71" s="8">
        <v>0</v>
      </c>
      <c r="L71" s="8">
        <v>0</v>
      </c>
      <c r="M71" s="6">
        <v>0</v>
      </c>
      <c r="N71" s="6">
        <v>0</v>
      </c>
      <c r="O71" s="6">
        <v>44</v>
      </c>
      <c r="P71" s="6">
        <v>16</v>
      </c>
      <c r="Q71" s="6">
        <v>7</v>
      </c>
      <c r="R71" s="6">
        <v>0</v>
      </c>
      <c r="S71" s="8">
        <v>0</v>
      </c>
      <c r="T71" s="8">
        <v>0</v>
      </c>
      <c r="U71" s="6">
        <v>196</v>
      </c>
      <c r="V71" s="6">
        <v>0</v>
      </c>
      <c r="W71" s="8">
        <v>0</v>
      </c>
      <c r="X71" s="6">
        <v>0</v>
      </c>
      <c r="Y71" s="6">
        <v>0</v>
      </c>
      <c r="Z71" s="6">
        <f>SUM(LosAngeles[[#This Row],[American Sign Language Total]:[Other Total]])</f>
        <v>344</v>
      </c>
    </row>
    <row r="72" spans="1:26" ht="30" x14ac:dyDescent="0.25">
      <c r="A72" s="2" t="s">
        <v>353</v>
      </c>
      <c r="B72" s="5" t="s">
        <v>411</v>
      </c>
      <c r="C72" s="6">
        <v>0</v>
      </c>
      <c r="D72" s="6">
        <v>0</v>
      </c>
      <c r="E72" s="6">
        <v>0</v>
      </c>
      <c r="F72" s="8">
        <v>0</v>
      </c>
      <c r="G72" s="8">
        <v>0</v>
      </c>
      <c r="H72" s="8">
        <v>0</v>
      </c>
      <c r="I72" s="6">
        <v>0</v>
      </c>
      <c r="J72" s="6">
        <v>0</v>
      </c>
      <c r="K72" s="8">
        <v>0</v>
      </c>
      <c r="L72" s="8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8">
        <v>0</v>
      </c>
      <c r="T72" s="8">
        <v>0</v>
      </c>
      <c r="U72" s="6">
        <v>698</v>
      </c>
      <c r="V72" s="6">
        <v>0</v>
      </c>
      <c r="W72" s="8">
        <v>0</v>
      </c>
      <c r="X72" s="6">
        <v>0</v>
      </c>
      <c r="Y72" s="6">
        <v>0</v>
      </c>
      <c r="Z72" s="6">
        <f>SUM(LosAngeles[[#This Row],[American Sign Language Total]:[Other Total]])</f>
        <v>698</v>
      </c>
    </row>
    <row r="73" spans="1:26" ht="30" x14ac:dyDescent="0.25">
      <c r="A73" s="2" t="s">
        <v>354</v>
      </c>
      <c r="B73" s="5" t="s">
        <v>412</v>
      </c>
      <c r="C73" s="6">
        <v>0</v>
      </c>
      <c r="D73" s="6">
        <v>0</v>
      </c>
      <c r="E73" s="6">
        <v>5</v>
      </c>
      <c r="F73" s="8">
        <v>0</v>
      </c>
      <c r="G73" s="8">
        <v>13</v>
      </c>
      <c r="H73" s="8">
        <v>0</v>
      </c>
      <c r="I73" s="6">
        <v>0</v>
      </c>
      <c r="J73" s="6">
        <v>1</v>
      </c>
      <c r="K73" s="8">
        <v>0</v>
      </c>
      <c r="L73" s="8">
        <v>0</v>
      </c>
      <c r="M73" s="6">
        <v>0</v>
      </c>
      <c r="N73" s="6">
        <v>0</v>
      </c>
      <c r="O73" s="6">
        <v>1</v>
      </c>
      <c r="P73" s="6">
        <v>0</v>
      </c>
      <c r="Q73" s="6">
        <v>0</v>
      </c>
      <c r="R73" s="6">
        <v>0</v>
      </c>
      <c r="S73" s="8">
        <v>0</v>
      </c>
      <c r="T73" s="8">
        <v>0</v>
      </c>
      <c r="U73" s="6">
        <v>107</v>
      </c>
      <c r="V73" s="6">
        <v>0</v>
      </c>
      <c r="W73" s="8">
        <v>0</v>
      </c>
      <c r="X73" s="6">
        <v>0</v>
      </c>
      <c r="Y73" s="6">
        <v>0</v>
      </c>
      <c r="Z73" s="6">
        <f>SUM(LosAngeles[[#This Row],[American Sign Language Total]:[Other Total]])</f>
        <v>127</v>
      </c>
    </row>
    <row r="74" spans="1:26" ht="60" x14ac:dyDescent="0.25">
      <c r="A74" s="2" t="s">
        <v>355</v>
      </c>
      <c r="B74" s="5" t="s">
        <v>413</v>
      </c>
      <c r="C74" s="6">
        <v>0</v>
      </c>
      <c r="D74" s="6">
        <v>0</v>
      </c>
      <c r="E74" s="6">
        <v>0</v>
      </c>
      <c r="F74" s="8">
        <v>0</v>
      </c>
      <c r="G74" s="8">
        <v>14</v>
      </c>
      <c r="H74" s="8">
        <v>0</v>
      </c>
      <c r="I74" s="6">
        <v>8</v>
      </c>
      <c r="J74" s="6">
        <v>0</v>
      </c>
      <c r="K74" s="8">
        <v>0</v>
      </c>
      <c r="L74" s="8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8">
        <v>0</v>
      </c>
      <c r="T74" s="8">
        <v>0</v>
      </c>
      <c r="U74" s="6">
        <v>146</v>
      </c>
      <c r="V74" s="6">
        <v>0</v>
      </c>
      <c r="W74" s="8">
        <v>0</v>
      </c>
      <c r="X74" s="6">
        <v>0</v>
      </c>
      <c r="Y74" s="6">
        <v>0</v>
      </c>
      <c r="Z74" s="6">
        <f>SUM(LosAngeles[[#This Row],[American Sign Language Total]:[Other Total]])</f>
        <v>168</v>
      </c>
    </row>
    <row r="75" spans="1:26" x14ac:dyDescent="0.25">
      <c r="A75" s="2" t="s">
        <v>356</v>
      </c>
      <c r="B75" s="5" t="s">
        <v>356</v>
      </c>
      <c r="C75" s="6">
        <v>0</v>
      </c>
      <c r="D75" s="6">
        <v>0</v>
      </c>
      <c r="E75" s="6">
        <v>0</v>
      </c>
      <c r="F75" s="8">
        <v>0</v>
      </c>
      <c r="G75" s="8">
        <v>0</v>
      </c>
      <c r="H75" s="8">
        <v>0</v>
      </c>
      <c r="I75" s="6">
        <v>0</v>
      </c>
      <c r="J75" s="6">
        <v>0</v>
      </c>
      <c r="K75" s="8">
        <v>0</v>
      </c>
      <c r="L75" s="8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8">
        <v>0</v>
      </c>
      <c r="T75" s="8">
        <v>0</v>
      </c>
      <c r="U75" s="6">
        <v>20</v>
      </c>
      <c r="V75" s="6">
        <v>0</v>
      </c>
      <c r="W75" s="8">
        <v>0</v>
      </c>
      <c r="X75" s="6">
        <v>0</v>
      </c>
      <c r="Y75" s="6">
        <v>0</v>
      </c>
      <c r="Z75" s="6">
        <f>SUM(LosAngeles[[#This Row],[American Sign Language Total]:[Other Total]])</f>
        <v>20</v>
      </c>
    </row>
    <row r="76" spans="1:26" ht="30" x14ac:dyDescent="0.25">
      <c r="A76" s="2" t="s">
        <v>357</v>
      </c>
      <c r="B76" s="5" t="s">
        <v>357</v>
      </c>
      <c r="C76" s="6">
        <v>0</v>
      </c>
      <c r="D76" s="6">
        <v>0</v>
      </c>
      <c r="E76" s="6">
        <v>0</v>
      </c>
      <c r="F76" s="8">
        <v>0</v>
      </c>
      <c r="G76" s="8">
        <v>0</v>
      </c>
      <c r="H76" s="8">
        <v>0</v>
      </c>
      <c r="I76" s="6">
        <v>0</v>
      </c>
      <c r="J76" s="6">
        <v>0</v>
      </c>
      <c r="K76" s="8">
        <v>0</v>
      </c>
      <c r="L76" s="8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8">
        <v>0</v>
      </c>
      <c r="T76" s="8">
        <v>0</v>
      </c>
      <c r="U76" s="6">
        <v>41</v>
      </c>
      <c r="V76" s="6">
        <v>0</v>
      </c>
      <c r="W76" s="8">
        <v>0</v>
      </c>
      <c r="X76" s="6">
        <v>0</v>
      </c>
      <c r="Y76" s="6">
        <v>0</v>
      </c>
      <c r="Z76" s="6">
        <f>SUM(LosAngeles[[#This Row],[American Sign Language Total]:[Other Total]])</f>
        <v>41</v>
      </c>
    </row>
    <row r="77" spans="1:26" x14ac:dyDescent="0.25">
      <c r="A77" s="2" t="s">
        <v>358</v>
      </c>
      <c r="B77" s="5" t="s">
        <v>358</v>
      </c>
      <c r="C77" s="6">
        <v>0</v>
      </c>
      <c r="D77" s="6">
        <v>0</v>
      </c>
      <c r="E77" s="6">
        <v>0</v>
      </c>
      <c r="F77" s="8">
        <v>0</v>
      </c>
      <c r="G77" s="8">
        <v>0</v>
      </c>
      <c r="H77" s="8">
        <v>0</v>
      </c>
      <c r="I77" s="6">
        <v>0</v>
      </c>
      <c r="J77" s="6">
        <v>0</v>
      </c>
      <c r="K77" s="8">
        <v>0</v>
      </c>
      <c r="L77" s="8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8">
        <v>0</v>
      </c>
      <c r="T77" s="8">
        <v>0</v>
      </c>
      <c r="U77" s="6">
        <v>19</v>
      </c>
      <c r="V77" s="6">
        <v>0</v>
      </c>
      <c r="W77" s="8">
        <v>0</v>
      </c>
      <c r="X77" s="6">
        <v>0</v>
      </c>
      <c r="Y77" s="6">
        <v>0</v>
      </c>
      <c r="Z77" s="6">
        <f>SUM(LosAngeles[[#This Row],[American Sign Language Total]:[Other Total]])</f>
        <v>19</v>
      </c>
    </row>
    <row r="78" spans="1:26" ht="30" x14ac:dyDescent="0.25">
      <c r="A78" s="2" t="s">
        <v>359</v>
      </c>
      <c r="B78" s="5" t="s">
        <v>359</v>
      </c>
      <c r="C78" s="6">
        <v>0</v>
      </c>
      <c r="D78" s="6">
        <v>0</v>
      </c>
      <c r="E78" s="6">
        <v>0</v>
      </c>
      <c r="F78" s="8">
        <v>0</v>
      </c>
      <c r="G78" s="8">
        <v>0</v>
      </c>
      <c r="H78" s="8">
        <v>0</v>
      </c>
      <c r="I78" s="6">
        <v>0</v>
      </c>
      <c r="J78" s="6">
        <v>0</v>
      </c>
      <c r="K78" s="8">
        <v>0</v>
      </c>
      <c r="L78" s="8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8">
        <v>0</v>
      </c>
      <c r="T78" s="8">
        <v>0</v>
      </c>
      <c r="U78" s="6">
        <v>28</v>
      </c>
      <c r="V78" s="6">
        <v>0</v>
      </c>
      <c r="W78" s="8">
        <v>0</v>
      </c>
      <c r="X78" s="6">
        <v>0</v>
      </c>
      <c r="Y78" s="6">
        <v>0</v>
      </c>
      <c r="Z78" s="6">
        <f>SUM(LosAngeles[[#This Row],[American Sign Language Total]:[Other Total]])</f>
        <v>28</v>
      </c>
    </row>
    <row r="79" spans="1:26" x14ac:dyDescent="0.25">
      <c r="A79" s="2" t="s">
        <v>360</v>
      </c>
      <c r="B79" s="5" t="s">
        <v>414</v>
      </c>
      <c r="C79" s="6">
        <v>0</v>
      </c>
      <c r="D79" s="6">
        <v>0</v>
      </c>
      <c r="E79" s="6">
        <v>0</v>
      </c>
      <c r="F79" s="8">
        <v>0</v>
      </c>
      <c r="G79" s="8">
        <v>13</v>
      </c>
      <c r="H79" s="8">
        <v>0</v>
      </c>
      <c r="I79" s="6">
        <v>7</v>
      </c>
      <c r="J79" s="6">
        <v>1</v>
      </c>
      <c r="K79" s="8">
        <v>0</v>
      </c>
      <c r="L79" s="8">
        <v>0</v>
      </c>
      <c r="M79" s="6">
        <v>0</v>
      </c>
      <c r="N79" s="6">
        <v>0</v>
      </c>
      <c r="O79" s="6">
        <v>2</v>
      </c>
      <c r="P79" s="6">
        <v>0</v>
      </c>
      <c r="Q79" s="6">
        <v>0</v>
      </c>
      <c r="R79" s="6">
        <v>1</v>
      </c>
      <c r="S79" s="8">
        <v>0</v>
      </c>
      <c r="T79" s="8">
        <v>0</v>
      </c>
      <c r="U79" s="6">
        <v>73</v>
      </c>
      <c r="V79" s="6">
        <v>0</v>
      </c>
      <c r="W79" s="8">
        <v>0</v>
      </c>
      <c r="X79" s="6">
        <v>0</v>
      </c>
      <c r="Y79" s="6">
        <v>0</v>
      </c>
      <c r="Z79" s="6">
        <f>SUM(LosAngeles[[#This Row],[American Sign Language Total]:[Other Total]])</f>
        <v>97</v>
      </c>
    </row>
    <row r="80" spans="1:26" x14ac:dyDescent="0.25">
      <c r="A80" s="2" t="s">
        <v>361</v>
      </c>
      <c r="B80" s="5" t="s">
        <v>361</v>
      </c>
      <c r="C80" s="6">
        <v>0</v>
      </c>
      <c r="D80" s="6">
        <v>0</v>
      </c>
      <c r="E80" s="6">
        <v>0</v>
      </c>
      <c r="F80" s="8">
        <v>0</v>
      </c>
      <c r="G80" s="8">
        <v>0</v>
      </c>
      <c r="H80" s="8">
        <v>0</v>
      </c>
      <c r="I80" s="6">
        <v>0</v>
      </c>
      <c r="J80" s="6">
        <v>0</v>
      </c>
      <c r="K80" s="8">
        <v>0</v>
      </c>
      <c r="L80" s="8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8">
        <v>0</v>
      </c>
      <c r="T80" s="8">
        <v>0</v>
      </c>
      <c r="U80" s="6">
        <v>71</v>
      </c>
      <c r="V80" s="6">
        <v>0</v>
      </c>
      <c r="W80" s="8">
        <v>0</v>
      </c>
      <c r="X80" s="6">
        <v>0</v>
      </c>
      <c r="Y80" s="6">
        <v>0</v>
      </c>
      <c r="Z80" s="6">
        <f>SUM(LosAngeles[[#This Row],[American Sign Language Total]:[Other Total]])</f>
        <v>71</v>
      </c>
    </row>
    <row r="81" spans="1:26" x14ac:dyDescent="0.25">
      <c r="A81" s="2" t="s">
        <v>362</v>
      </c>
      <c r="B81" s="5" t="s">
        <v>415</v>
      </c>
      <c r="C81" s="6">
        <v>0</v>
      </c>
      <c r="D81" s="6">
        <v>1</v>
      </c>
      <c r="E81" s="6">
        <v>0</v>
      </c>
      <c r="F81" s="8">
        <v>0</v>
      </c>
      <c r="G81" s="8">
        <v>11</v>
      </c>
      <c r="H81" s="8">
        <v>0</v>
      </c>
      <c r="I81" s="6">
        <v>19</v>
      </c>
      <c r="J81" s="6">
        <v>0</v>
      </c>
      <c r="K81" s="8">
        <v>0</v>
      </c>
      <c r="L81" s="8">
        <v>0</v>
      </c>
      <c r="M81" s="6">
        <v>0</v>
      </c>
      <c r="N81" s="6">
        <v>0</v>
      </c>
      <c r="O81" s="6">
        <v>0</v>
      </c>
      <c r="P81" s="6">
        <v>27</v>
      </c>
      <c r="Q81" s="6">
        <v>0</v>
      </c>
      <c r="R81" s="6">
        <v>0</v>
      </c>
      <c r="S81" s="8">
        <v>0</v>
      </c>
      <c r="T81" s="8">
        <v>0</v>
      </c>
      <c r="U81" s="6">
        <v>85</v>
      </c>
      <c r="V81" s="6">
        <v>2</v>
      </c>
      <c r="W81" s="8">
        <v>0</v>
      </c>
      <c r="X81" s="6">
        <v>0</v>
      </c>
      <c r="Y81" s="6">
        <v>0</v>
      </c>
      <c r="Z81" s="6">
        <f>SUM(LosAngeles[[#This Row],[American Sign Language Total]:[Other Total]])</f>
        <v>145</v>
      </c>
    </row>
    <row r="82" spans="1:26" x14ac:dyDescent="0.25">
      <c r="A82" s="2" t="s">
        <v>363</v>
      </c>
      <c r="B82" s="5" t="s">
        <v>416</v>
      </c>
      <c r="C82" s="6">
        <v>0</v>
      </c>
      <c r="D82" s="6">
        <v>0</v>
      </c>
      <c r="E82" s="6">
        <v>0</v>
      </c>
      <c r="F82" s="8">
        <v>0</v>
      </c>
      <c r="G82" s="8">
        <v>20</v>
      </c>
      <c r="H82" s="8">
        <v>0</v>
      </c>
      <c r="I82" s="6">
        <v>0</v>
      </c>
      <c r="J82" s="6">
        <v>0</v>
      </c>
      <c r="K82" s="8">
        <v>0</v>
      </c>
      <c r="L82" s="8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8">
        <v>0</v>
      </c>
      <c r="T82" s="8">
        <v>0</v>
      </c>
      <c r="U82" s="6">
        <v>39</v>
      </c>
      <c r="V82" s="6">
        <v>0</v>
      </c>
      <c r="W82" s="8">
        <v>0</v>
      </c>
      <c r="X82" s="6">
        <v>0</v>
      </c>
      <c r="Y82" s="6">
        <v>0</v>
      </c>
      <c r="Z82" s="6">
        <f>SUM(LosAngeles[[#This Row],[American Sign Language Total]:[Other Total]])</f>
        <v>59</v>
      </c>
    </row>
    <row r="83" spans="1:26" x14ac:dyDescent="0.25">
      <c r="A83" s="2" t="s">
        <v>364</v>
      </c>
      <c r="B83" s="5" t="s">
        <v>417</v>
      </c>
      <c r="C83" s="6">
        <v>0</v>
      </c>
      <c r="D83" s="6">
        <v>0</v>
      </c>
      <c r="E83" s="6">
        <v>0</v>
      </c>
      <c r="F83" s="8">
        <v>0</v>
      </c>
      <c r="G83" s="8">
        <v>21</v>
      </c>
      <c r="H83" s="8">
        <v>0</v>
      </c>
      <c r="I83" s="6">
        <v>0</v>
      </c>
      <c r="J83" s="6">
        <v>0</v>
      </c>
      <c r="K83" s="8">
        <v>0</v>
      </c>
      <c r="L83" s="8">
        <v>0</v>
      </c>
      <c r="M83" s="6">
        <v>0</v>
      </c>
      <c r="N83" s="6">
        <v>0</v>
      </c>
      <c r="O83" s="6">
        <v>1</v>
      </c>
      <c r="P83" s="6">
        <v>0</v>
      </c>
      <c r="Q83" s="6">
        <v>0</v>
      </c>
      <c r="R83" s="6">
        <v>0</v>
      </c>
      <c r="S83" s="8">
        <v>0</v>
      </c>
      <c r="T83" s="8">
        <v>0</v>
      </c>
      <c r="U83" s="6">
        <v>36</v>
      </c>
      <c r="V83" s="6">
        <v>0</v>
      </c>
      <c r="W83" s="8">
        <v>0</v>
      </c>
      <c r="X83" s="6">
        <v>0</v>
      </c>
      <c r="Y83" s="6">
        <v>0</v>
      </c>
      <c r="Z83" s="6">
        <f>SUM(LosAngeles[[#This Row],[American Sign Language Total]:[Other Total]])</f>
        <v>58</v>
      </c>
    </row>
    <row r="84" spans="1:26" x14ac:dyDescent="0.25">
      <c r="A84" s="2" t="s">
        <v>365</v>
      </c>
      <c r="B84" s="5" t="s">
        <v>365</v>
      </c>
      <c r="C84" s="6">
        <v>0</v>
      </c>
      <c r="D84" s="6">
        <v>0</v>
      </c>
      <c r="E84" s="6">
        <v>0</v>
      </c>
      <c r="F84" s="8">
        <v>0</v>
      </c>
      <c r="G84" s="8">
        <v>0</v>
      </c>
      <c r="H84" s="8">
        <v>0</v>
      </c>
      <c r="I84" s="6">
        <v>0</v>
      </c>
      <c r="J84" s="6">
        <v>0</v>
      </c>
      <c r="K84" s="8">
        <v>0</v>
      </c>
      <c r="L84" s="8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8">
        <v>0</v>
      </c>
      <c r="T84" s="8">
        <v>0</v>
      </c>
      <c r="U84" s="6">
        <v>2</v>
      </c>
      <c r="V84" s="6">
        <v>0</v>
      </c>
      <c r="W84" s="8">
        <v>0</v>
      </c>
      <c r="X84" s="6">
        <v>0</v>
      </c>
      <c r="Y84" s="6">
        <v>0</v>
      </c>
      <c r="Z84" s="6">
        <f>SUM(LosAngeles[[#This Row],[American Sign Language Total]:[Other Total]])</f>
        <v>2</v>
      </c>
    </row>
    <row r="85" spans="1:26" x14ac:dyDescent="0.25">
      <c r="A85" s="2" t="s">
        <v>366</v>
      </c>
      <c r="B85" s="5" t="s">
        <v>418</v>
      </c>
      <c r="C85" s="6">
        <v>0</v>
      </c>
      <c r="D85" s="6">
        <v>0</v>
      </c>
      <c r="E85" s="6">
        <v>0</v>
      </c>
      <c r="F85" s="8">
        <v>0</v>
      </c>
      <c r="G85" s="8">
        <v>10</v>
      </c>
      <c r="H85" s="8">
        <v>0</v>
      </c>
      <c r="I85" s="6">
        <v>19</v>
      </c>
      <c r="J85" s="6">
        <v>1</v>
      </c>
      <c r="K85" s="8">
        <v>0</v>
      </c>
      <c r="L85" s="8">
        <v>0</v>
      </c>
      <c r="M85" s="6">
        <v>0</v>
      </c>
      <c r="N85" s="6">
        <v>0</v>
      </c>
      <c r="O85" s="6">
        <v>8</v>
      </c>
      <c r="P85" s="6">
        <v>0</v>
      </c>
      <c r="Q85" s="6">
        <v>15</v>
      </c>
      <c r="R85" s="6">
        <v>0</v>
      </c>
      <c r="S85" s="8">
        <v>0</v>
      </c>
      <c r="T85" s="8">
        <v>0</v>
      </c>
      <c r="U85" s="6">
        <v>112</v>
      </c>
      <c r="V85" s="6">
        <v>0</v>
      </c>
      <c r="W85" s="8">
        <v>0</v>
      </c>
      <c r="X85" s="6">
        <v>0</v>
      </c>
      <c r="Y85" s="6">
        <v>0</v>
      </c>
      <c r="Z85" s="6">
        <f>SUM(LosAngeles[[#This Row],[American Sign Language Total]:[Other Total]])</f>
        <v>165</v>
      </c>
    </row>
    <row r="86" spans="1:26" x14ac:dyDescent="0.25">
      <c r="A86" s="2" t="s">
        <v>367</v>
      </c>
      <c r="B86" s="5" t="s">
        <v>419</v>
      </c>
      <c r="C86" s="6">
        <v>0</v>
      </c>
      <c r="D86" s="6">
        <v>0</v>
      </c>
      <c r="E86" s="6">
        <v>0</v>
      </c>
      <c r="F86" s="8">
        <v>0</v>
      </c>
      <c r="G86" s="8">
        <v>20</v>
      </c>
      <c r="H86" s="8">
        <v>0</v>
      </c>
      <c r="I86" s="6">
        <v>25</v>
      </c>
      <c r="J86" s="6">
        <v>0</v>
      </c>
      <c r="K86" s="8">
        <v>0</v>
      </c>
      <c r="L86" s="8">
        <v>0</v>
      </c>
      <c r="M86" s="6">
        <v>0</v>
      </c>
      <c r="N86" s="6">
        <v>0</v>
      </c>
      <c r="O86" s="6">
        <v>15</v>
      </c>
      <c r="P86" s="6">
        <v>0</v>
      </c>
      <c r="Q86" s="6">
        <v>0</v>
      </c>
      <c r="R86" s="6">
        <v>0</v>
      </c>
      <c r="S86" s="8">
        <v>0</v>
      </c>
      <c r="T86" s="8">
        <v>0</v>
      </c>
      <c r="U86" s="6">
        <v>50</v>
      </c>
      <c r="V86" s="6">
        <v>0</v>
      </c>
      <c r="W86" s="8">
        <v>0</v>
      </c>
      <c r="X86" s="6">
        <v>0</v>
      </c>
      <c r="Y86" s="6">
        <v>0</v>
      </c>
      <c r="Z86" s="6">
        <f>SUM(LosAngeles[[#This Row],[American Sign Language Total]:[Other Total]])</f>
        <v>110</v>
      </c>
    </row>
    <row r="87" spans="1:26" x14ac:dyDescent="0.25">
      <c r="A87" s="5" t="s">
        <v>368</v>
      </c>
      <c r="B87" s="5" t="s">
        <v>368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44</v>
      </c>
      <c r="V87">
        <v>0</v>
      </c>
      <c r="W87">
        <v>0</v>
      </c>
      <c r="X87">
        <v>0</v>
      </c>
      <c r="Y87">
        <v>0</v>
      </c>
      <c r="Z87">
        <f>SUM(LosAngeles[[#This Row],[American Sign Language Total]:[Other Total]])</f>
        <v>44</v>
      </c>
    </row>
    <row r="88" spans="1:26" x14ac:dyDescent="0.25">
      <c r="A88" s="5" t="s">
        <v>369</v>
      </c>
      <c r="B88" s="5" t="s">
        <v>369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10</v>
      </c>
      <c r="V88">
        <v>0</v>
      </c>
      <c r="W88">
        <v>0</v>
      </c>
      <c r="X88">
        <v>0</v>
      </c>
      <c r="Y88">
        <v>0</v>
      </c>
      <c r="Z88">
        <f>SUM(LosAngeles[[#This Row],[American Sign Language Total]:[Other Total]])</f>
        <v>10</v>
      </c>
    </row>
    <row r="89" spans="1:26" x14ac:dyDescent="0.25">
      <c r="A89" s="2" t="s">
        <v>370</v>
      </c>
      <c r="B89" s="5" t="s">
        <v>420</v>
      </c>
      <c r="C89" s="6">
        <v>0</v>
      </c>
      <c r="D89" s="6">
        <v>0</v>
      </c>
      <c r="E89" s="6">
        <v>0</v>
      </c>
      <c r="F89" s="8">
        <v>0</v>
      </c>
      <c r="G89" s="8">
        <v>100</v>
      </c>
      <c r="H89" s="8">
        <v>0</v>
      </c>
      <c r="I89" s="6">
        <v>25</v>
      </c>
      <c r="J89" s="6">
        <v>25</v>
      </c>
      <c r="K89" s="8">
        <v>0</v>
      </c>
      <c r="L89" s="8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8">
        <v>0</v>
      </c>
      <c r="T89" s="8">
        <v>0</v>
      </c>
      <c r="U89" s="6">
        <v>50</v>
      </c>
      <c r="V89" s="6">
        <v>0</v>
      </c>
      <c r="W89" s="8">
        <v>0</v>
      </c>
      <c r="X89" s="6">
        <v>0</v>
      </c>
      <c r="Y89" s="6">
        <v>0</v>
      </c>
      <c r="Z89" s="6">
        <f>SUM(LosAngeles[[#This Row],[American Sign Language Total]:[Other Total]])</f>
        <v>200</v>
      </c>
    </row>
    <row r="90" spans="1:26" ht="30" x14ac:dyDescent="0.25">
      <c r="A90" s="2" t="s">
        <v>371</v>
      </c>
      <c r="B90" s="5" t="s">
        <v>421</v>
      </c>
      <c r="C90" s="6">
        <v>8</v>
      </c>
      <c r="D90" s="6">
        <v>0</v>
      </c>
      <c r="E90" s="6">
        <v>0</v>
      </c>
      <c r="F90" s="8">
        <v>0</v>
      </c>
      <c r="G90" s="8">
        <v>25</v>
      </c>
      <c r="H90" s="8">
        <v>0</v>
      </c>
      <c r="I90" s="6">
        <v>35</v>
      </c>
      <c r="J90" s="6">
        <v>1</v>
      </c>
      <c r="K90" s="8">
        <v>0</v>
      </c>
      <c r="L90" s="8">
        <v>0</v>
      </c>
      <c r="M90" s="6">
        <v>0</v>
      </c>
      <c r="N90" s="6">
        <v>0</v>
      </c>
      <c r="O90" s="6">
        <v>107</v>
      </c>
      <c r="P90" s="6">
        <v>88</v>
      </c>
      <c r="Q90" s="6">
        <v>0</v>
      </c>
      <c r="R90" s="6">
        <v>0</v>
      </c>
      <c r="S90" s="8">
        <v>0</v>
      </c>
      <c r="T90" s="8">
        <v>0</v>
      </c>
      <c r="U90" s="6">
        <v>231</v>
      </c>
      <c r="V90" s="6">
        <v>0</v>
      </c>
      <c r="W90" s="8">
        <v>0</v>
      </c>
      <c r="X90" s="6">
        <v>0</v>
      </c>
      <c r="Y90" s="6">
        <v>0</v>
      </c>
      <c r="Z90" s="6">
        <f>SUM(LosAngeles[[#This Row],[American Sign Language Total]:[Other Total]])</f>
        <v>495</v>
      </c>
    </row>
    <row r="91" spans="1:26" x14ac:dyDescent="0.25">
      <c r="A91" s="5" t="s">
        <v>372</v>
      </c>
      <c r="B91" s="5" t="s">
        <v>372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31</v>
      </c>
      <c r="V91">
        <v>0</v>
      </c>
      <c r="W91">
        <v>0</v>
      </c>
      <c r="X91">
        <v>0</v>
      </c>
      <c r="Y91">
        <v>0</v>
      </c>
      <c r="Z91">
        <f>SUM(LosAngeles[[#This Row],[American Sign Language Total]:[Other Total]])</f>
        <v>31</v>
      </c>
    </row>
    <row r="92" spans="1:26" x14ac:dyDescent="0.25">
      <c r="A92" s="2" t="s">
        <v>373</v>
      </c>
      <c r="B92" s="5" t="s">
        <v>422</v>
      </c>
      <c r="C92" s="6">
        <v>9</v>
      </c>
      <c r="D92" s="6">
        <v>0</v>
      </c>
      <c r="E92" s="6">
        <v>0</v>
      </c>
      <c r="F92" s="8">
        <v>0</v>
      </c>
      <c r="G92" s="8">
        <v>138</v>
      </c>
      <c r="H92" s="8">
        <v>0</v>
      </c>
      <c r="I92" s="6">
        <v>45</v>
      </c>
      <c r="J92" s="6">
        <v>21</v>
      </c>
      <c r="K92" s="8">
        <v>0</v>
      </c>
      <c r="L92" s="8">
        <v>0</v>
      </c>
      <c r="M92" s="6">
        <v>0</v>
      </c>
      <c r="N92" s="6">
        <v>0</v>
      </c>
      <c r="O92" s="6">
        <v>2</v>
      </c>
      <c r="P92" s="6">
        <v>7</v>
      </c>
      <c r="Q92" s="6">
        <v>0</v>
      </c>
      <c r="R92" s="6">
        <v>0</v>
      </c>
      <c r="S92" s="8">
        <v>0</v>
      </c>
      <c r="T92" s="8">
        <v>0</v>
      </c>
      <c r="U92" s="6">
        <v>96</v>
      </c>
      <c r="V92" s="6">
        <v>0</v>
      </c>
      <c r="W92" s="8">
        <v>0</v>
      </c>
      <c r="X92" s="6">
        <v>0</v>
      </c>
      <c r="Y92" s="6">
        <v>0</v>
      </c>
      <c r="Z92" s="6">
        <f>SUM(LosAngeles[[#This Row],[American Sign Language Total]:[Other Total]])</f>
        <v>318</v>
      </c>
    </row>
    <row r="93" spans="1:26" ht="45" x14ac:dyDescent="0.25">
      <c r="A93" s="5" t="s">
        <v>374</v>
      </c>
      <c r="B93" s="5" t="s">
        <v>423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163</v>
      </c>
      <c r="V93">
        <v>0</v>
      </c>
      <c r="W93">
        <v>0</v>
      </c>
      <c r="X93">
        <v>0</v>
      </c>
      <c r="Y93">
        <v>0</v>
      </c>
      <c r="Z93">
        <f>SUM(LosAngeles[[#This Row],[American Sign Language Total]:[Other Total]])</f>
        <v>163</v>
      </c>
    </row>
    <row r="94" spans="1:26" ht="45" x14ac:dyDescent="0.25">
      <c r="A94" s="5" t="s">
        <v>375</v>
      </c>
      <c r="B94" s="5" t="s">
        <v>424</v>
      </c>
      <c r="C94">
        <v>1</v>
      </c>
      <c r="D94">
        <v>0</v>
      </c>
      <c r="E94">
        <v>0</v>
      </c>
      <c r="F94">
        <v>0</v>
      </c>
      <c r="G94">
        <v>2</v>
      </c>
      <c r="H94">
        <v>0</v>
      </c>
      <c r="I94">
        <v>30</v>
      </c>
      <c r="J94">
        <v>17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9</v>
      </c>
      <c r="R94">
        <v>0</v>
      </c>
      <c r="S94">
        <v>0</v>
      </c>
      <c r="T94">
        <v>0</v>
      </c>
      <c r="U94">
        <v>279</v>
      </c>
      <c r="V94">
        <v>0</v>
      </c>
      <c r="W94">
        <v>0</v>
      </c>
      <c r="X94">
        <v>0</v>
      </c>
      <c r="Y94">
        <v>5</v>
      </c>
      <c r="Z94">
        <f>SUM(LosAngeles[[#This Row],[American Sign Language Total]:[Other Total]])</f>
        <v>344</v>
      </c>
    </row>
    <row r="95" spans="1:26" ht="60" x14ac:dyDescent="0.25">
      <c r="A95" s="5" t="s">
        <v>376</v>
      </c>
      <c r="B95" s="5" t="s">
        <v>425</v>
      </c>
      <c r="C95">
        <v>7</v>
      </c>
      <c r="D95">
        <v>0</v>
      </c>
      <c r="E95">
        <v>0</v>
      </c>
      <c r="F95">
        <v>0</v>
      </c>
      <c r="G95">
        <v>12</v>
      </c>
      <c r="H95">
        <v>0</v>
      </c>
      <c r="I95">
        <v>30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6</v>
      </c>
      <c r="Q95">
        <v>0</v>
      </c>
      <c r="R95">
        <v>0</v>
      </c>
      <c r="S95">
        <v>0</v>
      </c>
      <c r="T95">
        <v>0</v>
      </c>
      <c r="U95">
        <v>170</v>
      </c>
      <c r="V95">
        <v>0</v>
      </c>
      <c r="W95">
        <v>0</v>
      </c>
      <c r="X95">
        <v>0</v>
      </c>
      <c r="Y95">
        <v>1</v>
      </c>
      <c r="Z95">
        <f>SUM(LosAngeles[[#This Row],[American Sign Language Total]:[Other Total]])</f>
        <v>226</v>
      </c>
    </row>
    <row r="96" spans="1:26" x14ac:dyDescent="0.25">
      <c r="A96" s="5" t="s">
        <v>377</v>
      </c>
      <c r="B96" s="5" t="s">
        <v>377</v>
      </c>
      <c r="C96">
        <v>5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1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2</v>
      </c>
      <c r="V96">
        <v>0</v>
      </c>
      <c r="W96">
        <v>0</v>
      </c>
      <c r="X96">
        <v>0</v>
      </c>
      <c r="Y96">
        <v>0</v>
      </c>
      <c r="Z96">
        <f>SUM(LosAngeles[[#This Row],[American Sign Language Total]:[Other Total]])</f>
        <v>8</v>
      </c>
    </row>
    <row r="97" spans="1:26" ht="15.6" x14ac:dyDescent="0.25">
      <c r="A97" s="15" t="s">
        <v>1104</v>
      </c>
      <c r="B97" s="26" t="s">
        <v>1105</v>
      </c>
      <c r="C97" s="3">
        <f>SUBTOTAL(109,LosAngeles[American Sign Language Total])</f>
        <v>171</v>
      </c>
      <c r="D97" s="3">
        <f>SUBTOTAL(109,LosAngeles[Arabic Total])</f>
        <v>27</v>
      </c>
      <c r="E97" s="3">
        <f>SUBTOTAL(109,LosAngeles[Armenian Total])</f>
        <v>263</v>
      </c>
      <c r="F97" s="3">
        <f>SUBTOTAL(109,LosAngeles[Bengali Total])</f>
        <v>13</v>
      </c>
      <c r="G97" s="3">
        <f>SUBTOTAL(109,LosAngeles[Chinese (Mandarin or Cantonese) Total])</f>
        <v>919</v>
      </c>
      <c r="H97" s="3">
        <f>SUBTOTAL(109,LosAngeles[Farsi (Persian) Total])</f>
        <v>38</v>
      </c>
      <c r="I97" s="3">
        <f>SUBTOTAL(109,LosAngeles[French Total])</f>
        <v>696</v>
      </c>
      <c r="J97" s="3">
        <f>SUBTOTAL(109,LosAngeles[German Total])</f>
        <v>161</v>
      </c>
      <c r="K97" s="3">
        <f>SUBTOTAL(109,LosAngeles[Hebrew Total])</f>
        <v>20</v>
      </c>
      <c r="L97" s="3">
        <f>SUBTOTAL(109,LosAngeles[Hindi Total])</f>
        <v>5</v>
      </c>
      <c r="M97" s="3">
        <f>SUBTOTAL(109,LosAngeles[Hmong Total])</f>
        <v>0</v>
      </c>
      <c r="N97" s="3">
        <f>SUBTOTAL(109,LosAngeles[Italian Total])</f>
        <v>36</v>
      </c>
      <c r="O97" s="3">
        <f>SUBTOTAL(109,LosAngeles[Japanese Total])</f>
        <v>410</v>
      </c>
      <c r="P97" s="3">
        <f>SUBTOTAL(109,LosAngeles[Korean Total])</f>
        <v>351</v>
      </c>
      <c r="Q97" s="3">
        <f>SUBTOTAL(109,LosAngeles[Latin Total])</f>
        <v>36</v>
      </c>
      <c r="R97" s="3">
        <f>SUBTOTAL(109,LosAngeles[Portuguese Total])</f>
        <v>11</v>
      </c>
      <c r="S97" s="3">
        <f>SUBTOTAL(109,LosAngeles[Punjabi Total])</f>
        <v>2</v>
      </c>
      <c r="T97" s="3">
        <f>SUBTOTAL(109,LosAngeles[Russian Total])</f>
        <v>149</v>
      </c>
      <c r="U97" s="3">
        <f>SUBTOTAL(109,LosAngeles[Spanish Total])</f>
        <v>16544</v>
      </c>
      <c r="V97" s="3">
        <f>SUBTOTAL(109,LosAngeles[Tagalog (Filipino) Total])</f>
        <v>209</v>
      </c>
      <c r="W97" s="3">
        <f>SUBTOTAL(109,LosAngeles[Urdu Total])</f>
        <v>4</v>
      </c>
      <c r="X97" s="3">
        <f>SUBTOTAL(109,LosAngeles[Vietnamese Total])</f>
        <v>17</v>
      </c>
      <c r="Y97" s="3">
        <f>SUBTOTAL(109,LosAngeles[Other Total])</f>
        <v>47</v>
      </c>
      <c r="Z97" s="3">
        <f>SUBTOTAL(109,LosAngeles[Total Seals per LEA])</f>
        <v>20129</v>
      </c>
    </row>
  </sheetData>
  <sortState xmlns:xlrd2="http://schemas.microsoft.com/office/spreadsheetml/2017/richdata2" ref="A2:BF122">
    <sortCondition ref="A2:A12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7"/>
  <sheetViews>
    <sheetView zoomScaleNormal="100" workbookViewId="0"/>
  </sheetViews>
  <sheetFormatPr defaultColWidth="9.08984375" defaultRowHeight="15" x14ac:dyDescent="0.25"/>
  <cols>
    <col min="1" max="1" width="31.36328125" style="13" bestFit="1" customWidth="1"/>
    <col min="2" max="2" width="45.1796875" style="13" customWidth="1"/>
    <col min="3" max="3" width="11" customWidth="1"/>
    <col min="4" max="4" width="8.453125" bestFit="1" customWidth="1"/>
    <col min="5" max="5" width="11.1796875" bestFit="1" customWidth="1"/>
    <col min="6" max="6" width="9.453125" bestFit="1" customWidth="1"/>
    <col min="7" max="7" width="11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8.9062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2" t="s">
        <v>4</v>
      </c>
    </row>
    <row r="2" spans="1:26" s="5" customFormat="1" ht="60.6" thickTop="1" x14ac:dyDescent="0.25">
      <c r="A2" s="14" t="s">
        <v>66</v>
      </c>
      <c r="B2" s="15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s="5" customFormat="1" ht="30" x14ac:dyDescent="0.25">
      <c r="A3" s="16" t="s">
        <v>117</v>
      </c>
      <c r="B3" s="16" t="s">
        <v>143</v>
      </c>
      <c r="C3">
        <v>0</v>
      </c>
      <c r="D3">
        <v>0</v>
      </c>
      <c r="E3">
        <v>0</v>
      </c>
      <c r="F3">
        <v>0</v>
      </c>
      <c r="G3">
        <v>18</v>
      </c>
      <c r="H3">
        <v>0</v>
      </c>
      <c r="I3">
        <v>6</v>
      </c>
      <c r="J3">
        <v>2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55</v>
      </c>
      <c r="V3">
        <v>0</v>
      </c>
      <c r="W3">
        <v>0</v>
      </c>
      <c r="X3">
        <v>0</v>
      </c>
      <c r="Y3">
        <v>0</v>
      </c>
      <c r="Z3">
        <f>SUM(Table2[[#This Row],[American Sign Language Total]:[Other Total]])</f>
        <v>81</v>
      </c>
    </row>
    <row r="4" spans="1:26" s="5" customFormat="1" x14ac:dyDescent="0.25">
      <c r="A4" s="14" t="s">
        <v>118</v>
      </c>
      <c r="B4" s="16" t="s">
        <v>144</v>
      </c>
      <c r="C4">
        <v>1</v>
      </c>
      <c r="D4">
        <v>1</v>
      </c>
      <c r="E4">
        <v>0</v>
      </c>
      <c r="F4">
        <v>0</v>
      </c>
      <c r="G4">
        <v>32</v>
      </c>
      <c r="H4">
        <v>0</v>
      </c>
      <c r="I4">
        <v>12</v>
      </c>
      <c r="J4">
        <v>2</v>
      </c>
      <c r="K4">
        <v>0</v>
      </c>
      <c r="L4">
        <v>1</v>
      </c>
      <c r="M4">
        <v>0</v>
      </c>
      <c r="N4">
        <v>0</v>
      </c>
      <c r="O4">
        <v>3</v>
      </c>
      <c r="P4">
        <v>1</v>
      </c>
      <c r="Q4">
        <v>0</v>
      </c>
      <c r="R4">
        <v>0</v>
      </c>
      <c r="S4">
        <v>0</v>
      </c>
      <c r="T4">
        <v>0</v>
      </c>
      <c r="U4">
        <v>45</v>
      </c>
      <c r="V4">
        <v>0</v>
      </c>
      <c r="W4">
        <v>0</v>
      </c>
      <c r="X4">
        <v>0</v>
      </c>
      <c r="Y4">
        <v>2</v>
      </c>
      <c r="Z4">
        <f>SUM(Table2[[#This Row],[American Sign Language Total]:[Other Total]])</f>
        <v>100</v>
      </c>
    </row>
    <row r="5" spans="1:26" ht="30" x14ac:dyDescent="0.25">
      <c r="A5" s="14" t="s">
        <v>119</v>
      </c>
      <c r="B5" s="13" t="s">
        <v>119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16</v>
      </c>
      <c r="V5">
        <v>0</v>
      </c>
      <c r="W5">
        <v>0</v>
      </c>
      <c r="X5">
        <v>0</v>
      </c>
      <c r="Y5">
        <v>0</v>
      </c>
      <c r="Z5">
        <f>SUM(Table2[[#This Row],[American Sign Language Total]:[Other Total]])</f>
        <v>16</v>
      </c>
    </row>
    <row r="6" spans="1:26" ht="30" x14ac:dyDescent="0.25">
      <c r="A6" s="14" t="s">
        <v>120</v>
      </c>
      <c r="B6" s="16" t="s">
        <v>147</v>
      </c>
      <c r="C6">
        <v>0</v>
      </c>
      <c r="D6">
        <v>0</v>
      </c>
      <c r="E6">
        <v>0</v>
      </c>
      <c r="F6">
        <v>0</v>
      </c>
      <c r="G6">
        <v>6</v>
      </c>
      <c r="H6">
        <v>0</v>
      </c>
      <c r="I6">
        <v>7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72</v>
      </c>
      <c r="V6">
        <v>0</v>
      </c>
      <c r="W6">
        <v>1</v>
      </c>
      <c r="X6">
        <v>0</v>
      </c>
      <c r="Y6">
        <v>2</v>
      </c>
      <c r="Z6">
        <f>SUM(Table2[[#This Row],[American Sign Language Total]:[Other Total]])</f>
        <v>88</v>
      </c>
    </row>
    <row r="7" spans="1:26" ht="30" x14ac:dyDescent="0.25">
      <c r="A7" s="16" t="s">
        <v>121</v>
      </c>
      <c r="B7" s="14" t="s">
        <v>148</v>
      </c>
      <c r="C7">
        <v>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f>SUM(Table2[[#This Row],[American Sign Language Total]:[Other Total]])</f>
        <v>2</v>
      </c>
    </row>
    <row r="8" spans="1:26" ht="23.25" customHeight="1" x14ac:dyDescent="0.25">
      <c r="A8" s="5" t="s">
        <v>122</v>
      </c>
      <c r="B8" t="s">
        <v>149</v>
      </c>
      <c r="C8">
        <v>19</v>
      </c>
      <c r="D8">
        <v>0</v>
      </c>
      <c r="E8">
        <v>0</v>
      </c>
      <c r="F8">
        <v>0</v>
      </c>
      <c r="G8">
        <v>29</v>
      </c>
      <c r="H8">
        <v>0</v>
      </c>
      <c r="I8">
        <v>3</v>
      </c>
      <c r="J8">
        <v>11</v>
      </c>
      <c r="K8">
        <v>0</v>
      </c>
      <c r="L8">
        <v>0</v>
      </c>
      <c r="M8">
        <v>0</v>
      </c>
      <c r="N8">
        <v>0</v>
      </c>
      <c r="O8">
        <v>6</v>
      </c>
      <c r="P8">
        <v>0</v>
      </c>
      <c r="Q8">
        <v>0</v>
      </c>
      <c r="R8">
        <v>0</v>
      </c>
      <c r="S8">
        <v>0</v>
      </c>
      <c r="T8">
        <v>0</v>
      </c>
      <c r="U8">
        <v>103</v>
      </c>
      <c r="V8">
        <v>0</v>
      </c>
      <c r="W8">
        <v>0</v>
      </c>
      <c r="X8">
        <v>0</v>
      </c>
      <c r="Y8">
        <v>1</v>
      </c>
      <c r="Z8">
        <f>SUM(Table2[[#This Row],[American Sign Language Total]:[Other Total]])</f>
        <v>172</v>
      </c>
    </row>
    <row r="9" spans="1:26" ht="30" x14ac:dyDescent="0.25">
      <c r="A9" s="5" t="s">
        <v>123</v>
      </c>
      <c r="B9" t="s">
        <v>123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f>SUM(Table2[[#This Row],[American Sign Language Total]:[Other Total]])</f>
        <v>2</v>
      </c>
    </row>
    <row r="10" spans="1:26" x14ac:dyDescent="0.25">
      <c r="A10" s="5" t="s">
        <v>124</v>
      </c>
      <c r="B10" s="5" t="s">
        <v>150</v>
      </c>
      <c r="C10">
        <v>0</v>
      </c>
      <c r="D10">
        <v>0</v>
      </c>
      <c r="E10">
        <v>0</v>
      </c>
      <c r="F10">
        <v>0</v>
      </c>
      <c r="G10">
        <v>44</v>
      </c>
      <c r="H10">
        <v>0</v>
      </c>
      <c r="I10">
        <v>25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65</v>
      </c>
      <c r="V10">
        <v>0</v>
      </c>
      <c r="W10">
        <v>0</v>
      </c>
      <c r="X10">
        <v>0</v>
      </c>
      <c r="Y10">
        <v>0</v>
      </c>
      <c r="Z10">
        <f>SUM(Table2[[#This Row],[American Sign Language Total]:[Other Total]])</f>
        <v>135</v>
      </c>
    </row>
    <row r="11" spans="1:26" x14ac:dyDescent="0.25">
      <c r="A11" s="5" t="s">
        <v>125</v>
      </c>
      <c r="B11" s="5" t="s">
        <v>125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>
        <f>SUM(Table2[[#This Row],[American Sign Language Total]:[Other Total]])</f>
        <v>1</v>
      </c>
    </row>
    <row r="12" spans="1:26" ht="30" x14ac:dyDescent="0.25">
      <c r="A12" s="5" t="s">
        <v>126</v>
      </c>
      <c r="B12" t="s">
        <v>126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0</v>
      </c>
      <c r="W12">
        <v>0</v>
      </c>
      <c r="X12">
        <v>0</v>
      </c>
      <c r="Y12">
        <v>0</v>
      </c>
      <c r="Z12">
        <f>SUM(Table2[[#This Row],[American Sign Language Total]:[Other Total]])</f>
        <v>1</v>
      </c>
    </row>
    <row r="13" spans="1:26" ht="45" x14ac:dyDescent="0.25">
      <c r="A13" s="5" t="s">
        <v>127</v>
      </c>
      <c r="B13" s="5" t="s">
        <v>145</v>
      </c>
      <c r="C13">
        <v>5</v>
      </c>
      <c r="D13">
        <v>7</v>
      </c>
      <c r="E13">
        <v>0</v>
      </c>
      <c r="F13">
        <v>0</v>
      </c>
      <c r="G13">
        <v>214</v>
      </c>
      <c r="H13">
        <v>0</v>
      </c>
      <c r="I13">
        <v>53</v>
      </c>
      <c r="J13">
        <v>0</v>
      </c>
      <c r="K13">
        <v>0</v>
      </c>
      <c r="L13">
        <v>8</v>
      </c>
      <c r="M13">
        <v>0</v>
      </c>
      <c r="N13">
        <v>0</v>
      </c>
      <c r="O13">
        <v>9</v>
      </c>
      <c r="P13">
        <v>0</v>
      </c>
      <c r="Q13">
        <v>0</v>
      </c>
      <c r="R13">
        <v>0</v>
      </c>
      <c r="S13">
        <v>0</v>
      </c>
      <c r="T13">
        <v>0</v>
      </c>
      <c r="U13">
        <v>165</v>
      </c>
      <c r="V13">
        <v>0</v>
      </c>
      <c r="W13">
        <v>0</v>
      </c>
      <c r="X13">
        <v>0</v>
      </c>
      <c r="Y13">
        <v>29</v>
      </c>
      <c r="Z13">
        <f>SUM(Table2[[#This Row],[American Sign Language Total]:[Other Total]])</f>
        <v>490</v>
      </c>
    </row>
    <row r="14" spans="1:26" x14ac:dyDescent="0.25">
      <c r="A14" s="5" t="s">
        <v>128</v>
      </c>
      <c r="B14" s="5" t="s">
        <v>152</v>
      </c>
      <c r="C14">
        <v>0</v>
      </c>
      <c r="D14">
        <v>0</v>
      </c>
      <c r="E14">
        <v>0</v>
      </c>
      <c r="F14">
        <v>0</v>
      </c>
      <c r="G14">
        <v>2</v>
      </c>
      <c r="H14">
        <v>0</v>
      </c>
      <c r="I14">
        <v>12</v>
      </c>
      <c r="J14">
        <v>0</v>
      </c>
      <c r="K14">
        <v>0</v>
      </c>
      <c r="L14">
        <v>0</v>
      </c>
      <c r="M14">
        <v>0</v>
      </c>
      <c r="N14">
        <v>0</v>
      </c>
      <c r="O14">
        <v>8</v>
      </c>
      <c r="P14">
        <v>0</v>
      </c>
      <c r="Q14">
        <v>0</v>
      </c>
      <c r="R14">
        <v>0</v>
      </c>
      <c r="S14">
        <v>0</v>
      </c>
      <c r="T14">
        <v>0</v>
      </c>
      <c r="U14">
        <v>106</v>
      </c>
      <c r="V14">
        <v>4</v>
      </c>
      <c r="W14">
        <v>0</v>
      </c>
      <c r="X14">
        <v>0</v>
      </c>
      <c r="Y14">
        <v>0</v>
      </c>
      <c r="Z14">
        <f>SUM(Table2[[#This Row],[American Sign Language Total]:[Other Total]])</f>
        <v>132</v>
      </c>
    </row>
    <row r="15" spans="1:26" ht="30" x14ac:dyDescent="0.25">
      <c r="A15" s="5" t="s">
        <v>129</v>
      </c>
      <c r="B15" s="5" t="s">
        <v>129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21</v>
      </c>
      <c r="V15">
        <v>0</v>
      </c>
      <c r="W15">
        <v>0</v>
      </c>
      <c r="X15">
        <v>0</v>
      </c>
      <c r="Y15">
        <v>0</v>
      </c>
      <c r="Z15">
        <f>SUM(Table2[[#This Row],[American Sign Language Total]:[Other Total]])</f>
        <v>21</v>
      </c>
    </row>
    <row r="16" spans="1:26" x14ac:dyDescent="0.25">
      <c r="A16" s="5" t="s">
        <v>130</v>
      </c>
      <c r="B16" s="5" t="s">
        <v>130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50</v>
      </c>
      <c r="V16">
        <v>0</v>
      </c>
      <c r="W16">
        <v>0</v>
      </c>
      <c r="X16">
        <v>0</v>
      </c>
      <c r="Y16">
        <v>0</v>
      </c>
      <c r="Z16">
        <f>SUM(Table2[[#This Row],[American Sign Language Total]:[Other Total]])</f>
        <v>50</v>
      </c>
    </row>
    <row r="17" spans="1:26" x14ac:dyDescent="0.25">
      <c r="A17" s="5" t="s">
        <v>131</v>
      </c>
      <c r="B17" s="5" t="s">
        <v>151</v>
      </c>
      <c r="C17">
        <v>1</v>
      </c>
      <c r="D17">
        <v>0</v>
      </c>
      <c r="E17">
        <v>0</v>
      </c>
      <c r="F17">
        <v>0</v>
      </c>
      <c r="G17">
        <v>1</v>
      </c>
      <c r="H17">
        <v>0</v>
      </c>
      <c r="I17">
        <v>10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3</v>
      </c>
      <c r="R17">
        <v>0</v>
      </c>
      <c r="S17">
        <v>0</v>
      </c>
      <c r="T17">
        <v>0</v>
      </c>
      <c r="U17">
        <v>105</v>
      </c>
      <c r="V17">
        <v>0</v>
      </c>
      <c r="W17">
        <v>0</v>
      </c>
      <c r="X17">
        <v>0</v>
      </c>
      <c r="Y17">
        <v>0</v>
      </c>
      <c r="Z17">
        <f>SUM(Table2[[#This Row],[American Sign Language Total]:[Other Total]])</f>
        <v>120</v>
      </c>
    </row>
    <row r="18" spans="1:26" x14ac:dyDescent="0.25">
      <c r="A18" s="5" t="s">
        <v>132</v>
      </c>
      <c r="B18" t="s">
        <v>132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35</v>
      </c>
      <c r="V18">
        <v>0</v>
      </c>
      <c r="W18">
        <v>0</v>
      </c>
      <c r="X18">
        <v>0</v>
      </c>
      <c r="Y18">
        <v>0</v>
      </c>
      <c r="Z18">
        <f>SUM(Table2[[#This Row],[American Sign Language Total]:[Other Total]])</f>
        <v>35</v>
      </c>
    </row>
    <row r="19" spans="1:26" x14ac:dyDescent="0.25">
      <c r="A19" s="14" t="s">
        <v>133</v>
      </c>
      <c r="B19" s="5" t="s">
        <v>153</v>
      </c>
      <c r="C19">
        <v>0</v>
      </c>
      <c r="D19">
        <v>0</v>
      </c>
      <c r="E19">
        <v>0</v>
      </c>
      <c r="F19">
        <v>0</v>
      </c>
      <c r="G19">
        <v>10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10</v>
      </c>
      <c r="T19">
        <v>0</v>
      </c>
      <c r="U19">
        <v>35</v>
      </c>
      <c r="V19">
        <v>0</v>
      </c>
      <c r="W19">
        <v>0</v>
      </c>
      <c r="X19">
        <v>0</v>
      </c>
      <c r="Y19">
        <v>0</v>
      </c>
      <c r="Z19" s="6">
        <f>SUM(Table2[[#This Row],[American Sign Language Total]:[Other Total]])</f>
        <v>55</v>
      </c>
    </row>
    <row r="20" spans="1:26" x14ac:dyDescent="0.25">
      <c r="A20" s="14" t="s">
        <v>134</v>
      </c>
      <c r="B20" s="5" t="s">
        <v>154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24</v>
      </c>
      <c r="V20">
        <v>0</v>
      </c>
      <c r="W20">
        <v>0</v>
      </c>
      <c r="X20">
        <v>0</v>
      </c>
      <c r="Y20">
        <v>0</v>
      </c>
      <c r="Z20" s="6">
        <f>SUM(Table2[[#This Row],[American Sign Language Total]:[Other Total]])</f>
        <v>26</v>
      </c>
    </row>
    <row r="21" spans="1:26" ht="75" x14ac:dyDescent="0.25">
      <c r="A21" s="14" t="s">
        <v>135</v>
      </c>
      <c r="B21" s="5" t="s">
        <v>1085</v>
      </c>
      <c r="C21">
        <v>0</v>
      </c>
      <c r="D21">
        <v>20</v>
      </c>
      <c r="E21">
        <v>0</v>
      </c>
      <c r="F21">
        <v>0</v>
      </c>
      <c r="G21">
        <v>20</v>
      </c>
      <c r="H21">
        <v>0</v>
      </c>
      <c r="I21">
        <v>10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1</v>
      </c>
      <c r="U21">
        <v>156</v>
      </c>
      <c r="V21">
        <v>1</v>
      </c>
      <c r="W21">
        <v>1</v>
      </c>
      <c r="X21">
        <v>10</v>
      </c>
      <c r="Y21">
        <v>30</v>
      </c>
      <c r="Z21" s="6">
        <f>SUM(Table2[[#This Row],[American Sign Language Total]:[Other Total]])</f>
        <v>250</v>
      </c>
    </row>
    <row r="22" spans="1:26" x14ac:dyDescent="0.25">
      <c r="A22" s="14" t="s">
        <v>136</v>
      </c>
      <c r="B22" s="5" t="s">
        <v>136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35</v>
      </c>
      <c r="V22">
        <v>0</v>
      </c>
      <c r="W22">
        <v>0</v>
      </c>
      <c r="X22">
        <v>0</v>
      </c>
      <c r="Y22">
        <v>0</v>
      </c>
      <c r="Z22" s="6">
        <f>SUM(Table2[[#This Row],[American Sign Language Total]:[Other Total]])</f>
        <v>35</v>
      </c>
    </row>
    <row r="23" spans="1:26" x14ac:dyDescent="0.25">
      <c r="A23" s="14" t="s">
        <v>137</v>
      </c>
      <c r="B23" s="5" t="s">
        <v>155</v>
      </c>
      <c r="C23">
        <v>0</v>
      </c>
      <c r="D23">
        <v>0</v>
      </c>
      <c r="E23">
        <v>0</v>
      </c>
      <c r="F23">
        <v>0</v>
      </c>
      <c r="G23">
        <v>7</v>
      </c>
      <c r="H23">
        <v>0</v>
      </c>
      <c r="I23">
        <v>1</v>
      </c>
      <c r="J23">
        <v>0</v>
      </c>
      <c r="K23">
        <v>0</v>
      </c>
      <c r="L23">
        <v>0</v>
      </c>
      <c r="M23">
        <v>0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7</v>
      </c>
      <c r="V23">
        <v>0</v>
      </c>
      <c r="W23">
        <v>0</v>
      </c>
      <c r="X23">
        <v>0</v>
      </c>
      <c r="Y23">
        <v>0</v>
      </c>
      <c r="Z23" s="6">
        <f>SUM(Table2[[#This Row],[American Sign Language Total]:[Other Total]])</f>
        <v>16</v>
      </c>
    </row>
    <row r="24" spans="1:26" x14ac:dyDescent="0.25">
      <c r="A24" s="14" t="s">
        <v>138</v>
      </c>
      <c r="B24" s="5" t="s">
        <v>1084</v>
      </c>
      <c r="C24">
        <v>48</v>
      </c>
      <c r="D24">
        <v>0</v>
      </c>
      <c r="E24">
        <v>0</v>
      </c>
      <c r="F24">
        <v>0</v>
      </c>
      <c r="G24">
        <v>49</v>
      </c>
      <c r="H24">
        <v>0</v>
      </c>
      <c r="I24">
        <v>65</v>
      </c>
      <c r="J24">
        <v>1</v>
      </c>
      <c r="K24">
        <v>0</v>
      </c>
      <c r="L24">
        <v>2</v>
      </c>
      <c r="M24">
        <v>0</v>
      </c>
      <c r="N24">
        <v>0</v>
      </c>
      <c r="O24">
        <v>25</v>
      </c>
      <c r="P24">
        <v>0</v>
      </c>
      <c r="Q24">
        <v>0</v>
      </c>
      <c r="R24">
        <v>0</v>
      </c>
      <c r="S24">
        <v>0</v>
      </c>
      <c r="T24">
        <v>4</v>
      </c>
      <c r="U24">
        <v>178</v>
      </c>
      <c r="V24">
        <v>0</v>
      </c>
      <c r="W24">
        <v>0</v>
      </c>
      <c r="X24">
        <v>1</v>
      </c>
      <c r="Y24">
        <v>3</v>
      </c>
      <c r="Z24" s="6">
        <f>SUM(Table2[[#This Row],[American Sign Language Total]:[Other Total]])</f>
        <v>376</v>
      </c>
    </row>
    <row r="25" spans="1:26" x14ac:dyDescent="0.25">
      <c r="A25" s="14" t="s">
        <v>139</v>
      </c>
      <c r="B25" s="5" t="s">
        <v>156</v>
      </c>
      <c r="C25">
        <v>0</v>
      </c>
      <c r="D25">
        <v>0</v>
      </c>
      <c r="E25">
        <v>0</v>
      </c>
      <c r="F25">
        <v>0</v>
      </c>
      <c r="G25">
        <v>24</v>
      </c>
      <c r="H25">
        <v>0</v>
      </c>
      <c r="I25">
        <v>4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44</v>
      </c>
      <c r="V25">
        <v>0</v>
      </c>
      <c r="W25">
        <v>0</v>
      </c>
      <c r="X25">
        <v>2</v>
      </c>
      <c r="Y25">
        <v>0</v>
      </c>
      <c r="Z25" s="6">
        <f>SUM(Table2[[#This Row],[American Sign Language Total]:[Other Total]])</f>
        <v>74</v>
      </c>
    </row>
    <row r="26" spans="1:26" x14ac:dyDescent="0.25">
      <c r="A26" s="14" t="s">
        <v>140</v>
      </c>
      <c r="B26" s="5" t="s">
        <v>146</v>
      </c>
      <c r="C26">
        <v>0</v>
      </c>
      <c r="D26">
        <v>0</v>
      </c>
      <c r="E26">
        <v>0</v>
      </c>
      <c r="F26">
        <v>0</v>
      </c>
      <c r="G26">
        <v>19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28</v>
      </c>
      <c r="V26">
        <v>0</v>
      </c>
      <c r="W26">
        <v>0</v>
      </c>
      <c r="X26">
        <v>0</v>
      </c>
      <c r="Y26">
        <v>0</v>
      </c>
      <c r="Z26" s="6">
        <f>SUM(Table2[[#This Row],[American Sign Language Total]:[Other Total]])</f>
        <v>47</v>
      </c>
    </row>
    <row r="27" spans="1:26" ht="15.6" x14ac:dyDescent="0.25">
      <c r="A27" s="15" t="s">
        <v>141</v>
      </c>
      <c r="B27" s="26" t="s">
        <v>800</v>
      </c>
      <c r="C27" s="8">
        <f>SUBTOTAL(109,Table2[American Sign Language Total])</f>
        <v>76</v>
      </c>
      <c r="D27" s="8">
        <f>SUBTOTAL(109,Table2[Arabic Total])</f>
        <v>28</v>
      </c>
      <c r="E27" s="8">
        <f>SUBTOTAL(109,Table2[Armenian Total])</f>
        <v>0</v>
      </c>
      <c r="F27" s="8">
        <f>SUBTOTAL(109,Table2[Bengali Total])</f>
        <v>0</v>
      </c>
      <c r="G27" s="8">
        <f>SUBTOTAL(109,Table2[Chinese (Mandarin or Cantonese) Total])</f>
        <v>476</v>
      </c>
      <c r="H27" s="8">
        <f>SUBTOTAL(109,Table2[Farsi (Persian) Total])</f>
        <v>0</v>
      </c>
      <c r="I27" s="8">
        <f>SUBTOTAL(109,Table2[French Total])</f>
        <v>209</v>
      </c>
      <c r="J27" s="8">
        <f>SUBTOTAL(109,Table2[German Total])</f>
        <v>17</v>
      </c>
      <c r="K27" s="8">
        <f>SUBTOTAL(109,Table2[Hebrew Total])</f>
        <v>0</v>
      </c>
      <c r="L27" s="8">
        <f>SUBTOTAL(109,Table2[Hindi Total])</f>
        <v>11</v>
      </c>
      <c r="M27" s="8">
        <f>SUBTOTAL(109,Table2[Hmong Total])</f>
        <v>0</v>
      </c>
      <c r="N27" s="8">
        <f>SUBTOTAL(109,Table2[Italian Total])</f>
        <v>1</v>
      </c>
      <c r="O27" s="8">
        <f>SUBTOTAL(109,Table2[Japanese Total])</f>
        <v>54</v>
      </c>
      <c r="P27" s="8">
        <f>SUBTOTAL(109,Table2[Korean Total])</f>
        <v>1</v>
      </c>
      <c r="Q27" s="8">
        <f>SUBTOTAL(109,Table2[Latin Total])</f>
        <v>3</v>
      </c>
      <c r="R27" s="8">
        <f>SUBTOTAL(109,Table2[Portuguese Total])</f>
        <v>0</v>
      </c>
      <c r="S27" s="8">
        <f>SUBTOTAL(109,Table2[Punjabi Total])</f>
        <v>10</v>
      </c>
      <c r="T27" s="8">
        <f>SUBTOTAL(109,Table2[Russian Total])</f>
        <v>5</v>
      </c>
      <c r="U27" s="8">
        <f>SUBTOTAL(109,Table2[Spanish Total])</f>
        <v>1347</v>
      </c>
      <c r="V27" s="8">
        <f>SUBTOTAL(109,Table2[Tagalog (Filipino) Total])</f>
        <v>5</v>
      </c>
      <c r="W27" s="8">
        <f>SUBTOTAL(109,Table2[Urdu Total])</f>
        <v>2</v>
      </c>
      <c r="X27" s="8">
        <f>SUBTOTAL(109,Table2[Vietnamese Total])</f>
        <v>13</v>
      </c>
      <c r="Y27" s="8">
        <f>SUBTOTAL(109,Table2[Other Total])</f>
        <v>67</v>
      </c>
      <c r="Z27" s="8">
        <f>SUBTOTAL(109,Table2[Total Seals per LEA])</f>
        <v>2325</v>
      </c>
    </row>
  </sheetData>
  <sortState xmlns:xlrd2="http://schemas.microsoft.com/office/spreadsheetml/2017/richdata2" ref="A2:AF23">
    <sortCondition ref="A2:A2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18EFA-2FDD-4ACE-AAB6-6CB6DC52876D}">
  <dimension ref="A1:A161"/>
  <sheetViews>
    <sheetView workbookViewId="0"/>
  </sheetViews>
  <sheetFormatPr defaultRowHeight="15" x14ac:dyDescent="0.25"/>
  <cols>
    <col min="1" max="1" width="79.36328125" customWidth="1"/>
  </cols>
  <sheetData>
    <row r="1" spans="1:1" ht="18.75" customHeight="1" x14ac:dyDescent="0.3">
      <c r="A1" s="24" t="s">
        <v>102</v>
      </c>
    </row>
    <row r="2" spans="1:1" x14ac:dyDescent="0.25">
      <c r="A2" t="s">
        <v>115</v>
      </c>
    </row>
    <row r="3" spans="1:1" x14ac:dyDescent="0.25">
      <c r="A3" t="s">
        <v>427</v>
      </c>
    </row>
    <row r="4" spans="1:1" x14ac:dyDescent="0.25">
      <c r="A4" t="s">
        <v>428</v>
      </c>
    </row>
    <row r="5" spans="1:1" x14ac:dyDescent="0.25">
      <c r="A5" t="s">
        <v>429</v>
      </c>
    </row>
    <row r="6" spans="1:1" x14ac:dyDescent="0.25">
      <c r="A6" t="s">
        <v>430</v>
      </c>
    </row>
    <row r="7" spans="1:1" x14ac:dyDescent="0.25">
      <c r="A7" t="s">
        <v>431</v>
      </c>
    </row>
    <row r="8" spans="1:1" x14ac:dyDescent="0.25">
      <c r="A8" t="s">
        <v>432</v>
      </c>
    </row>
    <row r="9" spans="1:1" x14ac:dyDescent="0.25">
      <c r="A9" t="s">
        <v>433</v>
      </c>
    </row>
    <row r="10" spans="1:1" x14ac:dyDescent="0.25">
      <c r="A10" t="s">
        <v>434</v>
      </c>
    </row>
    <row r="11" spans="1:1" x14ac:dyDescent="0.25">
      <c r="A11" t="s">
        <v>435</v>
      </c>
    </row>
    <row r="12" spans="1:1" x14ac:dyDescent="0.25">
      <c r="A12" t="s">
        <v>436</v>
      </c>
    </row>
    <row r="13" spans="1:1" x14ac:dyDescent="0.25">
      <c r="A13" t="s">
        <v>437</v>
      </c>
    </row>
    <row r="14" spans="1:1" x14ac:dyDescent="0.25">
      <c r="A14" t="s">
        <v>438</v>
      </c>
    </row>
    <row r="15" spans="1:1" x14ac:dyDescent="0.25">
      <c r="A15" t="s">
        <v>439</v>
      </c>
    </row>
    <row r="16" spans="1:1" x14ac:dyDescent="0.25">
      <c r="A16" t="s">
        <v>440</v>
      </c>
    </row>
    <row r="17" spans="1:1" x14ac:dyDescent="0.25">
      <c r="A17" t="s">
        <v>441</v>
      </c>
    </row>
    <row r="18" spans="1:1" x14ac:dyDescent="0.25">
      <c r="A18" t="s">
        <v>442</v>
      </c>
    </row>
    <row r="19" spans="1:1" x14ac:dyDescent="0.25">
      <c r="A19" t="s">
        <v>443</v>
      </c>
    </row>
    <row r="20" spans="1:1" x14ac:dyDescent="0.25">
      <c r="A20" t="s">
        <v>444</v>
      </c>
    </row>
    <row r="21" spans="1:1" x14ac:dyDescent="0.25">
      <c r="A21" t="s">
        <v>445</v>
      </c>
    </row>
    <row r="22" spans="1:1" x14ac:dyDescent="0.25">
      <c r="A22" t="s">
        <v>446</v>
      </c>
    </row>
    <row r="23" spans="1:1" x14ac:dyDescent="0.25">
      <c r="A23" t="s">
        <v>447</v>
      </c>
    </row>
    <row r="24" spans="1:1" x14ac:dyDescent="0.25">
      <c r="A24" t="s">
        <v>448</v>
      </c>
    </row>
    <row r="25" spans="1:1" x14ac:dyDescent="0.25">
      <c r="A25" t="s">
        <v>449</v>
      </c>
    </row>
    <row r="26" spans="1:1" x14ac:dyDescent="0.25">
      <c r="A26" t="s">
        <v>450</v>
      </c>
    </row>
    <row r="27" spans="1:1" x14ac:dyDescent="0.25">
      <c r="A27" t="s">
        <v>451</v>
      </c>
    </row>
    <row r="28" spans="1:1" x14ac:dyDescent="0.25">
      <c r="A28" t="s">
        <v>452</v>
      </c>
    </row>
    <row r="29" spans="1:1" x14ac:dyDescent="0.25">
      <c r="A29" t="s">
        <v>453</v>
      </c>
    </row>
    <row r="30" spans="1:1" x14ac:dyDescent="0.25">
      <c r="A30" t="s">
        <v>454</v>
      </c>
    </row>
    <row r="31" spans="1:1" x14ac:dyDescent="0.25">
      <c r="A31" t="s">
        <v>455</v>
      </c>
    </row>
    <row r="32" spans="1:1" x14ac:dyDescent="0.25">
      <c r="A32" t="s">
        <v>456</v>
      </c>
    </row>
    <row r="33" spans="1:1" x14ac:dyDescent="0.25">
      <c r="A33" t="s">
        <v>457</v>
      </c>
    </row>
    <row r="34" spans="1:1" x14ac:dyDescent="0.25">
      <c r="A34" t="s">
        <v>458</v>
      </c>
    </row>
    <row r="35" spans="1:1" x14ac:dyDescent="0.25">
      <c r="A35" t="s">
        <v>459</v>
      </c>
    </row>
    <row r="36" spans="1:1" x14ac:dyDescent="0.25">
      <c r="A36" t="s">
        <v>460</v>
      </c>
    </row>
    <row r="37" spans="1:1" x14ac:dyDescent="0.25">
      <c r="A37" t="s">
        <v>461</v>
      </c>
    </row>
    <row r="38" spans="1:1" x14ac:dyDescent="0.25">
      <c r="A38" t="s">
        <v>462</v>
      </c>
    </row>
    <row r="39" spans="1:1" x14ac:dyDescent="0.25">
      <c r="A39" t="s">
        <v>463</v>
      </c>
    </row>
    <row r="40" spans="1:1" x14ac:dyDescent="0.25">
      <c r="A40" t="s">
        <v>464</v>
      </c>
    </row>
    <row r="41" spans="1:1" x14ac:dyDescent="0.25">
      <c r="A41" t="s">
        <v>465</v>
      </c>
    </row>
    <row r="42" spans="1:1" x14ac:dyDescent="0.25">
      <c r="A42" t="s">
        <v>466</v>
      </c>
    </row>
    <row r="43" spans="1:1" x14ac:dyDescent="0.25">
      <c r="A43" t="s">
        <v>467</v>
      </c>
    </row>
    <row r="44" spans="1:1" x14ac:dyDescent="0.25">
      <c r="A44" t="s">
        <v>468</v>
      </c>
    </row>
    <row r="45" spans="1:1" x14ac:dyDescent="0.25">
      <c r="A45" t="s">
        <v>469</v>
      </c>
    </row>
    <row r="46" spans="1:1" x14ac:dyDescent="0.25">
      <c r="A46" t="s">
        <v>470</v>
      </c>
    </row>
    <row r="47" spans="1:1" x14ac:dyDescent="0.25">
      <c r="A47" t="s">
        <v>471</v>
      </c>
    </row>
    <row r="48" spans="1:1" x14ac:dyDescent="0.25">
      <c r="A48" t="s">
        <v>472</v>
      </c>
    </row>
    <row r="49" spans="1:1" x14ac:dyDescent="0.25">
      <c r="A49" t="s">
        <v>473</v>
      </c>
    </row>
    <row r="50" spans="1:1" x14ac:dyDescent="0.25">
      <c r="A50" t="s">
        <v>474</v>
      </c>
    </row>
    <row r="51" spans="1:1" x14ac:dyDescent="0.25">
      <c r="A51" t="s">
        <v>475</v>
      </c>
    </row>
    <row r="52" spans="1:1" x14ac:dyDescent="0.25">
      <c r="A52" t="s">
        <v>476</v>
      </c>
    </row>
    <row r="53" spans="1:1" x14ac:dyDescent="0.25">
      <c r="A53" t="s">
        <v>477</v>
      </c>
    </row>
    <row r="54" spans="1:1" x14ac:dyDescent="0.25">
      <c r="A54" t="s">
        <v>478</v>
      </c>
    </row>
    <row r="55" spans="1:1" x14ac:dyDescent="0.25">
      <c r="A55" t="s">
        <v>479</v>
      </c>
    </row>
    <row r="56" spans="1:1" x14ac:dyDescent="0.25">
      <c r="A56" t="s">
        <v>480</v>
      </c>
    </row>
    <row r="57" spans="1:1" x14ac:dyDescent="0.25">
      <c r="A57" t="s">
        <v>481</v>
      </c>
    </row>
    <row r="58" spans="1:1" x14ac:dyDescent="0.25">
      <c r="A58" t="s">
        <v>482</v>
      </c>
    </row>
    <row r="59" spans="1:1" x14ac:dyDescent="0.25">
      <c r="A59" t="s">
        <v>483</v>
      </c>
    </row>
    <row r="60" spans="1:1" x14ac:dyDescent="0.25">
      <c r="A60" t="s">
        <v>484</v>
      </c>
    </row>
    <row r="61" spans="1:1" x14ac:dyDescent="0.25">
      <c r="A61" t="s">
        <v>485</v>
      </c>
    </row>
    <row r="62" spans="1:1" x14ac:dyDescent="0.25">
      <c r="A62" t="s">
        <v>486</v>
      </c>
    </row>
    <row r="63" spans="1:1" x14ac:dyDescent="0.25">
      <c r="A63" t="s">
        <v>487</v>
      </c>
    </row>
    <row r="64" spans="1:1" x14ac:dyDescent="0.25">
      <c r="A64" t="s">
        <v>488</v>
      </c>
    </row>
    <row r="65" spans="1:1" x14ac:dyDescent="0.25">
      <c r="A65" t="s">
        <v>489</v>
      </c>
    </row>
    <row r="66" spans="1:1" x14ac:dyDescent="0.25">
      <c r="A66" t="s">
        <v>490</v>
      </c>
    </row>
    <row r="67" spans="1:1" x14ac:dyDescent="0.25">
      <c r="A67" t="s">
        <v>491</v>
      </c>
    </row>
    <row r="68" spans="1:1" x14ac:dyDescent="0.25">
      <c r="A68" t="s">
        <v>492</v>
      </c>
    </row>
    <row r="69" spans="1:1" x14ac:dyDescent="0.25">
      <c r="A69" t="s">
        <v>493</v>
      </c>
    </row>
    <row r="70" spans="1:1" x14ac:dyDescent="0.25">
      <c r="A70" t="s">
        <v>494</v>
      </c>
    </row>
    <row r="71" spans="1:1" x14ac:dyDescent="0.25">
      <c r="A71" t="s">
        <v>495</v>
      </c>
    </row>
    <row r="72" spans="1:1" x14ac:dyDescent="0.25">
      <c r="A72" t="s">
        <v>496</v>
      </c>
    </row>
    <row r="73" spans="1:1" x14ac:dyDescent="0.25">
      <c r="A73" t="s">
        <v>497</v>
      </c>
    </row>
    <row r="74" spans="1:1" x14ac:dyDescent="0.25">
      <c r="A74" t="s">
        <v>498</v>
      </c>
    </row>
    <row r="75" spans="1:1" x14ac:dyDescent="0.25">
      <c r="A75" t="s">
        <v>499</v>
      </c>
    </row>
    <row r="76" spans="1:1" x14ac:dyDescent="0.25">
      <c r="A76" t="s">
        <v>500</v>
      </c>
    </row>
    <row r="77" spans="1:1" x14ac:dyDescent="0.25">
      <c r="A77" t="s">
        <v>501</v>
      </c>
    </row>
    <row r="78" spans="1:1" x14ac:dyDescent="0.25">
      <c r="A78" t="s">
        <v>502</v>
      </c>
    </row>
    <row r="79" spans="1:1" x14ac:dyDescent="0.25">
      <c r="A79" t="s">
        <v>503</v>
      </c>
    </row>
    <row r="80" spans="1:1" x14ac:dyDescent="0.25">
      <c r="A80" t="s">
        <v>504</v>
      </c>
    </row>
    <row r="81" spans="1:1" x14ac:dyDescent="0.25">
      <c r="A81" t="s">
        <v>505</v>
      </c>
    </row>
    <row r="82" spans="1:1" x14ac:dyDescent="0.25">
      <c r="A82" t="s">
        <v>506</v>
      </c>
    </row>
    <row r="83" spans="1:1" x14ac:dyDescent="0.25">
      <c r="A83" t="s">
        <v>507</v>
      </c>
    </row>
    <row r="84" spans="1:1" x14ac:dyDescent="0.25">
      <c r="A84" t="s">
        <v>508</v>
      </c>
    </row>
    <row r="85" spans="1:1" x14ac:dyDescent="0.25">
      <c r="A85" t="s">
        <v>509</v>
      </c>
    </row>
    <row r="86" spans="1:1" x14ac:dyDescent="0.25">
      <c r="A86" t="s">
        <v>510</v>
      </c>
    </row>
    <row r="87" spans="1:1" x14ac:dyDescent="0.25">
      <c r="A87" t="s">
        <v>511</v>
      </c>
    </row>
    <row r="88" spans="1:1" x14ac:dyDescent="0.25">
      <c r="A88" t="s">
        <v>512</v>
      </c>
    </row>
    <row r="89" spans="1:1" x14ac:dyDescent="0.25">
      <c r="A89" t="s">
        <v>513</v>
      </c>
    </row>
    <row r="90" spans="1:1" x14ac:dyDescent="0.25">
      <c r="A90" t="s">
        <v>514</v>
      </c>
    </row>
    <row r="91" spans="1:1" x14ac:dyDescent="0.25">
      <c r="A91" t="s">
        <v>515</v>
      </c>
    </row>
    <row r="92" spans="1:1" x14ac:dyDescent="0.25">
      <c r="A92" t="s">
        <v>516</v>
      </c>
    </row>
    <row r="93" spans="1:1" x14ac:dyDescent="0.25">
      <c r="A93" t="s">
        <v>517</v>
      </c>
    </row>
    <row r="94" spans="1:1" x14ac:dyDescent="0.25">
      <c r="A94" t="s">
        <v>518</v>
      </c>
    </row>
    <row r="95" spans="1:1" x14ac:dyDescent="0.25">
      <c r="A95" t="s">
        <v>519</v>
      </c>
    </row>
    <row r="96" spans="1:1" x14ac:dyDescent="0.25">
      <c r="A96" t="s">
        <v>520</v>
      </c>
    </row>
    <row r="97" spans="1:1" x14ac:dyDescent="0.25">
      <c r="A97" t="s">
        <v>521</v>
      </c>
    </row>
    <row r="98" spans="1:1" x14ac:dyDescent="0.25">
      <c r="A98" t="s">
        <v>522</v>
      </c>
    </row>
    <row r="99" spans="1:1" x14ac:dyDescent="0.25">
      <c r="A99" t="s">
        <v>523</v>
      </c>
    </row>
    <row r="100" spans="1:1" x14ac:dyDescent="0.25">
      <c r="A100" t="s">
        <v>524</v>
      </c>
    </row>
    <row r="101" spans="1:1" x14ac:dyDescent="0.25">
      <c r="A101" t="s">
        <v>525</v>
      </c>
    </row>
    <row r="102" spans="1:1" x14ac:dyDescent="0.25">
      <c r="A102" t="s">
        <v>526</v>
      </c>
    </row>
    <row r="103" spans="1:1" x14ac:dyDescent="0.25">
      <c r="A103" t="s">
        <v>527</v>
      </c>
    </row>
    <row r="104" spans="1:1" x14ac:dyDescent="0.25">
      <c r="A104" t="s">
        <v>528</v>
      </c>
    </row>
    <row r="105" spans="1:1" x14ac:dyDescent="0.25">
      <c r="A105" t="s">
        <v>529</v>
      </c>
    </row>
    <row r="106" spans="1:1" x14ac:dyDescent="0.25">
      <c r="A106" t="s">
        <v>530</v>
      </c>
    </row>
    <row r="107" spans="1:1" x14ac:dyDescent="0.25">
      <c r="A107" t="s">
        <v>531</v>
      </c>
    </row>
    <row r="108" spans="1:1" x14ac:dyDescent="0.25">
      <c r="A108" t="s">
        <v>532</v>
      </c>
    </row>
    <row r="109" spans="1:1" x14ac:dyDescent="0.25">
      <c r="A109" t="s">
        <v>533</v>
      </c>
    </row>
    <row r="110" spans="1:1" x14ac:dyDescent="0.25">
      <c r="A110" t="s">
        <v>534</v>
      </c>
    </row>
    <row r="111" spans="1:1" x14ac:dyDescent="0.25">
      <c r="A111" t="s">
        <v>535</v>
      </c>
    </row>
    <row r="112" spans="1:1" x14ac:dyDescent="0.25">
      <c r="A112" t="s">
        <v>536</v>
      </c>
    </row>
    <row r="113" spans="1:1" x14ac:dyDescent="0.25">
      <c r="A113" t="s">
        <v>537</v>
      </c>
    </row>
    <row r="114" spans="1:1" x14ac:dyDescent="0.25">
      <c r="A114" t="s">
        <v>538</v>
      </c>
    </row>
    <row r="115" spans="1:1" x14ac:dyDescent="0.25">
      <c r="A115" t="s">
        <v>539</v>
      </c>
    </row>
    <row r="116" spans="1:1" x14ac:dyDescent="0.25">
      <c r="A116" t="s">
        <v>540</v>
      </c>
    </row>
    <row r="117" spans="1:1" x14ac:dyDescent="0.25">
      <c r="A117" t="s">
        <v>541</v>
      </c>
    </row>
    <row r="118" spans="1:1" x14ac:dyDescent="0.25">
      <c r="A118" t="s">
        <v>542</v>
      </c>
    </row>
    <row r="119" spans="1:1" x14ac:dyDescent="0.25">
      <c r="A119" t="s">
        <v>543</v>
      </c>
    </row>
    <row r="120" spans="1:1" x14ac:dyDescent="0.25">
      <c r="A120" t="s">
        <v>544</v>
      </c>
    </row>
    <row r="121" spans="1:1" x14ac:dyDescent="0.25">
      <c r="A121" t="s">
        <v>545</v>
      </c>
    </row>
    <row r="122" spans="1:1" x14ac:dyDescent="0.25">
      <c r="A122" t="s">
        <v>546</v>
      </c>
    </row>
    <row r="123" spans="1:1" x14ac:dyDescent="0.25">
      <c r="A123" t="s">
        <v>547</v>
      </c>
    </row>
    <row r="124" spans="1:1" x14ac:dyDescent="0.25">
      <c r="A124" t="s">
        <v>548</v>
      </c>
    </row>
    <row r="125" spans="1:1" x14ac:dyDescent="0.25">
      <c r="A125" t="s">
        <v>549</v>
      </c>
    </row>
    <row r="126" spans="1:1" x14ac:dyDescent="0.25">
      <c r="A126" t="s">
        <v>550</v>
      </c>
    </row>
    <row r="127" spans="1:1" x14ac:dyDescent="0.25">
      <c r="A127" t="s">
        <v>551</v>
      </c>
    </row>
    <row r="128" spans="1:1" x14ac:dyDescent="0.25">
      <c r="A128" t="s">
        <v>552</v>
      </c>
    </row>
    <row r="129" spans="1:1" x14ac:dyDescent="0.25">
      <c r="A129" t="s">
        <v>553</v>
      </c>
    </row>
    <row r="130" spans="1:1" x14ac:dyDescent="0.25">
      <c r="A130" t="s">
        <v>554</v>
      </c>
    </row>
    <row r="131" spans="1:1" x14ac:dyDescent="0.25">
      <c r="A131" t="s">
        <v>555</v>
      </c>
    </row>
    <row r="132" spans="1:1" x14ac:dyDescent="0.25">
      <c r="A132" t="s">
        <v>556</v>
      </c>
    </row>
    <row r="133" spans="1:1" x14ac:dyDescent="0.25">
      <c r="A133" t="s">
        <v>557</v>
      </c>
    </row>
    <row r="134" spans="1:1" x14ac:dyDescent="0.25">
      <c r="A134" t="s">
        <v>558</v>
      </c>
    </row>
    <row r="135" spans="1:1" x14ac:dyDescent="0.25">
      <c r="A135" t="s">
        <v>559</v>
      </c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</sheetData>
  <conditionalFormatting sqref="A1">
    <cfRule type="duplicateValues" dxfId="78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9.81640625" bestFit="1" customWidth="1"/>
    <col min="2" max="2" width="28.8164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24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560</v>
      </c>
      <c r="B3" s="5" t="s">
        <v>560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1</v>
      </c>
      <c r="S3">
        <v>3</v>
      </c>
      <c r="T3">
        <v>0</v>
      </c>
      <c r="U3">
        <v>67</v>
      </c>
      <c r="V3">
        <v>0</v>
      </c>
      <c r="W3">
        <v>0</v>
      </c>
      <c r="X3">
        <v>0</v>
      </c>
      <c r="Y3">
        <v>2</v>
      </c>
      <c r="Z3">
        <f>SUM(Madera[[#This Row],[American Sign Language Total]:[Other Total]])</f>
        <v>75</v>
      </c>
    </row>
    <row r="4" spans="1:26" x14ac:dyDescent="0.25">
      <c r="A4" s="6" t="s">
        <v>561</v>
      </c>
      <c r="B4" s="5" t="s">
        <v>564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3</v>
      </c>
      <c r="V4" s="6">
        <v>0</v>
      </c>
      <c r="W4" s="6">
        <v>0</v>
      </c>
      <c r="X4" s="6">
        <v>0</v>
      </c>
      <c r="Y4" s="6">
        <v>0</v>
      </c>
      <c r="Z4" s="6">
        <f>SUM(Madera[[#This Row],[American Sign Language Total]:[Other Total]])</f>
        <v>3</v>
      </c>
    </row>
    <row r="5" spans="1:26" ht="30" x14ac:dyDescent="0.25">
      <c r="A5" t="s">
        <v>562</v>
      </c>
      <c r="B5" s="5" t="s">
        <v>565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273</v>
      </c>
      <c r="V5">
        <v>0</v>
      </c>
      <c r="W5">
        <v>0</v>
      </c>
      <c r="X5">
        <v>0</v>
      </c>
      <c r="Y5">
        <v>0</v>
      </c>
      <c r="Z5">
        <f>SUM(Madera[[#This Row],[American Sign Language Total]:[Other Total]])</f>
        <v>279</v>
      </c>
    </row>
    <row r="6" spans="1:26" x14ac:dyDescent="0.25">
      <c r="A6" t="s">
        <v>563</v>
      </c>
      <c r="B6" s="5" t="s">
        <v>566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14</v>
      </c>
      <c r="V6">
        <v>0</v>
      </c>
      <c r="W6">
        <v>0</v>
      </c>
      <c r="X6">
        <v>0</v>
      </c>
      <c r="Y6">
        <v>0</v>
      </c>
      <c r="Z6">
        <f>SUM(Madera[[#This Row],[American Sign Language Total]:[Other Total]])</f>
        <v>15</v>
      </c>
    </row>
    <row r="7" spans="1:26" x14ac:dyDescent="0.25">
      <c r="A7" s="15" t="s">
        <v>186</v>
      </c>
      <c r="B7" s="26" t="s">
        <v>216</v>
      </c>
      <c r="C7">
        <f>SUBTOTAL(109,Madera[American Sign Language Total])</f>
        <v>0</v>
      </c>
      <c r="D7">
        <f>SUBTOTAL(109,Madera[Arabic Total])</f>
        <v>1</v>
      </c>
      <c r="E7">
        <f>SUBTOTAL(109,Madera[Armenian Total])</f>
        <v>0</v>
      </c>
      <c r="F7">
        <f>SUBTOTAL(109,Madera[Bengali Total])</f>
        <v>0</v>
      </c>
      <c r="G7">
        <f>SUBTOTAL(109,Madera[Chinese (Mandarin or Cantonese) Total])</f>
        <v>1</v>
      </c>
      <c r="H7">
        <f>SUBTOTAL(109,Madera[Farsi (Persian) Total])</f>
        <v>0</v>
      </c>
      <c r="I7">
        <f>SUBTOTAL(109,Madera[French Total])</f>
        <v>6</v>
      </c>
      <c r="J7">
        <f>SUBTOTAL(109,Madera[German Total])</f>
        <v>0</v>
      </c>
      <c r="K7">
        <f>SUBTOTAL(109,Madera[Hebrew Total])</f>
        <v>0</v>
      </c>
      <c r="L7">
        <f>SUBTOTAL(109,Madera[Hindi Total])</f>
        <v>0</v>
      </c>
      <c r="M7">
        <f>SUBTOTAL(109,Madera[Hmong Total])</f>
        <v>0</v>
      </c>
      <c r="N7">
        <f>SUBTOTAL(109,Madera[Italian Total])</f>
        <v>0</v>
      </c>
      <c r="O7">
        <f>SUBTOTAL(109,Madera[Japanese Total])</f>
        <v>0</v>
      </c>
      <c r="P7">
        <f>SUBTOTAL(109,Madera[Korean Total])</f>
        <v>1</v>
      </c>
      <c r="Q7">
        <f>SUBTOTAL(109,Madera[Latin Total])</f>
        <v>0</v>
      </c>
      <c r="R7">
        <f>SUBTOTAL(109,Madera[Portuguese Total])</f>
        <v>1</v>
      </c>
      <c r="S7">
        <f>SUBTOTAL(109,Madera[Punjabi Total])</f>
        <v>3</v>
      </c>
      <c r="T7">
        <f>SUBTOTAL(109,Madera[Russian Total])</f>
        <v>0</v>
      </c>
      <c r="U7">
        <f>SUBTOTAL(109,Madera[Spanish Total])</f>
        <v>357</v>
      </c>
      <c r="V7">
        <f>SUBTOTAL(109,Madera[Tagalog (Filipino) Total])</f>
        <v>0</v>
      </c>
      <c r="W7">
        <f>SUBTOTAL(109,Madera[Urdu Total])</f>
        <v>0</v>
      </c>
      <c r="X7">
        <f>SUBTOTAL(109,Madera[Vietnamese Total])</f>
        <v>0</v>
      </c>
      <c r="Y7">
        <f>SUBTOTAL(109,Madera[Other Total])</f>
        <v>2</v>
      </c>
      <c r="Z7">
        <f>SUBTOTAL(109,Madera[Total Seals per LEA])</f>
        <v>372</v>
      </c>
    </row>
  </sheetData>
  <conditionalFormatting sqref="A1:B2">
    <cfRule type="duplicateValues" dxfId="77" priority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1796875" bestFit="1" customWidth="1"/>
    <col min="2" max="2" width="32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11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567</v>
      </c>
      <c r="B3" s="5" t="s">
        <v>571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4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19</v>
      </c>
      <c r="V3">
        <v>0</v>
      </c>
      <c r="W3">
        <v>0</v>
      </c>
      <c r="X3">
        <v>0</v>
      </c>
      <c r="Y3">
        <v>0</v>
      </c>
      <c r="Z3">
        <f>SUM(Marin[[#This Row],[American Sign Language Total]:[Other Total]])</f>
        <v>24</v>
      </c>
    </row>
    <row r="4" spans="1:26" x14ac:dyDescent="0.25">
      <c r="A4" t="s">
        <v>568</v>
      </c>
      <c r="B4" s="5" t="s">
        <v>572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36</v>
      </c>
      <c r="J4">
        <v>0</v>
      </c>
      <c r="K4">
        <v>0</v>
      </c>
      <c r="L4">
        <v>0</v>
      </c>
      <c r="M4">
        <v>0</v>
      </c>
      <c r="N4">
        <v>5</v>
      </c>
      <c r="O4">
        <v>5</v>
      </c>
      <c r="P4">
        <v>0</v>
      </c>
      <c r="Q4">
        <v>0</v>
      </c>
      <c r="R4">
        <v>0</v>
      </c>
      <c r="S4">
        <v>0</v>
      </c>
      <c r="T4">
        <v>0</v>
      </c>
      <c r="U4">
        <v>120</v>
      </c>
      <c r="V4">
        <v>0</v>
      </c>
      <c r="W4">
        <v>0</v>
      </c>
      <c r="X4">
        <v>0</v>
      </c>
      <c r="Y4">
        <v>0</v>
      </c>
      <c r="Z4">
        <f>SUM(Marin[[#This Row],[American Sign Language Total]:[Other Total]])</f>
        <v>166</v>
      </c>
    </row>
    <row r="5" spans="1:26" x14ac:dyDescent="0.25">
      <c r="A5" t="s">
        <v>569</v>
      </c>
      <c r="B5" s="5" t="s">
        <v>573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</v>
      </c>
      <c r="V5">
        <v>0</v>
      </c>
      <c r="W5">
        <v>0</v>
      </c>
      <c r="X5">
        <v>0</v>
      </c>
      <c r="Y5">
        <v>0</v>
      </c>
      <c r="Z5">
        <f>SUM(Marin[[#This Row],[American Sign Language Total]:[Other Total]])</f>
        <v>5</v>
      </c>
    </row>
    <row r="6" spans="1:26" ht="60" x14ac:dyDescent="0.25">
      <c r="A6" t="s">
        <v>570</v>
      </c>
      <c r="B6" s="5" t="s">
        <v>574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45</v>
      </c>
      <c r="J6">
        <v>1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334</v>
      </c>
      <c r="V6">
        <v>0</v>
      </c>
      <c r="W6">
        <v>0</v>
      </c>
      <c r="X6">
        <v>0</v>
      </c>
      <c r="Y6">
        <v>0</v>
      </c>
      <c r="Z6">
        <f>SUM(Marin[[#This Row],[American Sign Language Total]:[Other Total]])</f>
        <v>381</v>
      </c>
    </row>
    <row r="7" spans="1:26" x14ac:dyDescent="0.25">
      <c r="A7" s="15" t="s">
        <v>186</v>
      </c>
      <c r="B7" s="26" t="s">
        <v>575</v>
      </c>
      <c r="C7">
        <f>SUBTOTAL(109,Marin[American Sign Language Total])</f>
        <v>0</v>
      </c>
      <c r="D7">
        <f>SUBTOTAL(109,Marin[Arabic Total])</f>
        <v>0</v>
      </c>
      <c r="E7">
        <f>SUBTOTAL(109,Marin[Armenian Total])</f>
        <v>0</v>
      </c>
      <c r="F7">
        <f>SUBTOTAL(109,Marin[Bengali Total])</f>
        <v>0</v>
      </c>
      <c r="G7">
        <f>SUBTOTAL(109,Marin[Chinese (Mandarin or Cantonese) Total])</f>
        <v>1</v>
      </c>
      <c r="H7">
        <f>SUBTOTAL(109,Marin[Farsi (Persian) Total])</f>
        <v>0</v>
      </c>
      <c r="I7">
        <f>SUBTOTAL(109,Marin[French Total])</f>
        <v>85</v>
      </c>
      <c r="J7">
        <f>SUBTOTAL(109,Marin[German Total])</f>
        <v>1</v>
      </c>
      <c r="K7">
        <f>SUBTOTAL(109,Marin[Hebrew Total])</f>
        <v>0</v>
      </c>
      <c r="L7">
        <f>SUBTOTAL(109,Marin[Hindi Total])</f>
        <v>0</v>
      </c>
      <c r="M7">
        <f>SUBTOTAL(109,Marin[Hmong Total])</f>
        <v>0</v>
      </c>
      <c r="N7">
        <f>SUBTOTAL(109,Marin[Italian Total])</f>
        <v>5</v>
      </c>
      <c r="O7">
        <f>SUBTOTAL(109,Marin[Japanese Total])</f>
        <v>6</v>
      </c>
      <c r="P7">
        <f>SUBTOTAL(109,Marin[Korean Total])</f>
        <v>0</v>
      </c>
      <c r="Q7">
        <f>SUBTOTAL(109,Marin[Latin Total])</f>
        <v>0</v>
      </c>
      <c r="R7">
        <f>SUBTOTAL(109,Marin[Portuguese Total])</f>
        <v>0</v>
      </c>
      <c r="S7">
        <f>SUBTOTAL(109,Marin[Punjabi Total])</f>
        <v>0</v>
      </c>
      <c r="T7">
        <f>SUBTOTAL(109,Marin[Russian Total])</f>
        <v>0</v>
      </c>
      <c r="U7">
        <f>SUBTOTAL(109,Marin[Spanish Total])</f>
        <v>478</v>
      </c>
      <c r="V7">
        <f>SUBTOTAL(109,Marin[Tagalog (Filipino) Total])</f>
        <v>0</v>
      </c>
      <c r="W7">
        <f>SUBTOTAL(109,Marin[Urdu Total])</f>
        <v>0</v>
      </c>
      <c r="X7">
        <f>SUBTOTAL(109,Marin[Vietnamese Total])</f>
        <v>0</v>
      </c>
      <c r="Y7">
        <f>SUBTOTAL(109,Marin[Other Total])</f>
        <v>0</v>
      </c>
      <c r="Z7">
        <f>SUBTOTAL(109,Marin[Total Seals per LEA])</f>
        <v>576</v>
      </c>
    </row>
  </sheetData>
  <conditionalFormatting sqref="A1:B2">
    <cfRule type="duplicateValues" dxfId="7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1.453125" bestFit="1" customWidth="1"/>
    <col min="2" max="2" width="25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customWidth="1"/>
    <col min="18" max="18" width="9.90625" bestFit="1" customWidth="1"/>
    <col min="19" max="19" width="12.90625" bestFit="1" customWidth="1"/>
    <col min="20" max="20" width="9.5429687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20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84</v>
      </c>
      <c r="S2" s="2" t="s">
        <v>83</v>
      </c>
      <c r="T2" s="2" t="s">
        <v>93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t="s">
        <v>576</v>
      </c>
      <c r="B3" s="5" t="s">
        <v>580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</v>
      </c>
      <c r="V3">
        <v>0</v>
      </c>
      <c r="W3">
        <v>0</v>
      </c>
      <c r="X3">
        <v>0</v>
      </c>
      <c r="Y3">
        <v>0</v>
      </c>
      <c r="Z3">
        <f>SUM(Mendocino[[#This Row],[American Sign Language Total]:[Other Total]])</f>
        <v>8</v>
      </c>
    </row>
    <row r="4" spans="1:26" x14ac:dyDescent="0.25">
      <c r="A4" t="s">
        <v>577</v>
      </c>
      <c r="B4" s="5" t="s">
        <v>581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11</v>
      </c>
      <c r="V4">
        <v>0</v>
      </c>
      <c r="W4">
        <v>0</v>
      </c>
      <c r="X4">
        <v>0</v>
      </c>
      <c r="Y4">
        <v>0</v>
      </c>
      <c r="Z4">
        <f>SUM(Mendocino[[#This Row],[American Sign Language Total]:[Other Total]])</f>
        <v>11</v>
      </c>
    </row>
    <row r="5" spans="1:26" x14ac:dyDescent="0.25">
      <c r="A5" t="s">
        <v>578</v>
      </c>
      <c r="B5" s="5" t="s">
        <v>582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10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72</v>
      </c>
      <c r="V5">
        <v>0</v>
      </c>
      <c r="W5">
        <v>0</v>
      </c>
      <c r="X5">
        <v>0</v>
      </c>
      <c r="Y5">
        <v>0</v>
      </c>
      <c r="Z5">
        <f>SUM(Mendocino[[#This Row],[American Sign Language Total]:[Other Total]])</f>
        <v>83</v>
      </c>
    </row>
    <row r="6" spans="1:26" ht="32.4" customHeight="1" x14ac:dyDescent="0.25">
      <c r="A6" s="6" t="s">
        <v>579</v>
      </c>
      <c r="B6" s="2" t="s">
        <v>583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4</v>
      </c>
      <c r="V6" s="6">
        <v>0</v>
      </c>
      <c r="W6" s="6">
        <v>0</v>
      </c>
      <c r="X6" s="6">
        <v>0</v>
      </c>
      <c r="Y6" s="6">
        <v>0</v>
      </c>
      <c r="Z6">
        <f>SUM(Mendocino[[#This Row],[American Sign Language Total]:[Other Total]])</f>
        <v>4</v>
      </c>
    </row>
    <row r="7" spans="1:26" x14ac:dyDescent="0.25">
      <c r="A7" s="15" t="s">
        <v>186</v>
      </c>
      <c r="B7" s="26" t="s">
        <v>187</v>
      </c>
      <c r="C7">
        <f>SUBTOTAL(109,Mendocino[American Sign Language Total])</f>
        <v>0</v>
      </c>
      <c r="D7">
        <f>SUBTOTAL(109,Mendocino[Arabic Total])</f>
        <v>0</v>
      </c>
      <c r="E7">
        <f>SUBTOTAL(109,Mendocino[Armenian Total])</f>
        <v>0</v>
      </c>
      <c r="F7">
        <f>SUBTOTAL(109,Mendocino[Bengali Total])</f>
        <v>0</v>
      </c>
      <c r="G7">
        <f>SUBTOTAL(109,Mendocino[Chinese (Mandarin or Cantonese) Total])</f>
        <v>1</v>
      </c>
      <c r="H7">
        <f>SUBTOTAL(109,Mendocino[Farsi (Persian) Total])</f>
        <v>0</v>
      </c>
      <c r="I7">
        <f>SUBTOTAL(109,Mendocino[French Total])</f>
        <v>10</v>
      </c>
      <c r="J7">
        <f>SUBTOTAL(109,Mendocino[German Total])</f>
        <v>0</v>
      </c>
      <c r="K7">
        <f>SUBTOTAL(109,Mendocino[Hebrew Total])</f>
        <v>0</v>
      </c>
      <c r="L7">
        <f>SUBTOTAL(109,Mendocino[Hindi Total])</f>
        <v>0</v>
      </c>
      <c r="M7">
        <f>SUBTOTAL(109,Mendocino[Hmong Total])</f>
        <v>0</v>
      </c>
      <c r="N7">
        <f>SUBTOTAL(109,Mendocino[Italian Total])</f>
        <v>0</v>
      </c>
      <c r="O7">
        <f>SUBTOTAL(109,Mendocino[Japanese Total])</f>
        <v>0</v>
      </c>
      <c r="P7">
        <f>SUBTOTAL(109,Mendocino[Korean Total])</f>
        <v>0</v>
      </c>
      <c r="Q7">
        <f>SUBTOTAL(109,Mendocino[Latin Total])</f>
        <v>0</v>
      </c>
      <c r="R7">
        <f>SUBTOTAL(109,Mendocino[Russian Total])</f>
        <v>0</v>
      </c>
      <c r="S7">
        <f>SUBTOTAL(109,Mendocino[Portuguese Total])</f>
        <v>0</v>
      </c>
      <c r="T7">
        <f>SUBTOTAL(109,Mendocino[Punjabi Total])</f>
        <v>0</v>
      </c>
      <c r="U7">
        <f>SUBTOTAL(109,Mendocino[Spanish Total])</f>
        <v>95</v>
      </c>
      <c r="V7">
        <f>SUBTOTAL(109,Mendocino[Tagalog (Filipino) Total])</f>
        <v>0</v>
      </c>
      <c r="W7">
        <f>SUBTOTAL(109,Mendocino[Urdu Total])</f>
        <v>0</v>
      </c>
      <c r="X7">
        <f>SUBTOTAL(109,Mendocino[Vietnamese Total])</f>
        <v>0</v>
      </c>
      <c r="Y7">
        <f>SUBTOTAL(109,Mendocino[Other Total])</f>
        <v>0</v>
      </c>
      <c r="Z7">
        <f>SUBTOTAL(109,Mendocino[Total Seals per LEA])</f>
        <v>106</v>
      </c>
    </row>
  </sheetData>
  <conditionalFormatting sqref="A1:B3">
    <cfRule type="duplicateValues" dxfId="7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81640625" customWidth="1"/>
    <col min="2" max="2" width="43.1796875" style="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23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584</v>
      </c>
      <c r="B3" s="5" t="s">
        <v>592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  <c r="T3">
        <v>0</v>
      </c>
      <c r="U3">
        <v>32</v>
      </c>
      <c r="V3">
        <v>0</v>
      </c>
      <c r="W3">
        <v>0</v>
      </c>
      <c r="X3">
        <v>0</v>
      </c>
      <c r="Y3">
        <v>0</v>
      </c>
      <c r="Z3">
        <f>SUM(Merced[[#This Row],[American Sign Language Total]:[Other Total]])</f>
        <v>34</v>
      </c>
    </row>
    <row r="4" spans="1:26" x14ac:dyDescent="0.25">
      <c r="A4" t="s">
        <v>585</v>
      </c>
      <c r="B4" s="5" t="s">
        <v>593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14</v>
      </c>
      <c r="V4">
        <v>0</v>
      </c>
      <c r="W4">
        <v>0</v>
      </c>
      <c r="X4">
        <v>0</v>
      </c>
      <c r="Y4">
        <v>0</v>
      </c>
      <c r="Z4">
        <f>SUM(Merced[[#This Row],[American Sign Language Total]:[Other Total]])</f>
        <v>14</v>
      </c>
    </row>
    <row r="5" spans="1:26" x14ac:dyDescent="0.25">
      <c r="A5" t="s">
        <v>586</v>
      </c>
      <c r="B5" s="5" t="s">
        <v>594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15</v>
      </c>
      <c r="V5">
        <v>0</v>
      </c>
      <c r="W5">
        <v>0</v>
      </c>
      <c r="X5">
        <v>0</v>
      </c>
      <c r="Y5">
        <v>0</v>
      </c>
      <c r="Z5">
        <f>SUM(Merced[[#This Row],[American Sign Language Total]:[Other Total]])</f>
        <v>15</v>
      </c>
    </row>
    <row r="6" spans="1:26" x14ac:dyDescent="0.25">
      <c r="A6" t="s">
        <v>587</v>
      </c>
      <c r="B6" s="5" t="s">
        <v>595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8</v>
      </c>
      <c r="S6">
        <v>0</v>
      </c>
      <c r="T6">
        <v>0</v>
      </c>
      <c r="U6">
        <v>35</v>
      </c>
      <c r="V6">
        <v>0</v>
      </c>
      <c r="W6">
        <v>0</v>
      </c>
      <c r="X6">
        <v>0</v>
      </c>
      <c r="Y6">
        <v>0</v>
      </c>
      <c r="Z6">
        <f>SUM(Merced[[#This Row],[American Sign Language Total]:[Other Total]])</f>
        <v>43</v>
      </c>
    </row>
    <row r="7" spans="1:26" x14ac:dyDescent="0.25">
      <c r="A7" t="s">
        <v>588</v>
      </c>
      <c r="B7" s="5" t="s">
        <v>596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30</v>
      </c>
      <c r="V7">
        <v>0</v>
      </c>
      <c r="W7">
        <v>0</v>
      </c>
      <c r="X7">
        <v>0</v>
      </c>
      <c r="Y7">
        <v>0</v>
      </c>
      <c r="Z7">
        <f>SUM(Merced[[#This Row],[American Sign Language Total]:[Other Total]])</f>
        <v>30</v>
      </c>
    </row>
    <row r="8" spans="1:26" x14ac:dyDescent="0.25">
      <c r="A8" t="s">
        <v>589</v>
      </c>
      <c r="B8" s="5" t="s">
        <v>600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82</v>
      </c>
      <c r="V8">
        <v>0</v>
      </c>
      <c r="W8">
        <v>0</v>
      </c>
      <c r="X8">
        <v>0</v>
      </c>
      <c r="Y8">
        <v>0</v>
      </c>
      <c r="Z8">
        <f>SUM(Merced[[#This Row],[American Sign Language Total]:[Other Total]])</f>
        <v>83</v>
      </c>
    </row>
    <row r="9" spans="1:26" x14ac:dyDescent="0.25">
      <c r="A9" t="s">
        <v>590</v>
      </c>
      <c r="B9" s="5" t="s">
        <v>597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4</v>
      </c>
      <c r="V9">
        <v>0</v>
      </c>
      <c r="W9">
        <v>0</v>
      </c>
      <c r="X9">
        <v>0</v>
      </c>
      <c r="Y9">
        <v>0</v>
      </c>
      <c r="Z9">
        <f>SUM(Merced[[#This Row],[American Sign Language Total]:[Other Total]])</f>
        <v>4</v>
      </c>
    </row>
    <row r="10" spans="1:26" ht="30" x14ac:dyDescent="0.25">
      <c r="A10" s="6" t="s">
        <v>591</v>
      </c>
      <c r="B10" s="5" t="s">
        <v>598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97</v>
      </c>
      <c r="V10" s="6">
        <v>0</v>
      </c>
      <c r="W10" s="6">
        <v>0</v>
      </c>
      <c r="X10" s="6">
        <v>0</v>
      </c>
      <c r="Y10" s="6">
        <v>0</v>
      </c>
      <c r="Z10">
        <f>SUM(Merced[[#This Row],[American Sign Language Total]:[Other Total]])</f>
        <v>99</v>
      </c>
    </row>
    <row r="11" spans="1:26" x14ac:dyDescent="0.25">
      <c r="A11" s="15" t="s">
        <v>599</v>
      </c>
      <c r="B11" s="26" t="s">
        <v>601</v>
      </c>
      <c r="C11">
        <f>SUBTOTAL(109,Merced[American Sign Language Total])</f>
        <v>0</v>
      </c>
      <c r="D11">
        <f>SUBTOTAL(109,Merced[Arabic Total])</f>
        <v>0</v>
      </c>
      <c r="E11">
        <f>SUBTOTAL(109,Merced[Armenian Total])</f>
        <v>0</v>
      </c>
      <c r="F11">
        <f>SUBTOTAL(109,Merced[Bengali Total])</f>
        <v>0</v>
      </c>
      <c r="G11">
        <f>SUBTOTAL(109,Merced[Chinese (Mandarin or Cantonese) Total])</f>
        <v>0</v>
      </c>
      <c r="H11">
        <f>SUBTOTAL(109,Merced[Farsi (Persian) Total])</f>
        <v>0</v>
      </c>
      <c r="I11">
        <f>SUBTOTAL(109,Merced[French Total])</f>
        <v>0</v>
      </c>
      <c r="J11">
        <f>SUBTOTAL(109,Merced[German Total])</f>
        <v>1</v>
      </c>
      <c r="K11">
        <f>SUBTOTAL(109,Merced[Hebrew Total])</f>
        <v>0</v>
      </c>
      <c r="L11">
        <f>SUBTOTAL(109,Merced[Hindi Total])</f>
        <v>0</v>
      </c>
      <c r="M11">
        <f>SUBTOTAL(109,Merced[Hmong Total])</f>
        <v>1</v>
      </c>
      <c r="N11">
        <f>SUBTOTAL(109,Merced[Italian Total])</f>
        <v>0</v>
      </c>
      <c r="O11">
        <f>SUBTOTAL(109,Merced[Japanese Total])</f>
        <v>0</v>
      </c>
      <c r="P11">
        <f>SUBTOTAL(109,Merced[Korean Total])</f>
        <v>0</v>
      </c>
      <c r="Q11">
        <f>SUBTOTAL(109,Merced[Latin Total])</f>
        <v>0</v>
      </c>
      <c r="R11">
        <f>SUBTOTAL(109,Merced[Portuguese Total])</f>
        <v>9</v>
      </c>
      <c r="S11">
        <f>SUBTOTAL(109,Merced[Punjabi Total])</f>
        <v>2</v>
      </c>
      <c r="T11">
        <f>SUBTOTAL(109,Merced[Russian Total])</f>
        <v>0</v>
      </c>
      <c r="U11">
        <f>SUBTOTAL(109,Merced[Spanish Total])</f>
        <v>309</v>
      </c>
      <c r="V11">
        <f>SUBTOTAL(109,Merced[Tagalog (Filipino) Total])</f>
        <v>0</v>
      </c>
      <c r="W11">
        <f>SUBTOTAL(109,Merced[Urdu Total])</f>
        <v>0</v>
      </c>
      <c r="X11">
        <f>SUBTOTAL(109,Merced[Vietnamese Total])</f>
        <v>0</v>
      </c>
      <c r="Y11">
        <f>SUBTOTAL(109,Merced[Other Total])</f>
        <v>0</v>
      </c>
      <c r="Z11">
        <f>SUBTOTAL(109,Merced[Total Seals per LEA])</f>
        <v>322</v>
      </c>
    </row>
  </sheetData>
  <conditionalFormatting sqref="A1:B2">
    <cfRule type="duplicateValues" dxfId="7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6328125" bestFit="1" customWidth="1"/>
    <col min="2" max="2" width="26.63281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42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602</v>
      </c>
      <c r="B3" s="5" t="s">
        <v>604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</v>
      </c>
      <c r="V3">
        <v>0</v>
      </c>
      <c r="W3">
        <v>0</v>
      </c>
      <c r="X3">
        <v>0</v>
      </c>
      <c r="Y3">
        <v>0</v>
      </c>
      <c r="Z3">
        <f>SUM(Mono[[#This Row],[American Sign Language Total]:[Other Total]])</f>
        <v>8</v>
      </c>
    </row>
    <row r="4" spans="1:26" x14ac:dyDescent="0.25">
      <c r="A4" t="s">
        <v>603</v>
      </c>
      <c r="B4" s="5" t="s">
        <v>605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43</v>
      </c>
      <c r="V4">
        <v>0</v>
      </c>
      <c r="W4">
        <v>0</v>
      </c>
      <c r="X4">
        <v>0</v>
      </c>
      <c r="Y4">
        <v>0</v>
      </c>
      <c r="Z4">
        <f>SUM(Mono[[#This Row],[American Sign Language Total]:[Other Total]])</f>
        <v>43</v>
      </c>
    </row>
    <row r="5" spans="1:26" x14ac:dyDescent="0.25">
      <c r="A5" s="15" t="s">
        <v>175</v>
      </c>
      <c r="B5" s="26" t="s">
        <v>247</v>
      </c>
      <c r="C5">
        <f>SUBTOTAL(109,Mono[American Sign Language Total])</f>
        <v>0</v>
      </c>
      <c r="D5">
        <f>SUBTOTAL(109,Mono[Arabic Total])</f>
        <v>0</v>
      </c>
      <c r="E5">
        <f>SUBTOTAL(109,Mono[Armenian Total])</f>
        <v>0</v>
      </c>
      <c r="F5">
        <f>SUBTOTAL(109,Mono[Bengali Total])</f>
        <v>0</v>
      </c>
      <c r="G5">
        <f>SUBTOTAL(109,Mono[Chinese (Mandarin or Cantonese) Total])</f>
        <v>0</v>
      </c>
      <c r="H5">
        <f>SUBTOTAL(109,Mono[Farsi (Persian) Total])</f>
        <v>0</v>
      </c>
      <c r="I5">
        <f>SUBTOTAL(109,Mono[French Total])</f>
        <v>0</v>
      </c>
      <c r="J5">
        <f>SUBTOTAL(109,Mono[German Total])</f>
        <v>0</v>
      </c>
      <c r="K5">
        <f>SUBTOTAL(109,Mono[Hebrew Total])</f>
        <v>0</v>
      </c>
      <c r="L5">
        <f>SUBTOTAL(109,Mono[Hindi Total])</f>
        <v>0</v>
      </c>
      <c r="M5">
        <f>SUBTOTAL(109,Mono[Hmong Total])</f>
        <v>0</v>
      </c>
      <c r="N5">
        <f>SUBTOTAL(109,Mono[Italian Total])</f>
        <v>0</v>
      </c>
      <c r="O5">
        <f>SUBTOTAL(109,Mono[Japanese Total])</f>
        <v>0</v>
      </c>
      <c r="P5">
        <f>SUBTOTAL(109,Mono[Korean Total])</f>
        <v>0</v>
      </c>
      <c r="Q5">
        <f>SUBTOTAL(109,Mono[Latin Total])</f>
        <v>0</v>
      </c>
      <c r="R5">
        <f>SUBTOTAL(109,Mono[Portuguese Total])</f>
        <v>0</v>
      </c>
      <c r="S5">
        <f>SUBTOTAL(109,Mono[Punjabi Total])</f>
        <v>0</v>
      </c>
      <c r="T5">
        <f>SUBTOTAL(109,Mono[Russian Total])</f>
        <v>0</v>
      </c>
      <c r="U5">
        <f>SUBTOTAL(109,Mono[Spanish Total])</f>
        <v>51</v>
      </c>
      <c r="V5">
        <f>SUBTOTAL(109,Mono[Tagalog (Filipino) Total])</f>
        <v>0</v>
      </c>
      <c r="W5">
        <f>SUBTOTAL(109,Mono[Urdu Total])</f>
        <v>0</v>
      </c>
      <c r="X5">
        <f>SUBTOTAL(109,Mono[Vietnamese Total])</f>
        <v>0</v>
      </c>
      <c r="Y5">
        <f>SUBTOTAL(109,Mono[Other Total])</f>
        <v>0</v>
      </c>
      <c r="Z5">
        <f>SUBTOTAL(109,Mono[Total Seals per LEA])</f>
        <v>51</v>
      </c>
    </row>
  </sheetData>
  <conditionalFormatting sqref="A1:B2">
    <cfRule type="duplicateValues" dxfId="7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8.08984375" style="5" customWidth="1"/>
    <col min="2" max="2" width="30.453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28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5" t="s">
        <v>606</v>
      </c>
      <c r="B3" s="5" t="s">
        <v>614</v>
      </c>
      <c r="C3">
        <v>4</v>
      </c>
      <c r="D3">
        <v>0</v>
      </c>
      <c r="E3">
        <v>0</v>
      </c>
      <c r="F3">
        <v>0</v>
      </c>
      <c r="G3">
        <v>4</v>
      </c>
      <c r="H3">
        <v>0</v>
      </c>
      <c r="I3">
        <v>11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23</v>
      </c>
      <c r="V3">
        <v>0</v>
      </c>
      <c r="W3">
        <v>0</v>
      </c>
      <c r="X3">
        <v>0</v>
      </c>
      <c r="Y3">
        <v>0</v>
      </c>
      <c r="Z3">
        <v>42</v>
      </c>
    </row>
    <row r="4" spans="1:26" x14ac:dyDescent="0.25">
      <c r="A4" s="5" t="s">
        <v>607</v>
      </c>
      <c r="B4" s="5" t="s">
        <v>615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30</v>
      </c>
      <c r="V4">
        <v>0</v>
      </c>
      <c r="W4">
        <v>0</v>
      </c>
      <c r="X4">
        <v>0</v>
      </c>
      <c r="Y4">
        <v>0</v>
      </c>
      <c r="Z4">
        <v>30</v>
      </c>
    </row>
    <row r="5" spans="1:26" ht="30" x14ac:dyDescent="0.25">
      <c r="A5" s="5" t="s">
        <v>608</v>
      </c>
      <c r="B5" s="5" t="s">
        <v>616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11</v>
      </c>
      <c r="J5">
        <v>0</v>
      </c>
      <c r="K5">
        <v>0</v>
      </c>
      <c r="L5">
        <v>0</v>
      </c>
      <c r="M5">
        <v>0</v>
      </c>
      <c r="N5">
        <v>0</v>
      </c>
      <c r="O5">
        <v>15</v>
      </c>
      <c r="P5">
        <v>0</v>
      </c>
      <c r="Q5">
        <v>0</v>
      </c>
      <c r="R5">
        <v>0</v>
      </c>
      <c r="S5">
        <v>0</v>
      </c>
      <c r="T5">
        <v>0</v>
      </c>
      <c r="U5">
        <v>51</v>
      </c>
      <c r="V5">
        <v>0</v>
      </c>
      <c r="W5">
        <v>0</v>
      </c>
      <c r="X5">
        <v>0</v>
      </c>
      <c r="Y5">
        <v>0</v>
      </c>
      <c r="Z5">
        <v>77</v>
      </c>
    </row>
    <row r="6" spans="1:26" ht="60" x14ac:dyDescent="0.25">
      <c r="A6" s="5" t="s">
        <v>609</v>
      </c>
      <c r="B6" s="5" t="s">
        <v>617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85</v>
      </c>
      <c r="V6">
        <v>0</v>
      </c>
      <c r="W6">
        <v>0</v>
      </c>
      <c r="X6">
        <v>0</v>
      </c>
      <c r="Y6">
        <v>0</v>
      </c>
      <c r="Z6">
        <v>85</v>
      </c>
    </row>
    <row r="7" spans="1:26" x14ac:dyDescent="0.25">
      <c r="A7" s="5" t="s">
        <v>610</v>
      </c>
      <c r="B7" s="5" t="s">
        <v>618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8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v>9</v>
      </c>
      <c r="V7">
        <v>0</v>
      </c>
      <c r="W7">
        <v>0</v>
      </c>
      <c r="X7">
        <v>0</v>
      </c>
      <c r="Y7">
        <v>0</v>
      </c>
      <c r="Z7">
        <v>18</v>
      </c>
    </row>
    <row r="8" spans="1:26" ht="60" x14ac:dyDescent="0.25">
      <c r="A8" s="5" t="s">
        <v>611</v>
      </c>
      <c r="B8" s="5" t="s">
        <v>619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27</v>
      </c>
      <c r="J8">
        <v>0</v>
      </c>
      <c r="K8">
        <v>0</v>
      </c>
      <c r="L8">
        <v>0</v>
      </c>
      <c r="M8">
        <v>0</v>
      </c>
      <c r="N8">
        <v>1</v>
      </c>
      <c r="O8">
        <v>37</v>
      </c>
      <c r="P8">
        <v>0</v>
      </c>
      <c r="Q8">
        <v>0</v>
      </c>
      <c r="R8">
        <v>0</v>
      </c>
      <c r="S8">
        <v>0</v>
      </c>
      <c r="T8">
        <v>1</v>
      </c>
      <c r="U8">
        <v>593</v>
      </c>
      <c r="V8">
        <v>4</v>
      </c>
      <c r="W8">
        <v>0</v>
      </c>
      <c r="X8">
        <v>0</v>
      </c>
      <c r="Y8">
        <v>6</v>
      </c>
      <c r="Z8">
        <f>SUM(C8:Y8)</f>
        <v>670</v>
      </c>
    </row>
    <row r="9" spans="1:26" x14ac:dyDescent="0.25">
      <c r="A9" s="5" t="s">
        <v>612</v>
      </c>
      <c r="B9" s="5" t="s">
        <v>620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31</v>
      </c>
      <c r="V9" s="6">
        <v>0</v>
      </c>
      <c r="W9" s="6">
        <v>0</v>
      </c>
      <c r="X9" s="6">
        <v>0</v>
      </c>
      <c r="Y9" s="6">
        <v>0</v>
      </c>
      <c r="Z9" s="6">
        <v>31</v>
      </c>
    </row>
    <row r="10" spans="1:26" x14ac:dyDescent="0.25">
      <c r="A10" s="5" t="s">
        <v>613</v>
      </c>
      <c r="B10" s="5" t="s">
        <v>621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55</v>
      </c>
      <c r="V10">
        <v>0</v>
      </c>
      <c r="W10">
        <v>0</v>
      </c>
      <c r="X10">
        <v>0</v>
      </c>
      <c r="Y10">
        <v>0</v>
      </c>
      <c r="Z10">
        <v>58</v>
      </c>
    </row>
    <row r="11" spans="1:26" x14ac:dyDescent="0.25">
      <c r="A11" s="15" t="s">
        <v>599</v>
      </c>
      <c r="B11" s="26" t="s">
        <v>622</v>
      </c>
      <c r="C11" s="6">
        <f>SUBTOTAL(109,Monterey[American Sign Language Total])</f>
        <v>4</v>
      </c>
      <c r="D11" s="6">
        <f>SUBTOTAL(109,Monterey[Arabic Total])</f>
        <v>1</v>
      </c>
      <c r="E11" s="6">
        <f>SUBTOTAL(109,Monterey[Armenian Total])</f>
        <v>0</v>
      </c>
      <c r="F11" s="6">
        <f>SUBTOTAL(109,Monterey[Bengali Total])</f>
        <v>0</v>
      </c>
      <c r="G11" s="6">
        <f>SUBTOTAL(109,Monterey[Chinese (Mandarin or Cantonese) Total])</f>
        <v>4</v>
      </c>
      <c r="H11" s="6">
        <f>SUBTOTAL(109,Monterey[Farsi (Persian) Total])</f>
        <v>0</v>
      </c>
      <c r="I11" s="6">
        <f>SUBTOTAL(109,Monterey[French Total])</f>
        <v>60</v>
      </c>
      <c r="J11" s="6">
        <f>SUBTOTAL(109,Monterey[German Total])</f>
        <v>0</v>
      </c>
      <c r="K11" s="6">
        <f>SUBTOTAL(109,Monterey[Hebrew Total])</f>
        <v>0</v>
      </c>
      <c r="L11" s="6">
        <f>SUBTOTAL(109,Monterey[Hindi Total])</f>
        <v>0</v>
      </c>
      <c r="M11" s="6">
        <f>SUBTOTAL(109,Monterey[Hmong Total])</f>
        <v>0</v>
      </c>
      <c r="N11" s="6">
        <f>SUBTOTAL(109,Monterey[Italian Total])</f>
        <v>1</v>
      </c>
      <c r="O11" s="6">
        <f>SUBTOTAL(109,Monterey[Japanese Total])</f>
        <v>53</v>
      </c>
      <c r="P11" s="6">
        <f>SUBTOTAL(109,Monterey[Korean Total])</f>
        <v>0</v>
      </c>
      <c r="Q11" s="6">
        <f>SUBTOTAL(109,Monterey[Latin Total])</f>
        <v>0</v>
      </c>
      <c r="R11" s="6">
        <f>SUBTOTAL(109,Monterey[Portuguese Total])</f>
        <v>0</v>
      </c>
      <c r="S11" s="6">
        <f>SUBTOTAL(109,Monterey[Punjabi Total])</f>
        <v>0</v>
      </c>
      <c r="T11" s="6">
        <f>SUBTOTAL(109,Monterey[Russian Total])</f>
        <v>1</v>
      </c>
      <c r="U11" s="6">
        <f>SUBTOTAL(109,Monterey[Spanish Total])</f>
        <v>877</v>
      </c>
      <c r="V11" s="6">
        <f>SUBTOTAL(109,Monterey[Tagalog (Filipino) Total])</f>
        <v>4</v>
      </c>
      <c r="W11" s="6">
        <f>SUBTOTAL(109,Monterey[Urdu Total])</f>
        <v>0</v>
      </c>
      <c r="X11" s="6">
        <f>SUBTOTAL(109,Monterey[Vietnamese Total])</f>
        <v>0</v>
      </c>
      <c r="Y11" s="6">
        <f>SUBTOTAL(109,Monterey[Other Total])</f>
        <v>6</v>
      </c>
      <c r="Z11" s="6">
        <f>SUBTOTAL(109,Monterey[Total Seals per LEA])</f>
        <v>1011</v>
      </c>
    </row>
  </sheetData>
  <conditionalFormatting sqref="A1:B2">
    <cfRule type="duplicateValues" dxfId="7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6328125" bestFit="1" customWidth="1"/>
    <col min="2" max="2" width="31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623</v>
      </c>
      <c r="B3" s="5" t="s">
        <v>626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18</v>
      </c>
      <c r="V3">
        <v>0</v>
      </c>
      <c r="W3">
        <v>0</v>
      </c>
      <c r="X3">
        <v>0</v>
      </c>
      <c r="Y3">
        <v>0</v>
      </c>
      <c r="Z3">
        <v>18</v>
      </c>
    </row>
    <row r="4" spans="1:26" ht="45" x14ac:dyDescent="0.25">
      <c r="A4" t="s">
        <v>624</v>
      </c>
      <c r="B4" s="5" t="s">
        <v>627</v>
      </c>
      <c r="C4">
        <v>5</v>
      </c>
      <c r="D4">
        <v>0</v>
      </c>
      <c r="E4">
        <v>0</v>
      </c>
      <c r="F4">
        <v>0</v>
      </c>
      <c r="G4">
        <v>8</v>
      </c>
      <c r="H4">
        <v>0</v>
      </c>
      <c r="I4">
        <v>45</v>
      </c>
      <c r="J4">
        <v>0</v>
      </c>
      <c r="K4">
        <v>0</v>
      </c>
      <c r="L4">
        <v>0</v>
      </c>
      <c r="M4">
        <v>0</v>
      </c>
      <c r="N4">
        <v>0</v>
      </c>
      <c r="O4">
        <v>5</v>
      </c>
      <c r="P4">
        <v>0</v>
      </c>
      <c r="Q4">
        <v>0</v>
      </c>
      <c r="R4">
        <v>0</v>
      </c>
      <c r="S4">
        <v>0</v>
      </c>
      <c r="T4">
        <v>0</v>
      </c>
      <c r="U4">
        <v>329</v>
      </c>
      <c r="V4">
        <v>0</v>
      </c>
      <c r="W4">
        <v>0</v>
      </c>
      <c r="X4">
        <v>0</v>
      </c>
      <c r="Y4">
        <v>0</v>
      </c>
      <c r="Z4">
        <v>392</v>
      </c>
    </row>
    <row r="5" spans="1:26" x14ac:dyDescent="0.25">
      <c r="A5" t="s">
        <v>625</v>
      </c>
      <c r="B5" s="5" t="s">
        <v>628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5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32</v>
      </c>
      <c r="V5">
        <v>0</v>
      </c>
      <c r="W5">
        <v>0</v>
      </c>
      <c r="X5">
        <v>0</v>
      </c>
      <c r="Y5">
        <v>0</v>
      </c>
      <c r="Z5">
        <v>37</v>
      </c>
    </row>
    <row r="6" spans="1:26" x14ac:dyDescent="0.25">
      <c r="A6" s="15" t="s">
        <v>215</v>
      </c>
      <c r="B6" s="26" t="s">
        <v>216</v>
      </c>
      <c r="C6">
        <f>SUBTOTAL(109,Napa[American Sign Language Total])</f>
        <v>5</v>
      </c>
      <c r="D6">
        <f>SUBTOTAL(109,Napa[Arabic Total])</f>
        <v>0</v>
      </c>
      <c r="E6">
        <f>SUBTOTAL(109,Napa[Armenian Total])</f>
        <v>0</v>
      </c>
      <c r="F6">
        <f>SUBTOTAL(109,Napa[Bengali Total])</f>
        <v>0</v>
      </c>
      <c r="G6">
        <f>SUBTOTAL(109,Napa[Chinese (Mandarin or Cantonese) Total])</f>
        <v>8</v>
      </c>
      <c r="H6">
        <f>SUBTOTAL(109,Napa[Farsi (Persian) Total])</f>
        <v>0</v>
      </c>
      <c r="I6">
        <f>SUBTOTAL(109,Napa[French Total])</f>
        <v>50</v>
      </c>
      <c r="J6">
        <f>SUBTOTAL(109,Napa[German Total])</f>
        <v>0</v>
      </c>
      <c r="K6">
        <f>SUBTOTAL(109,Napa[Hebrew Total])</f>
        <v>0</v>
      </c>
      <c r="L6">
        <f>SUBTOTAL(109,Napa[Hindi Total])</f>
        <v>0</v>
      </c>
      <c r="M6">
        <f>SUBTOTAL(109,Napa[Hmong Total])</f>
        <v>0</v>
      </c>
      <c r="N6">
        <f>SUBTOTAL(109,Napa[Italian Total])</f>
        <v>0</v>
      </c>
      <c r="O6">
        <f>SUBTOTAL(109,Napa[Japanese Total])</f>
        <v>5</v>
      </c>
      <c r="P6">
        <f>SUBTOTAL(109,Napa[Korean Total])</f>
        <v>0</v>
      </c>
      <c r="Q6">
        <f>SUBTOTAL(109,Napa[Latin Total])</f>
        <v>0</v>
      </c>
      <c r="R6">
        <f>SUBTOTAL(109,Napa[Portuguese Total])</f>
        <v>0</v>
      </c>
      <c r="S6">
        <f>SUBTOTAL(109,Napa[Punjabi Total])</f>
        <v>0</v>
      </c>
      <c r="T6">
        <f>SUBTOTAL(109,Napa[Russian Total])</f>
        <v>0</v>
      </c>
      <c r="U6">
        <f>SUBTOTAL(109,Napa[Spanish Total])</f>
        <v>379</v>
      </c>
      <c r="V6">
        <f>SUBTOTAL(109,Napa[Tagalog (Filipino) Total])</f>
        <v>0</v>
      </c>
      <c r="W6">
        <f>SUBTOTAL(109,Napa[Urdu Total])</f>
        <v>0</v>
      </c>
      <c r="X6">
        <f>SUBTOTAL(109,Napa[Vietnamese Total])</f>
        <v>0</v>
      </c>
      <c r="Y6">
        <f>SUBTOTAL(109,Napa[Other Total])</f>
        <v>0</v>
      </c>
      <c r="Z6">
        <f>SUBTOTAL(109,Napa[Total Seals per LEA])</f>
        <v>447</v>
      </c>
    </row>
  </sheetData>
  <conditionalFormatting sqref="A1:B2">
    <cfRule type="duplicateValues" dxfId="7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1796875" bestFit="1" customWidth="1"/>
    <col min="2" max="2" width="31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49</v>
      </c>
    </row>
    <row r="2" spans="1:26" ht="75.599999999999994" thickTop="1" x14ac:dyDescent="0.25">
      <c r="A2" s="2" t="s">
        <v>70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t="s">
        <v>629</v>
      </c>
      <c r="B3" s="5" t="s">
        <v>630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32</v>
      </c>
      <c r="V3">
        <v>0</v>
      </c>
      <c r="W3">
        <v>0</v>
      </c>
      <c r="X3">
        <v>0</v>
      </c>
      <c r="Y3">
        <v>0</v>
      </c>
      <c r="Z3">
        <v>32</v>
      </c>
    </row>
    <row r="4" spans="1:26" x14ac:dyDescent="0.25">
      <c r="A4" s="15" t="s">
        <v>158</v>
      </c>
      <c r="B4" s="26" t="s">
        <v>247</v>
      </c>
      <c r="C4">
        <f>SUBTOTAL(109,Nevada[American Sign Language Total])</f>
        <v>0</v>
      </c>
      <c r="D4">
        <f>SUBTOTAL(109,Nevada[Arabic Total])</f>
        <v>0</v>
      </c>
      <c r="E4">
        <f>SUBTOTAL(109,Nevada[Armenian Total])</f>
        <v>0</v>
      </c>
      <c r="F4">
        <f>SUBTOTAL(109,Nevada[Bengali Total])</f>
        <v>0</v>
      </c>
      <c r="G4">
        <f>SUBTOTAL(109,Nevada[Chinese (Mandarin or Cantonese) Total])</f>
        <v>0</v>
      </c>
      <c r="H4">
        <f>SUBTOTAL(109,Nevada[Farsi (Persian) Total])</f>
        <v>0</v>
      </c>
      <c r="I4">
        <f>SUBTOTAL(109,Nevada[French Total])</f>
        <v>0</v>
      </c>
      <c r="J4">
        <f>SUBTOTAL(109,Nevada[German Total])</f>
        <v>0</v>
      </c>
      <c r="K4">
        <f>SUBTOTAL(109,Nevada[Hebrew Total])</f>
        <v>0</v>
      </c>
      <c r="L4">
        <f>SUBTOTAL(109,Nevada[Hindi Total])</f>
        <v>0</v>
      </c>
      <c r="M4">
        <f>SUBTOTAL(109,Nevada[Hmong Total])</f>
        <v>0</v>
      </c>
      <c r="N4">
        <f>SUBTOTAL(109,Nevada[Italian Total])</f>
        <v>0</v>
      </c>
      <c r="O4">
        <f>SUBTOTAL(109,Nevada[Japanese Total])</f>
        <v>0</v>
      </c>
      <c r="P4">
        <f>SUBTOTAL(109,Nevada[Korean Total])</f>
        <v>0</v>
      </c>
      <c r="Q4">
        <f>SUBTOTAL(109,Nevada[Latin Total])</f>
        <v>0</v>
      </c>
      <c r="R4">
        <f>SUBTOTAL(109,Nevada[Portuguese Total])</f>
        <v>0</v>
      </c>
      <c r="S4">
        <f>SUBTOTAL(109,Nevada[Punjabi Total])</f>
        <v>0</v>
      </c>
      <c r="T4">
        <f>SUBTOTAL(109,Nevada[Russian Total])</f>
        <v>0</v>
      </c>
      <c r="U4">
        <f>SUBTOTAL(109,Nevada[Spanish Total])</f>
        <v>32</v>
      </c>
      <c r="V4">
        <f>SUBTOTAL(109,Nevada[Tagalog (Filipino) Total])</f>
        <v>0</v>
      </c>
      <c r="W4">
        <f>SUBTOTAL(109,Nevada[Urdu Total])</f>
        <v>0</v>
      </c>
      <c r="X4">
        <f>SUBTOTAL(109,Nevada[Vietnamese Total])</f>
        <v>0</v>
      </c>
      <c r="Y4">
        <f>SUBTOTAL(109,Nevada[Other Total])</f>
        <v>0</v>
      </c>
      <c r="Z4">
        <f>SUBTOTAL(109,Nevada[Total Seals per LEA])</f>
        <v>32</v>
      </c>
    </row>
  </sheetData>
  <conditionalFormatting sqref="A1:B3">
    <cfRule type="duplicateValues" dxfId="7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2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5.90625" bestFit="1" customWidth="1"/>
    <col min="2" max="2" width="47.906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8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75" x14ac:dyDescent="0.25">
      <c r="A3" s="2" t="s">
        <v>631</v>
      </c>
      <c r="B3" s="2" t="s">
        <v>1089</v>
      </c>
      <c r="C3" s="21">
        <v>112</v>
      </c>
      <c r="D3" s="21">
        <v>32</v>
      </c>
      <c r="E3" s="21">
        <v>0</v>
      </c>
      <c r="F3" s="8">
        <v>2</v>
      </c>
      <c r="G3" s="8">
        <v>78</v>
      </c>
      <c r="H3" s="8">
        <v>2</v>
      </c>
      <c r="I3" s="21">
        <v>18</v>
      </c>
      <c r="J3" s="21">
        <v>1</v>
      </c>
      <c r="K3" s="8">
        <v>0</v>
      </c>
      <c r="L3" s="8">
        <v>3</v>
      </c>
      <c r="M3" s="21">
        <v>0</v>
      </c>
      <c r="N3" s="21">
        <v>0</v>
      </c>
      <c r="O3" s="21">
        <v>42</v>
      </c>
      <c r="P3" s="21">
        <v>67</v>
      </c>
      <c r="Q3" s="21">
        <v>0</v>
      </c>
      <c r="R3" s="21">
        <v>7</v>
      </c>
      <c r="S3" s="8">
        <v>4</v>
      </c>
      <c r="T3" s="8">
        <v>1</v>
      </c>
      <c r="U3" s="21">
        <v>697</v>
      </c>
      <c r="V3" s="21">
        <v>22</v>
      </c>
      <c r="W3" s="8">
        <v>2</v>
      </c>
      <c r="X3" s="21">
        <v>64</v>
      </c>
      <c r="Y3" s="21">
        <v>12</v>
      </c>
      <c r="Z3" s="21">
        <v>1166</v>
      </c>
    </row>
    <row r="4" spans="1:26" x14ac:dyDescent="0.25">
      <c r="A4" s="2" t="s">
        <v>632</v>
      </c>
      <c r="B4" s="2" t="s">
        <v>655</v>
      </c>
      <c r="C4" s="21">
        <v>0</v>
      </c>
      <c r="D4" s="21">
        <v>0</v>
      </c>
      <c r="E4" s="21">
        <v>0</v>
      </c>
      <c r="F4" s="8">
        <v>0</v>
      </c>
      <c r="G4" s="8">
        <v>9</v>
      </c>
      <c r="H4" s="8">
        <v>0</v>
      </c>
      <c r="I4" s="21">
        <v>11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4</v>
      </c>
      <c r="P4" s="21">
        <v>31</v>
      </c>
      <c r="Q4" s="21">
        <v>0</v>
      </c>
      <c r="R4" s="21">
        <v>0</v>
      </c>
      <c r="S4" s="8">
        <v>0</v>
      </c>
      <c r="T4" s="8">
        <v>0</v>
      </c>
      <c r="U4" s="21">
        <v>28</v>
      </c>
      <c r="V4" s="21">
        <v>0</v>
      </c>
      <c r="W4" s="8">
        <v>0</v>
      </c>
      <c r="X4" s="21">
        <v>0</v>
      </c>
      <c r="Y4" s="21">
        <v>0</v>
      </c>
      <c r="Z4" s="21">
        <v>83</v>
      </c>
    </row>
    <row r="5" spans="1:26" ht="30" x14ac:dyDescent="0.25">
      <c r="A5" s="2" t="s">
        <v>633</v>
      </c>
      <c r="B5" s="2" t="s">
        <v>633</v>
      </c>
      <c r="C5" s="21">
        <v>0</v>
      </c>
      <c r="D5" s="21">
        <v>0</v>
      </c>
      <c r="E5" s="21">
        <v>0</v>
      </c>
      <c r="F5" s="8">
        <v>0</v>
      </c>
      <c r="G5" s="8">
        <v>0</v>
      </c>
      <c r="H5" s="8">
        <v>0</v>
      </c>
      <c r="I5" s="21">
        <v>2</v>
      </c>
      <c r="J5" s="21">
        <v>0</v>
      </c>
      <c r="K5" s="8">
        <v>0</v>
      </c>
      <c r="L5" s="8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23</v>
      </c>
      <c r="V5" s="21">
        <v>0</v>
      </c>
      <c r="W5" s="8">
        <v>0</v>
      </c>
      <c r="X5" s="21">
        <v>0</v>
      </c>
      <c r="Y5" s="21">
        <v>0</v>
      </c>
      <c r="Z5" s="21">
        <v>25</v>
      </c>
    </row>
    <row r="6" spans="1:26" ht="60" x14ac:dyDescent="0.25">
      <c r="A6" s="5" t="s">
        <v>634</v>
      </c>
      <c r="B6" s="5" t="s">
        <v>656</v>
      </c>
      <c r="C6">
        <v>22</v>
      </c>
      <c r="D6">
        <v>1</v>
      </c>
      <c r="E6">
        <v>0</v>
      </c>
      <c r="F6">
        <v>0</v>
      </c>
      <c r="G6">
        <v>34</v>
      </c>
      <c r="H6">
        <v>0</v>
      </c>
      <c r="I6">
        <v>82</v>
      </c>
      <c r="J6">
        <v>18</v>
      </c>
      <c r="K6">
        <v>0</v>
      </c>
      <c r="L6">
        <v>0</v>
      </c>
      <c r="M6">
        <v>0</v>
      </c>
      <c r="N6">
        <v>0</v>
      </c>
      <c r="O6">
        <v>4</v>
      </c>
      <c r="P6">
        <v>0</v>
      </c>
      <c r="Q6">
        <v>0</v>
      </c>
      <c r="R6">
        <v>0</v>
      </c>
      <c r="S6">
        <v>0</v>
      </c>
      <c r="T6">
        <v>0</v>
      </c>
      <c r="U6">
        <v>626</v>
      </c>
      <c r="V6">
        <v>0</v>
      </c>
      <c r="W6">
        <v>0</v>
      </c>
      <c r="X6">
        <v>0</v>
      </c>
      <c r="Y6">
        <v>0</v>
      </c>
      <c r="Z6" s="3">
        <v>787</v>
      </c>
    </row>
    <row r="7" spans="1:26" x14ac:dyDescent="0.25">
      <c r="A7" s="5" t="s">
        <v>635</v>
      </c>
      <c r="B7" s="5" t="s">
        <v>635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 s="3">
        <v>1</v>
      </c>
    </row>
    <row r="8" spans="1:26" ht="30" x14ac:dyDescent="0.25">
      <c r="A8" s="2" t="s">
        <v>636</v>
      </c>
      <c r="B8" s="2" t="s">
        <v>636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29</v>
      </c>
      <c r="V8" s="8">
        <v>0</v>
      </c>
      <c r="W8" s="8">
        <v>0</v>
      </c>
      <c r="X8" s="8">
        <v>0</v>
      </c>
      <c r="Y8" s="8">
        <v>0</v>
      </c>
      <c r="Z8" s="8">
        <v>29</v>
      </c>
    </row>
    <row r="9" spans="1:26" ht="45" x14ac:dyDescent="0.25">
      <c r="A9" s="2" t="s">
        <v>637</v>
      </c>
      <c r="B9" s="2" t="s">
        <v>657</v>
      </c>
      <c r="C9" s="8">
        <v>0</v>
      </c>
      <c r="D9" s="8">
        <v>0</v>
      </c>
      <c r="E9" s="8">
        <v>0</v>
      </c>
      <c r="F9" s="8">
        <v>0</v>
      </c>
      <c r="G9" s="8">
        <v>38</v>
      </c>
      <c r="H9" s="8">
        <v>0</v>
      </c>
      <c r="I9" s="8">
        <v>66</v>
      </c>
      <c r="J9" s="8">
        <v>6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25</v>
      </c>
      <c r="Q9" s="8">
        <v>0</v>
      </c>
      <c r="R9" s="8">
        <v>0</v>
      </c>
      <c r="S9" s="8">
        <v>0</v>
      </c>
      <c r="T9" s="8">
        <v>0</v>
      </c>
      <c r="U9" s="8">
        <v>382</v>
      </c>
      <c r="V9" s="8">
        <v>0</v>
      </c>
      <c r="W9" s="8">
        <v>0</v>
      </c>
      <c r="X9" s="8">
        <v>0</v>
      </c>
      <c r="Y9" s="8">
        <v>0</v>
      </c>
      <c r="Z9" s="8">
        <v>517</v>
      </c>
    </row>
    <row r="10" spans="1:26" ht="45" x14ac:dyDescent="0.25">
      <c r="A10" s="2" t="s">
        <v>638</v>
      </c>
      <c r="B10" s="2" t="s">
        <v>658</v>
      </c>
      <c r="C10" s="8">
        <v>0</v>
      </c>
      <c r="D10" s="8">
        <v>0</v>
      </c>
      <c r="E10" s="8">
        <v>0</v>
      </c>
      <c r="F10" s="8">
        <v>0</v>
      </c>
      <c r="G10" s="8">
        <v>2</v>
      </c>
      <c r="H10" s="8">
        <v>0</v>
      </c>
      <c r="I10" s="8">
        <v>14</v>
      </c>
      <c r="J10" s="8">
        <v>2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12</v>
      </c>
      <c r="R10" s="8">
        <v>0</v>
      </c>
      <c r="S10" s="8">
        <v>0</v>
      </c>
      <c r="T10" s="8">
        <v>0</v>
      </c>
      <c r="U10" s="8">
        <v>279</v>
      </c>
      <c r="V10" s="8">
        <v>0</v>
      </c>
      <c r="W10" s="8">
        <v>0</v>
      </c>
      <c r="X10" s="8">
        <v>252</v>
      </c>
      <c r="Y10" s="8">
        <v>0</v>
      </c>
      <c r="Z10" s="8">
        <v>561</v>
      </c>
    </row>
    <row r="11" spans="1:26" ht="45" x14ac:dyDescent="0.25">
      <c r="A11" s="5" t="s">
        <v>639</v>
      </c>
      <c r="B11" s="5" t="s">
        <v>659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73</v>
      </c>
      <c r="J11">
        <v>0</v>
      </c>
      <c r="K11">
        <v>0</v>
      </c>
      <c r="L11">
        <v>0</v>
      </c>
      <c r="M11">
        <v>0</v>
      </c>
      <c r="N11">
        <v>0</v>
      </c>
      <c r="O11">
        <v>52</v>
      </c>
      <c r="P11">
        <v>0</v>
      </c>
      <c r="Q11">
        <v>0</v>
      </c>
      <c r="R11">
        <v>0</v>
      </c>
      <c r="S11">
        <v>0</v>
      </c>
      <c r="T11">
        <v>0</v>
      </c>
      <c r="U11">
        <v>505</v>
      </c>
      <c r="V11">
        <v>0</v>
      </c>
      <c r="W11">
        <v>0</v>
      </c>
      <c r="X11">
        <v>140</v>
      </c>
      <c r="Y11">
        <v>0</v>
      </c>
      <c r="Z11" s="3">
        <v>770</v>
      </c>
    </row>
    <row r="12" spans="1:26" ht="30" x14ac:dyDescent="0.25">
      <c r="A12" s="5" t="s">
        <v>640</v>
      </c>
      <c r="B12" s="5" t="s">
        <v>660</v>
      </c>
      <c r="C12">
        <v>3</v>
      </c>
      <c r="D12">
        <v>0</v>
      </c>
      <c r="E12">
        <v>0</v>
      </c>
      <c r="F12">
        <v>0</v>
      </c>
      <c r="G12">
        <v>145</v>
      </c>
      <c r="H12">
        <v>0</v>
      </c>
      <c r="I12">
        <v>85</v>
      </c>
      <c r="J12">
        <v>2</v>
      </c>
      <c r="K12">
        <v>0</v>
      </c>
      <c r="L12">
        <v>0</v>
      </c>
      <c r="M12">
        <v>0</v>
      </c>
      <c r="N12">
        <v>1</v>
      </c>
      <c r="O12">
        <v>9</v>
      </c>
      <c r="P12">
        <v>38</v>
      </c>
      <c r="Q12">
        <v>47</v>
      </c>
      <c r="R12">
        <v>0</v>
      </c>
      <c r="S12">
        <v>0</v>
      </c>
      <c r="T12">
        <v>0</v>
      </c>
      <c r="U12">
        <v>524</v>
      </c>
      <c r="V12">
        <v>0</v>
      </c>
      <c r="W12">
        <v>0</v>
      </c>
      <c r="X12">
        <v>0</v>
      </c>
      <c r="Y12">
        <v>0</v>
      </c>
      <c r="Z12" s="3">
        <v>854</v>
      </c>
    </row>
    <row r="13" spans="1:26" x14ac:dyDescent="0.25">
      <c r="A13" s="5" t="s">
        <v>641</v>
      </c>
      <c r="B13" s="5" t="s">
        <v>661</v>
      </c>
      <c r="C13">
        <v>1</v>
      </c>
      <c r="D13">
        <v>0</v>
      </c>
      <c r="E13">
        <v>0</v>
      </c>
      <c r="F13">
        <v>0</v>
      </c>
      <c r="G13">
        <v>11</v>
      </c>
      <c r="H13">
        <v>0</v>
      </c>
      <c r="I13">
        <v>13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86</v>
      </c>
      <c r="V13">
        <v>0</v>
      </c>
      <c r="W13">
        <v>0</v>
      </c>
      <c r="X13">
        <v>0</v>
      </c>
      <c r="Y13">
        <v>0</v>
      </c>
      <c r="Z13" s="3">
        <v>112</v>
      </c>
    </row>
    <row r="14" spans="1:26" ht="30" x14ac:dyDescent="0.25">
      <c r="A14" s="2" t="s">
        <v>642</v>
      </c>
      <c r="B14" s="2" t="s">
        <v>642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10</v>
      </c>
      <c r="V14" s="8">
        <v>0</v>
      </c>
      <c r="W14" s="8">
        <v>0</v>
      </c>
      <c r="X14" s="8">
        <v>0</v>
      </c>
      <c r="Y14" s="8">
        <v>0</v>
      </c>
      <c r="Z14" s="8">
        <v>10</v>
      </c>
    </row>
    <row r="15" spans="1:26" ht="45" x14ac:dyDescent="0.25">
      <c r="A15" s="2" t="s">
        <v>643</v>
      </c>
      <c r="B15" s="2" t="s">
        <v>662</v>
      </c>
      <c r="C15" s="8">
        <v>0</v>
      </c>
      <c r="D15" s="8">
        <v>0</v>
      </c>
      <c r="E15" s="8">
        <v>0</v>
      </c>
      <c r="F15" s="8">
        <v>0</v>
      </c>
      <c r="G15" s="8">
        <v>16</v>
      </c>
      <c r="H15" s="8">
        <v>0</v>
      </c>
      <c r="I15" s="8">
        <v>36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1</v>
      </c>
      <c r="P15" s="8">
        <v>0</v>
      </c>
      <c r="Q15" s="8">
        <v>0</v>
      </c>
      <c r="R15" s="8">
        <v>0</v>
      </c>
      <c r="S15" s="8">
        <v>0</v>
      </c>
      <c r="T15" s="8">
        <v>257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310</v>
      </c>
    </row>
    <row r="16" spans="1:26" ht="30" x14ac:dyDescent="0.25">
      <c r="A16" s="2" t="s">
        <v>644</v>
      </c>
      <c r="B16" s="2" t="s">
        <v>644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7</v>
      </c>
      <c r="V16" s="8">
        <v>0</v>
      </c>
      <c r="W16" s="8">
        <v>0</v>
      </c>
      <c r="X16" s="8">
        <v>0</v>
      </c>
      <c r="Y16" s="8">
        <v>0</v>
      </c>
      <c r="Z16" s="8">
        <v>7</v>
      </c>
    </row>
    <row r="17" spans="1:26" ht="30" x14ac:dyDescent="0.25">
      <c r="A17" s="5" t="s">
        <v>645</v>
      </c>
      <c r="B17" s="5" t="s">
        <v>645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3</v>
      </c>
      <c r="V17">
        <v>0</v>
      </c>
      <c r="W17">
        <v>0</v>
      </c>
      <c r="X17">
        <v>0</v>
      </c>
      <c r="Y17">
        <v>0</v>
      </c>
      <c r="Z17" s="3">
        <v>3</v>
      </c>
    </row>
    <row r="18" spans="1:26" ht="30" x14ac:dyDescent="0.25">
      <c r="A18" s="5" t="s">
        <v>646</v>
      </c>
      <c r="B18" s="5" t="s">
        <v>663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</v>
      </c>
      <c r="V18">
        <v>0</v>
      </c>
      <c r="W18">
        <v>0</v>
      </c>
      <c r="X18">
        <v>0</v>
      </c>
      <c r="Y18">
        <v>0</v>
      </c>
      <c r="Z18" s="3">
        <v>2</v>
      </c>
    </row>
    <row r="19" spans="1:26" ht="30" x14ac:dyDescent="0.25">
      <c r="A19" s="5" t="s">
        <v>647</v>
      </c>
      <c r="B19" s="5" t="s">
        <v>647</v>
      </c>
      <c r="C19">
        <v>0</v>
      </c>
      <c r="D19">
        <v>0</v>
      </c>
      <c r="E19">
        <v>0</v>
      </c>
      <c r="F19">
        <v>0</v>
      </c>
      <c r="G19">
        <v>35</v>
      </c>
      <c r="H19">
        <v>0</v>
      </c>
      <c r="I19">
        <v>32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117</v>
      </c>
      <c r="V19">
        <v>0</v>
      </c>
      <c r="W19">
        <v>0</v>
      </c>
      <c r="X19">
        <v>0</v>
      </c>
      <c r="Y19">
        <v>0</v>
      </c>
      <c r="Z19" s="3">
        <v>185</v>
      </c>
    </row>
    <row r="20" spans="1:26" ht="30" x14ac:dyDescent="0.25">
      <c r="A20" s="5" t="s">
        <v>648</v>
      </c>
      <c r="B20" s="5" t="s">
        <v>664</v>
      </c>
      <c r="C20">
        <v>1</v>
      </c>
      <c r="D20">
        <v>0</v>
      </c>
      <c r="E20">
        <v>0</v>
      </c>
      <c r="F20">
        <v>0</v>
      </c>
      <c r="G20">
        <v>1</v>
      </c>
      <c r="H20">
        <v>0</v>
      </c>
      <c r="I20">
        <v>50</v>
      </c>
      <c r="J20">
        <v>6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278</v>
      </c>
      <c r="V20">
        <v>0</v>
      </c>
      <c r="W20">
        <v>0</v>
      </c>
      <c r="X20">
        <v>0</v>
      </c>
      <c r="Y20">
        <v>0</v>
      </c>
      <c r="Z20" s="3">
        <v>336</v>
      </c>
    </row>
    <row r="21" spans="1:26" ht="30" x14ac:dyDescent="0.25">
      <c r="A21" s="5" t="s">
        <v>649</v>
      </c>
      <c r="B21" s="5" t="s">
        <v>665</v>
      </c>
      <c r="C21">
        <v>0</v>
      </c>
      <c r="D21">
        <v>1</v>
      </c>
      <c r="E21">
        <v>0</v>
      </c>
      <c r="F21">
        <v>0</v>
      </c>
      <c r="G21">
        <v>49</v>
      </c>
      <c r="H21">
        <v>0</v>
      </c>
      <c r="I21">
        <v>16</v>
      </c>
      <c r="J21">
        <v>17</v>
      </c>
      <c r="K21">
        <v>0</v>
      </c>
      <c r="L21">
        <v>0</v>
      </c>
      <c r="M21">
        <v>0</v>
      </c>
      <c r="N21">
        <v>0</v>
      </c>
      <c r="O21">
        <v>16</v>
      </c>
      <c r="P21">
        <v>0</v>
      </c>
      <c r="Q21">
        <v>0</v>
      </c>
      <c r="R21">
        <v>0</v>
      </c>
      <c r="S21">
        <v>0</v>
      </c>
      <c r="T21">
        <v>0</v>
      </c>
      <c r="U21">
        <v>332</v>
      </c>
      <c r="V21">
        <v>0</v>
      </c>
      <c r="W21">
        <v>0</v>
      </c>
      <c r="X21">
        <v>0</v>
      </c>
      <c r="Y21">
        <v>0</v>
      </c>
      <c r="Z21" s="3">
        <v>431</v>
      </c>
    </row>
    <row r="22" spans="1:26" ht="45" x14ac:dyDescent="0.25">
      <c r="A22" s="5" t="s">
        <v>650</v>
      </c>
      <c r="B22" s="5" t="s">
        <v>666</v>
      </c>
      <c r="C22">
        <v>0</v>
      </c>
      <c r="D22">
        <v>0</v>
      </c>
      <c r="E22">
        <v>0</v>
      </c>
      <c r="F22">
        <v>0</v>
      </c>
      <c r="G22">
        <v>9</v>
      </c>
      <c r="H22">
        <v>0</v>
      </c>
      <c r="I22">
        <v>37</v>
      </c>
      <c r="J22">
        <v>4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210</v>
      </c>
      <c r="V22">
        <v>0</v>
      </c>
      <c r="W22">
        <v>0</v>
      </c>
      <c r="X22">
        <v>0</v>
      </c>
      <c r="Y22">
        <v>0</v>
      </c>
      <c r="Z22" s="3">
        <v>260</v>
      </c>
    </row>
    <row r="23" spans="1:26" x14ac:dyDescent="0.25">
      <c r="A23" s="5" t="s">
        <v>651</v>
      </c>
      <c r="B23" s="5" t="s">
        <v>651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40</v>
      </c>
      <c r="V23">
        <v>0</v>
      </c>
      <c r="W23">
        <v>0</v>
      </c>
      <c r="X23">
        <v>0</v>
      </c>
      <c r="Y23">
        <v>0</v>
      </c>
      <c r="Z23" s="3">
        <v>40</v>
      </c>
    </row>
    <row r="24" spans="1:26" ht="75" x14ac:dyDescent="0.25">
      <c r="A24" s="2" t="s">
        <v>652</v>
      </c>
      <c r="B24" s="2" t="s">
        <v>667</v>
      </c>
      <c r="C24" s="8">
        <v>4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6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1170</v>
      </c>
      <c r="V24" s="8">
        <v>0</v>
      </c>
      <c r="W24" s="8">
        <v>0</v>
      </c>
      <c r="X24" s="8">
        <v>11</v>
      </c>
      <c r="Y24" s="8">
        <v>0</v>
      </c>
      <c r="Z24" s="8">
        <v>1191</v>
      </c>
    </row>
    <row r="25" spans="1:26" x14ac:dyDescent="0.25">
      <c r="A25" s="2" t="s">
        <v>653</v>
      </c>
      <c r="B25" s="2" t="s">
        <v>668</v>
      </c>
      <c r="C25" s="8">
        <v>0</v>
      </c>
      <c r="D25" s="8">
        <v>0</v>
      </c>
      <c r="E25" s="8">
        <v>0</v>
      </c>
      <c r="F25" s="8">
        <v>0</v>
      </c>
      <c r="G25" s="8">
        <v>55</v>
      </c>
      <c r="H25" s="8">
        <v>0</v>
      </c>
      <c r="I25" s="8">
        <v>70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385</v>
      </c>
      <c r="V25" s="8">
        <v>0</v>
      </c>
      <c r="W25" s="8">
        <v>0</v>
      </c>
      <c r="X25" s="8">
        <v>0</v>
      </c>
      <c r="Y25" s="8">
        <v>0</v>
      </c>
      <c r="Z25" s="8">
        <v>510</v>
      </c>
    </row>
    <row r="26" spans="1:26" ht="15.6" x14ac:dyDescent="0.25">
      <c r="A26" s="15" t="s">
        <v>654</v>
      </c>
      <c r="B26" s="26" t="s">
        <v>1090</v>
      </c>
      <c r="C26" s="3">
        <f>SUBTOTAL(109,Orange[American Sign Language Total])</f>
        <v>143</v>
      </c>
      <c r="D26" s="3">
        <f>SUBTOTAL(109,Orange[Arabic Total])</f>
        <v>34</v>
      </c>
      <c r="E26" s="3">
        <f>SUBTOTAL(109,Orange[Armenian Total])</f>
        <v>0</v>
      </c>
      <c r="F26" s="3">
        <f>SUBTOTAL(109,Orange[Bengali Total])</f>
        <v>2</v>
      </c>
      <c r="G26" s="3">
        <f>SUBTOTAL(109,Orange[Chinese (Mandarin or Cantonese) Total])</f>
        <v>482</v>
      </c>
      <c r="H26" s="3">
        <f>SUBTOTAL(109,Orange[Farsi (Persian) Total])</f>
        <v>2</v>
      </c>
      <c r="I26" s="3">
        <f>SUBTOTAL(109,Orange[French Total])</f>
        <v>611</v>
      </c>
      <c r="J26" s="3">
        <f>SUBTOTAL(109,Orange[German Total])</f>
        <v>56</v>
      </c>
      <c r="K26" s="3">
        <f>SUBTOTAL(109,Orange[Hebrew Total])</f>
        <v>0</v>
      </c>
      <c r="L26" s="3">
        <f>SUBTOTAL(109,Orange[Hindi Total])</f>
        <v>3</v>
      </c>
      <c r="M26" s="3">
        <f>SUBTOTAL(109,Orange[Hmong Total])</f>
        <v>0</v>
      </c>
      <c r="N26" s="3">
        <f>SUBTOTAL(109,Orange[Italian Total])</f>
        <v>1</v>
      </c>
      <c r="O26" s="3">
        <f>SUBTOTAL(109,Orange[Japanese Total])</f>
        <v>130</v>
      </c>
      <c r="P26" s="3">
        <f>SUBTOTAL(109,Orange[Korean Total])</f>
        <v>161</v>
      </c>
      <c r="Q26" s="3">
        <f>SUBTOTAL(109,Orange[Latin Total])</f>
        <v>59</v>
      </c>
      <c r="R26" s="3">
        <f>SUBTOTAL(109,Orange[Portuguese Total])</f>
        <v>7</v>
      </c>
      <c r="S26" s="3">
        <f>SUBTOTAL(109,Orange[Punjabi Total])</f>
        <v>4</v>
      </c>
      <c r="T26" s="3">
        <f>SUBTOTAL(109,Orange[Russian Total])</f>
        <v>258</v>
      </c>
      <c r="U26" s="3">
        <f>SUBTOTAL(109,Orange[Spanish Total])</f>
        <v>5734</v>
      </c>
      <c r="V26" s="3">
        <f>SUBTOTAL(109,Orange[Tagalog (Filipino) Total])</f>
        <v>22</v>
      </c>
      <c r="W26" s="3">
        <f>SUBTOTAL(109,Orange[Urdu Total])</f>
        <v>2</v>
      </c>
      <c r="X26" s="3">
        <f>SUBTOTAL(109,Orange[Vietnamese Total])</f>
        <v>467</v>
      </c>
      <c r="Y26" s="3">
        <f>SUBTOTAL(109,Orange[Other Total])</f>
        <v>12</v>
      </c>
      <c r="Z26" s="3">
        <f>SUBTOTAL(109,Orange[Total Seals per LEA])</f>
        <v>8190</v>
      </c>
    </row>
  </sheetData>
  <sortState xmlns:xlrd2="http://schemas.microsoft.com/office/spreadsheetml/2017/richdata2" ref="A2:BL27">
    <sortCondition ref="A2:A27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" bestFit="1" customWidth="1"/>
    <col min="2" max="2" width="24.906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7.81640625" bestFit="1" customWidth="1"/>
    <col min="10" max="10" width="8.90625" bestFit="1" customWidth="1"/>
    <col min="11" max="11" width="9.36328125" bestFit="1" customWidth="1"/>
    <col min="12" max="12" width="9.36328125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8.90625" bestFit="1" customWidth="1"/>
    <col min="17" max="17" width="6.632812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46</v>
      </c>
    </row>
    <row r="2" spans="1:26" ht="75.599999999999994" thickTop="1" x14ac:dyDescent="0.25">
      <c r="A2" s="2" t="s">
        <v>70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19" t="s">
        <v>157</v>
      </c>
      <c r="B3" t="s">
        <v>159</v>
      </c>
      <c r="C3" s="18">
        <v>0</v>
      </c>
      <c r="D3" s="18">
        <v>0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26</v>
      </c>
      <c r="V3" s="18">
        <v>0</v>
      </c>
      <c r="W3" s="18">
        <v>0</v>
      </c>
      <c r="X3" s="18">
        <v>0</v>
      </c>
      <c r="Y3" s="18">
        <v>0</v>
      </c>
      <c r="Z3">
        <f>SUM(Amador[[American Sign Language Total]:[Other Total]])</f>
        <v>26</v>
      </c>
    </row>
    <row r="4" spans="1:26" x14ac:dyDescent="0.25">
      <c r="A4" s="15" t="s">
        <v>158</v>
      </c>
      <c r="B4" s="26" t="s">
        <v>160</v>
      </c>
      <c r="C4">
        <f>SUBTOTAL(109,Amador[American Sign Language Total])</f>
        <v>0</v>
      </c>
      <c r="D4">
        <f>SUBTOTAL(109,Amador[Arabic Total])</f>
        <v>0</v>
      </c>
      <c r="E4">
        <f>SUBTOTAL(109,Amador[Armenian Total])</f>
        <v>0</v>
      </c>
      <c r="F4">
        <f>SUBTOTAL(109,Amador[Bengali Total])</f>
        <v>0</v>
      </c>
      <c r="G4">
        <f>SUBTOTAL(109,Amador[Chinese (Mandarin or Cantonese) Total])</f>
        <v>0</v>
      </c>
      <c r="H4">
        <f>SUBTOTAL(109,Amador[Farsi (Persian) Total])</f>
        <v>0</v>
      </c>
      <c r="I4">
        <f>SUBTOTAL(109,Amador[French Total])</f>
        <v>0</v>
      </c>
      <c r="J4">
        <f>SUBTOTAL(109,Amador[German Total])</f>
        <v>0</v>
      </c>
      <c r="K4">
        <f>SUBTOTAL(109,Amador[Hebrew Total])</f>
        <v>0</v>
      </c>
      <c r="L4">
        <f>SUBTOTAL(109,Amador[Hindi Total])</f>
        <v>0</v>
      </c>
      <c r="M4">
        <f>SUBTOTAL(109,Amador[Hmong Total])</f>
        <v>0</v>
      </c>
      <c r="N4">
        <f>SUBTOTAL(109,Amador[Italian Total])</f>
        <v>0</v>
      </c>
      <c r="O4">
        <f>SUBTOTAL(109,Amador[Japanese Total])</f>
        <v>0</v>
      </c>
      <c r="P4">
        <f>SUBTOTAL(109,Amador[Korean Total])</f>
        <v>0</v>
      </c>
      <c r="Q4">
        <f>SUBTOTAL(109,Amador[Latin Total])</f>
        <v>0</v>
      </c>
      <c r="R4">
        <f>SUBTOTAL(109,Amador[Portuguese Total])</f>
        <v>0</v>
      </c>
      <c r="S4">
        <f>SUBTOTAL(109,Amador[Punjabi Total])</f>
        <v>0</v>
      </c>
      <c r="T4">
        <f>SUBTOTAL(109,Amador[Russian Total])</f>
        <v>0</v>
      </c>
      <c r="U4">
        <f>SUBTOTAL(109,Amador[Spanish Total])</f>
        <v>26</v>
      </c>
      <c r="V4">
        <f>SUBTOTAL(109,Amador[Tagalog (Filipino) Total])</f>
        <v>0</v>
      </c>
      <c r="W4">
        <f>SUBTOTAL(109,Amador[Urdu Total])</f>
        <v>0</v>
      </c>
      <c r="X4">
        <f>SUBTOTAL(109,Amador[Vietnamese Total])</f>
        <v>0</v>
      </c>
      <c r="Y4">
        <f>SUBTOTAL(109,Amador[Other Total])</f>
        <v>0</v>
      </c>
      <c r="Z4">
        <f>SUBTOTAL(109,Amador[Total Seals per LEA])</f>
        <v>26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4A9C-6C8A-4183-8DDE-8E6B07850840}">
  <dimension ref="A1:Z9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5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19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669</v>
      </c>
      <c r="B3" s="5" t="s">
        <v>676</v>
      </c>
      <c r="C3">
        <v>43</v>
      </c>
      <c r="D3">
        <v>0</v>
      </c>
      <c r="E3">
        <v>0</v>
      </c>
      <c r="F3">
        <v>0</v>
      </c>
      <c r="G3">
        <v>0</v>
      </c>
      <c r="H3">
        <v>0</v>
      </c>
      <c r="I3">
        <v>7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137</v>
      </c>
      <c r="V3">
        <v>0</v>
      </c>
      <c r="W3">
        <v>0</v>
      </c>
      <c r="X3">
        <v>0</v>
      </c>
      <c r="Y3">
        <v>0</v>
      </c>
      <c r="Z3">
        <v>187</v>
      </c>
    </row>
    <row r="4" spans="1:26" x14ac:dyDescent="0.25">
      <c r="A4" s="5" t="s">
        <v>670</v>
      </c>
      <c r="B4" s="5" t="s">
        <v>677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160</v>
      </c>
      <c r="V4">
        <v>0</v>
      </c>
      <c r="W4">
        <v>0</v>
      </c>
      <c r="X4">
        <v>0</v>
      </c>
      <c r="Y4">
        <v>0</v>
      </c>
      <c r="Z4">
        <v>160</v>
      </c>
    </row>
    <row r="5" spans="1:26" ht="45" x14ac:dyDescent="0.25">
      <c r="A5" s="5" t="s">
        <v>671</v>
      </c>
      <c r="B5" s="5" t="s">
        <v>678</v>
      </c>
      <c r="C5">
        <v>1</v>
      </c>
      <c r="D5">
        <v>2</v>
      </c>
      <c r="E5">
        <v>0</v>
      </c>
      <c r="F5">
        <v>0</v>
      </c>
      <c r="G5">
        <v>1</v>
      </c>
      <c r="H5">
        <v>1</v>
      </c>
      <c r="I5">
        <v>19</v>
      </c>
      <c r="J5">
        <v>2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0</v>
      </c>
      <c r="R5">
        <v>0</v>
      </c>
      <c r="S5">
        <v>1</v>
      </c>
      <c r="T5">
        <v>7</v>
      </c>
      <c r="U5">
        <v>490</v>
      </c>
      <c r="V5">
        <v>0</v>
      </c>
      <c r="W5">
        <v>1</v>
      </c>
      <c r="X5">
        <v>1</v>
      </c>
      <c r="Y5">
        <v>5</v>
      </c>
      <c r="Z5">
        <v>532</v>
      </c>
    </row>
    <row r="6" spans="1:26" ht="30" x14ac:dyDescent="0.25">
      <c r="A6" s="2" t="s">
        <v>672</v>
      </c>
      <c r="B6" s="5" t="s">
        <v>679</v>
      </c>
      <c r="C6" s="8">
        <v>1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2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103</v>
      </c>
      <c r="V6" s="8">
        <v>0</v>
      </c>
      <c r="W6" s="8">
        <v>0</v>
      </c>
      <c r="X6" s="8">
        <v>0</v>
      </c>
      <c r="Y6" s="8">
        <v>0</v>
      </c>
      <c r="Z6" s="8">
        <v>106</v>
      </c>
    </row>
    <row r="7" spans="1:26" ht="30" x14ac:dyDescent="0.25">
      <c r="A7" s="2" t="s">
        <v>673</v>
      </c>
      <c r="B7" s="5" t="s">
        <v>680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90</v>
      </c>
      <c r="V7" s="8">
        <v>0</v>
      </c>
      <c r="W7" s="8">
        <v>0</v>
      </c>
      <c r="X7" s="8">
        <v>0</v>
      </c>
      <c r="Y7" s="8">
        <v>0</v>
      </c>
      <c r="Z7" s="8">
        <v>100</v>
      </c>
    </row>
    <row r="8" spans="1:26" ht="30" x14ac:dyDescent="0.25">
      <c r="A8" s="5" t="s">
        <v>674</v>
      </c>
      <c r="B8" s="5" t="s">
        <v>674</v>
      </c>
      <c r="C8">
        <v>0</v>
      </c>
      <c r="D8">
        <v>0</v>
      </c>
      <c r="E8">
        <v>0</v>
      </c>
      <c r="F8">
        <v>0</v>
      </c>
      <c r="G8">
        <v>13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5</v>
      </c>
      <c r="V8">
        <v>0</v>
      </c>
      <c r="W8">
        <v>0</v>
      </c>
      <c r="X8">
        <v>0</v>
      </c>
      <c r="Y8">
        <v>2</v>
      </c>
      <c r="Z8">
        <v>20</v>
      </c>
    </row>
    <row r="9" spans="1:26" x14ac:dyDescent="0.25">
      <c r="A9" s="15" t="s">
        <v>675</v>
      </c>
      <c r="B9" s="26" t="s">
        <v>1091</v>
      </c>
      <c r="C9" s="3">
        <f>SUBTOTAL(109,Placer1[American Sign Language Total])</f>
        <v>45</v>
      </c>
      <c r="D9" s="3">
        <f>SUBTOTAL(109,Placer1[Arabic Total])</f>
        <v>2</v>
      </c>
      <c r="E9" s="3">
        <f>SUBTOTAL(109,Placer1[Armenian Total])</f>
        <v>0</v>
      </c>
      <c r="F9" s="3">
        <f>SUBTOTAL(109,Placer1[Bengali Total])</f>
        <v>0</v>
      </c>
      <c r="G9" s="3">
        <f>SUBTOTAL(109,Placer1[Chinese (Mandarin or Cantonese) Total])</f>
        <v>14</v>
      </c>
      <c r="H9" s="3">
        <f>SUBTOTAL(109,Placer1[Farsi (Persian) Total])</f>
        <v>1</v>
      </c>
      <c r="I9" s="3">
        <f>SUBTOTAL(109,Placer1[French Total])</f>
        <v>38</v>
      </c>
      <c r="J9" s="3">
        <f>SUBTOTAL(109,Placer1[German Total])</f>
        <v>2</v>
      </c>
      <c r="K9" s="3">
        <f>SUBTOTAL(109,Placer1[Hebrew Total])</f>
        <v>0</v>
      </c>
      <c r="L9" s="3">
        <f>SUBTOTAL(109,Placer1[Hindi Total])</f>
        <v>0</v>
      </c>
      <c r="M9" s="3">
        <f>SUBTOTAL(109,Placer1[Hmong Total])</f>
        <v>0</v>
      </c>
      <c r="N9" s="3">
        <f>SUBTOTAL(109,Placer1[Italian Total])</f>
        <v>0</v>
      </c>
      <c r="O9" s="3">
        <f>SUBTOTAL(109,Placer1[Japanese Total])</f>
        <v>0</v>
      </c>
      <c r="P9" s="3">
        <f>SUBTOTAL(109,Placer1[Korean Total])</f>
        <v>1</v>
      </c>
      <c r="Q9" s="3">
        <f>SUBTOTAL(109,Placer1[Latin Total])</f>
        <v>0</v>
      </c>
      <c r="R9" s="3">
        <f>SUBTOTAL(109,Placer1[Portuguese Total])</f>
        <v>0</v>
      </c>
      <c r="S9" s="3">
        <f>SUBTOTAL(109,Placer1[Punjabi Total])</f>
        <v>1</v>
      </c>
      <c r="T9" s="3">
        <f>SUBTOTAL(109,Placer1[Russian Total])</f>
        <v>7</v>
      </c>
      <c r="U9" s="3">
        <f>SUBTOTAL(109,Placer1[Spanish Total])</f>
        <v>985</v>
      </c>
      <c r="V9" s="3">
        <f>SUBTOTAL(109,Placer1[Tagalog (Filipino) Total])</f>
        <v>0</v>
      </c>
      <c r="W9" s="3">
        <f>SUBTOTAL(109,Placer1[Urdu Total])</f>
        <v>1</v>
      </c>
      <c r="X9" s="3">
        <f>SUBTOTAL(109,Placer1[Vietnamese Total])</f>
        <v>1</v>
      </c>
      <c r="Y9" s="3">
        <f>SUBTOTAL(109,Placer1[Other Total])</f>
        <v>7</v>
      </c>
      <c r="Z9" s="3">
        <f>SUBTOTAL(109,Placer1[Total Seals per LEA])</f>
        <v>1105</v>
      </c>
    </row>
  </sheetData>
  <conditionalFormatting sqref="A1:B2">
    <cfRule type="duplicateValues" dxfId="6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4.6328125" bestFit="1" customWidth="1"/>
    <col min="2" max="2" width="34.0898437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44</v>
      </c>
    </row>
    <row r="2" spans="1:26" ht="60.6" thickTop="1" x14ac:dyDescent="0.25">
      <c r="A2" s="2" t="s">
        <v>70</v>
      </c>
      <c r="B2" s="2" t="s">
        <v>71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45" x14ac:dyDescent="0.25">
      <c r="A3" t="s">
        <v>681</v>
      </c>
      <c r="B3" s="5" t="s">
        <v>682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10</v>
      </c>
      <c r="V3">
        <v>0</v>
      </c>
      <c r="W3">
        <v>0</v>
      </c>
      <c r="X3">
        <v>0</v>
      </c>
      <c r="Y3">
        <v>0</v>
      </c>
      <c r="Z3">
        <v>10</v>
      </c>
    </row>
    <row r="4" spans="1:26" x14ac:dyDescent="0.25">
      <c r="A4" s="15" t="s">
        <v>158</v>
      </c>
      <c r="B4" s="26" t="s">
        <v>187</v>
      </c>
      <c r="C4">
        <f>SUBTOTAL(109,Plumas[American Sign Language Total])</f>
        <v>0</v>
      </c>
      <c r="D4">
        <f>SUBTOTAL(109,Plumas[Arabic Total])</f>
        <v>0</v>
      </c>
      <c r="E4">
        <f>SUBTOTAL(109,Plumas[Armenian Total])</f>
        <v>0</v>
      </c>
      <c r="F4">
        <f>SUBTOTAL(109,Plumas[Bengali Total])</f>
        <v>0</v>
      </c>
      <c r="G4">
        <f>SUBTOTAL(109,Plumas[Chinese (Mandarin or Cantonese) Total])</f>
        <v>0</v>
      </c>
      <c r="H4">
        <f>SUBTOTAL(109,Plumas[Farsi (Persian) Total])</f>
        <v>0</v>
      </c>
      <c r="I4">
        <f>SUBTOTAL(109,Plumas[French Total])</f>
        <v>0</v>
      </c>
      <c r="J4">
        <f>SUBTOTAL(109,Plumas[German Total])</f>
        <v>0</v>
      </c>
      <c r="K4">
        <f>SUBTOTAL(109,Plumas[Hebrew Total])</f>
        <v>0</v>
      </c>
      <c r="L4">
        <f>SUBTOTAL(109,Plumas[Hindi Total])</f>
        <v>0</v>
      </c>
      <c r="M4">
        <f>SUBTOTAL(109,Plumas[Hmong Total])</f>
        <v>0</v>
      </c>
      <c r="N4">
        <f>SUBTOTAL(109,Plumas[Italian Total])</f>
        <v>0</v>
      </c>
      <c r="O4">
        <f>SUBTOTAL(109,Plumas[Japanese Total])</f>
        <v>0</v>
      </c>
      <c r="P4">
        <f>SUBTOTAL(109,Plumas[Korean Total])</f>
        <v>0</v>
      </c>
      <c r="Q4">
        <f>SUBTOTAL(109,Plumas[Latin Total])</f>
        <v>0</v>
      </c>
      <c r="R4">
        <f>SUBTOTAL(109,Plumas[Portuguese Total])</f>
        <v>0</v>
      </c>
      <c r="S4">
        <f>SUBTOTAL(109,Plumas[Punjabi Total])</f>
        <v>0</v>
      </c>
      <c r="T4">
        <f>SUBTOTAL(109,Plumas[Russian Total])</f>
        <v>0</v>
      </c>
      <c r="U4">
        <f>SUBTOTAL(109,Plumas[Spanish Total])</f>
        <v>10</v>
      </c>
      <c r="V4">
        <f>SUBTOTAL(109,Plumas[Tagalog (Filipino) Total])</f>
        <v>0</v>
      </c>
      <c r="W4">
        <f>SUBTOTAL(109,Plumas[Urdu Total])</f>
        <v>0</v>
      </c>
      <c r="X4">
        <f>SUBTOTAL(109,Plumas[Vietnamese Total])</f>
        <v>0</v>
      </c>
      <c r="Y4">
        <f>SUBTOTAL(109,Plumas[Other Total])</f>
        <v>0</v>
      </c>
      <c r="Z4">
        <f>SUBTOTAL(109,Plumas[Total Seals per LEA])</f>
        <v>10</v>
      </c>
    </row>
  </sheetData>
  <conditionalFormatting sqref="A1:B2">
    <cfRule type="duplicateValues" dxfId="6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E062-0484-4986-870B-6F25A84AE9A2}">
  <dimension ref="A1:Z2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2.453125" bestFit="1" customWidth="1"/>
    <col min="2" max="2" width="40.089843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0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5" t="s">
        <v>683</v>
      </c>
      <c r="B3" s="5" t="s">
        <v>704</v>
      </c>
      <c r="C3">
        <v>15</v>
      </c>
      <c r="D3">
        <v>0</v>
      </c>
      <c r="E3">
        <v>0</v>
      </c>
      <c r="F3">
        <v>0</v>
      </c>
      <c r="G3">
        <v>0</v>
      </c>
      <c r="H3">
        <v>0</v>
      </c>
      <c r="I3">
        <v>9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0</v>
      </c>
      <c r="S3">
        <v>0</v>
      </c>
      <c r="T3">
        <v>0</v>
      </c>
      <c r="U3">
        <v>217</v>
      </c>
      <c r="V3">
        <v>0</v>
      </c>
      <c r="W3">
        <v>0</v>
      </c>
      <c r="X3">
        <v>0</v>
      </c>
      <c r="Y3">
        <v>0</v>
      </c>
      <c r="Z3">
        <f>SUM(Riverside[[#This Row],[American Sign Language Total]:[Other Total]])</f>
        <v>242</v>
      </c>
    </row>
    <row r="4" spans="1:26" x14ac:dyDescent="0.25">
      <c r="A4" s="5" t="s">
        <v>684</v>
      </c>
      <c r="B4" s="5" t="s">
        <v>705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3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26</v>
      </c>
      <c r="V4">
        <v>0</v>
      </c>
      <c r="W4">
        <v>0</v>
      </c>
      <c r="X4">
        <v>0</v>
      </c>
      <c r="Y4">
        <v>0</v>
      </c>
      <c r="Z4">
        <f>SUM(Riverside[[#This Row],[American Sign Language Total]:[Other Total]])</f>
        <v>29</v>
      </c>
    </row>
    <row r="5" spans="1:26" x14ac:dyDescent="0.25">
      <c r="A5" s="5" t="s">
        <v>685</v>
      </c>
      <c r="B5" s="5" t="s">
        <v>706</v>
      </c>
      <c r="C5">
        <v>18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109</v>
      </c>
      <c r="V5">
        <v>1</v>
      </c>
      <c r="W5">
        <v>0</v>
      </c>
      <c r="X5">
        <v>0</v>
      </c>
      <c r="Y5">
        <v>0</v>
      </c>
      <c r="Z5">
        <f>SUM(Riverside[[#This Row],[American Sign Language Total]:[Other Total]])</f>
        <v>128</v>
      </c>
    </row>
    <row r="6" spans="1:26" ht="30" x14ac:dyDescent="0.25">
      <c r="A6" s="5" t="s">
        <v>686</v>
      </c>
      <c r="B6" s="5" t="s">
        <v>707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>SUM(Riverside[[#This Row],[American Sign Language Total]:[Other Total]])</f>
        <v>1</v>
      </c>
    </row>
    <row r="7" spans="1:26" ht="30" x14ac:dyDescent="0.25">
      <c r="A7" s="5" t="s">
        <v>687</v>
      </c>
      <c r="B7" s="5" t="s">
        <v>708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375</v>
      </c>
      <c r="V7">
        <v>0</v>
      </c>
      <c r="W7">
        <v>0</v>
      </c>
      <c r="X7">
        <v>0</v>
      </c>
      <c r="Y7">
        <v>0</v>
      </c>
      <c r="Z7">
        <f>SUM(Riverside[[#This Row],[American Sign Language Total]:[Other Total]])</f>
        <v>375</v>
      </c>
    </row>
    <row r="8" spans="1:26" ht="45" x14ac:dyDescent="0.25">
      <c r="A8" s="5" t="s">
        <v>688</v>
      </c>
      <c r="B8" s="5" t="s">
        <v>709</v>
      </c>
      <c r="C8">
        <v>0</v>
      </c>
      <c r="D8">
        <v>0</v>
      </c>
      <c r="E8">
        <v>0</v>
      </c>
      <c r="F8">
        <v>0</v>
      </c>
      <c r="G8">
        <v>45</v>
      </c>
      <c r="H8">
        <v>0</v>
      </c>
      <c r="I8">
        <v>6</v>
      </c>
      <c r="J8">
        <v>1</v>
      </c>
      <c r="K8">
        <v>0</v>
      </c>
      <c r="L8">
        <v>0</v>
      </c>
      <c r="M8">
        <v>0</v>
      </c>
      <c r="N8">
        <v>0</v>
      </c>
      <c r="O8">
        <v>1</v>
      </c>
      <c r="P8">
        <v>0</v>
      </c>
      <c r="Q8">
        <v>0</v>
      </c>
      <c r="R8">
        <v>0</v>
      </c>
      <c r="S8">
        <v>0</v>
      </c>
      <c r="T8">
        <v>0</v>
      </c>
      <c r="U8">
        <v>323</v>
      </c>
      <c r="V8">
        <v>0</v>
      </c>
      <c r="W8">
        <v>0</v>
      </c>
      <c r="X8">
        <v>0</v>
      </c>
      <c r="Y8">
        <v>0</v>
      </c>
      <c r="Z8">
        <f>SUM(Riverside[[#This Row],[American Sign Language Total]:[Other Total]])</f>
        <v>376</v>
      </c>
    </row>
    <row r="9" spans="1:26" ht="45" x14ac:dyDescent="0.25">
      <c r="A9" s="5" t="s">
        <v>689</v>
      </c>
      <c r="B9" s="5" t="s">
        <v>710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29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313</v>
      </c>
      <c r="V9">
        <v>0</v>
      </c>
      <c r="W9">
        <v>0</v>
      </c>
      <c r="X9">
        <v>0</v>
      </c>
      <c r="Y9">
        <v>0</v>
      </c>
      <c r="Z9">
        <f>SUM(Riverside[[#This Row],[American Sign Language Total]:[Other Total]])</f>
        <v>342</v>
      </c>
    </row>
    <row r="10" spans="1:26" ht="45" x14ac:dyDescent="0.25">
      <c r="A10" s="5" t="s">
        <v>690</v>
      </c>
      <c r="B10" s="5" t="s">
        <v>1106</v>
      </c>
      <c r="C10">
        <v>4</v>
      </c>
      <c r="D10">
        <v>2</v>
      </c>
      <c r="E10">
        <v>0</v>
      </c>
      <c r="F10">
        <v>0</v>
      </c>
      <c r="G10">
        <v>1</v>
      </c>
      <c r="H10">
        <v>0</v>
      </c>
      <c r="I10">
        <v>2</v>
      </c>
      <c r="J10">
        <v>1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209</v>
      </c>
      <c r="V10">
        <v>1</v>
      </c>
      <c r="W10">
        <v>0</v>
      </c>
      <c r="X10">
        <v>0</v>
      </c>
      <c r="Y10">
        <v>1</v>
      </c>
      <c r="Z10">
        <f>SUM(Riverside[[#This Row],[American Sign Language Total]:[Other Total]])</f>
        <v>222</v>
      </c>
    </row>
    <row r="11" spans="1:26" x14ac:dyDescent="0.25">
      <c r="A11" s="5" t="s">
        <v>691</v>
      </c>
      <c r="B11" s="5" t="s">
        <v>711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10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</v>
      </c>
      <c r="T11">
        <v>0</v>
      </c>
      <c r="U11">
        <v>332</v>
      </c>
      <c r="V11">
        <v>0</v>
      </c>
      <c r="W11">
        <v>0</v>
      </c>
      <c r="X11">
        <v>2</v>
      </c>
      <c r="Y11">
        <v>0</v>
      </c>
      <c r="Z11">
        <f>SUM(Riverside[[#This Row],[American Sign Language Total]:[Other Total]])</f>
        <v>346</v>
      </c>
    </row>
    <row r="12" spans="1:26" ht="30" x14ac:dyDescent="0.25">
      <c r="A12" s="2" t="s">
        <v>692</v>
      </c>
      <c r="B12" s="5" t="s">
        <v>712</v>
      </c>
      <c r="C12" s="8">
        <v>0</v>
      </c>
      <c r="D12" s="8">
        <v>0</v>
      </c>
      <c r="E12" s="8">
        <v>0</v>
      </c>
      <c r="F12" s="8">
        <v>1</v>
      </c>
      <c r="G12" s="8">
        <v>1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156</v>
      </c>
      <c r="V12" s="8">
        <v>0</v>
      </c>
      <c r="W12" s="8">
        <v>0</v>
      </c>
      <c r="X12" s="8">
        <v>0</v>
      </c>
      <c r="Y12" s="8">
        <v>0</v>
      </c>
      <c r="Z12" s="8">
        <f>SUM(Riverside[[#This Row],[American Sign Language Total]:[Other Total]])</f>
        <v>158</v>
      </c>
    </row>
    <row r="13" spans="1:26" ht="30" x14ac:dyDescent="0.25">
      <c r="A13" s="2" t="s">
        <v>693</v>
      </c>
      <c r="B13" s="5" t="s">
        <v>713</v>
      </c>
      <c r="C13" s="8">
        <v>2</v>
      </c>
      <c r="D13" s="8">
        <v>0</v>
      </c>
      <c r="E13" s="8">
        <v>0</v>
      </c>
      <c r="F13" s="8">
        <v>0</v>
      </c>
      <c r="G13" s="8">
        <v>2</v>
      </c>
      <c r="H13" s="8">
        <v>0</v>
      </c>
      <c r="I13" s="8">
        <v>9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1</v>
      </c>
      <c r="P13" s="8">
        <v>0</v>
      </c>
      <c r="Q13" s="8">
        <v>1</v>
      </c>
      <c r="R13" s="8">
        <v>0</v>
      </c>
      <c r="S13" s="8">
        <v>0</v>
      </c>
      <c r="T13" s="8">
        <v>0</v>
      </c>
      <c r="U13" s="8">
        <v>267</v>
      </c>
      <c r="V13" s="8">
        <v>0</v>
      </c>
      <c r="W13" s="8">
        <v>0</v>
      </c>
      <c r="X13" s="8">
        <v>0</v>
      </c>
      <c r="Y13" s="8">
        <v>0</v>
      </c>
      <c r="Z13" s="8">
        <f>SUM(Riverside[[#This Row],[American Sign Language Total]:[Other Total]])</f>
        <v>282</v>
      </c>
    </row>
    <row r="14" spans="1:26" ht="30" x14ac:dyDescent="0.25">
      <c r="A14" s="2" t="s">
        <v>694</v>
      </c>
      <c r="B14" s="5" t="s">
        <v>714</v>
      </c>
      <c r="C14" s="8">
        <v>105</v>
      </c>
      <c r="D14" s="8">
        <v>4</v>
      </c>
      <c r="E14" s="8">
        <v>0</v>
      </c>
      <c r="F14" s="8">
        <v>0</v>
      </c>
      <c r="G14" s="8">
        <v>4</v>
      </c>
      <c r="H14" s="8">
        <v>0</v>
      </c>
      <c r="I14" s="8">
        <v>21</v>
      </c>
      <c r="J14" s="8">
        <v>3</v>
      </c>
      <c r="K14" s="8">
        <v>0</v>
      </c>
      <c r="L14" s="8">
        <v>0</v>
      </c>
      <c r="M14" s="8">
        <v>0</v>
      </c>
      <c r="N14" s="8">
        <v>0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186</v>
      </c>
      <c r="V14" s="8">
        <v>1</v>
      </c>
      <c r="W14" s="8">
        <v>0</v>
      </c>
      <c r="X14" s="8">
        <v>1</v>
      </c>
      <c r="Y14" s="8">
        <v>0</v>
      </c>
      <c r="Z14" s="8">
        <f>SUM(Riverside[[#This Row],[American Sign Language Total]:[Other Total]])</f>
        <v>326</v>
      </c>
    </row>
    <row r="15" spans="1:26" ht="45" x14ac:dyDescent="0.25">
      <c r="A15" s="2" t="s">
        <v>695</v>
      </c>
      <c r="B15" s="5" t="s">
        <v>715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26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19</v>
      </c>
      <c r="Q15" s="8">
        <v>0</v>
      </c>
      <c r="R15" s="8">
        <v>0</v>
      </c>
      <c r="S15" s="8">
        <v>0</v>
      </c>
      <c r="T15" s="8">
        <v>0</v>
      </c>
      <c r="U15" s="8">
        <v>254</v>
      </c>
      <c r="V15" s="8">
        <v>0</v>
      </c>
      <c r="W15" s="8">
        <v>0</v>
      </c>
      <c r="X15" s="8">
        <v>0</v>
      </c>
      <c r="Y15" s="8">
        <v>0</v>
      </c>
      <c r="Z15" s="8">
        <f>SUM(Riverside[[#This Row],[American Sign Language Total]:[Other Total]])</f>
        <v>299</v>
      </c>
    </row>
    <row r="16" spans="1:26" x14ac:dyDescent="0.25">
      <c r="A16" s="2" t="s">
        <v>1109</v>
      </c>
      <c r="B16" s="5" t="s">
        <v>1110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/>
      <c r="R16" s="8"/>
      <c r="S16" s="8"/>
      <c r="T16" s="8"/>
      <c r="U16" s="8">
        <v>6</v>
      </c>
      <c r="V16" s="8"/>
      <c r="W16" s="8"/>
      <c r="X16" s="8"/>
      <c r="Y16" s="8"/>
      <c r="Z16" s="8">
        <v>6</v>
      </c>
    </row>
    <row r="17" spans="1:26" ht="45" x14ac:dyDescent="0.25">
      <c r="A17" s="2" t="s">
        <v>696</v>
      </c>
      <c r="B17" s="5" t="s">
        <v>716</v>
      </c>
      <c r="C17" s="8">
        <v>28</v>
      </c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301</v>
      </c>
      <c r="V17" s="8">
        <v>1</v>
      </c>
      <c r="W17" s="8">
        <v>0</v>
      </c>
      <c r="X17" s="8">
        <v>0</v>
      </c>
      <c r="Y17" s="8">
        <v>0</v>
      </c>
      <c r="Z17" s="8">
        <f>SUM(Riverside[[#This Row],[American Sign Language Total]:[Other Total]])</f>
        <v>331</v>
      </c>
    </row>
    <row r="18" spans="1:26" x14ac:dyDescent="0.25">
      <c r="A18" s="2" t="s">
        <v>697</v>
      </c>
      <c r="B18" s="5" t="s">
        <v>697</v>
      </c>
      <c r="C18" s="8">
        <v>1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1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8</v>
      </c>
      <c r="V18" s="8">
        <v>0</v>
      </c>
      <c r="W18" s="8">
        <v>0</v>
      </c>
      <c r="X18" s="8">
        <v>0</v>
      </c>
      <c r="Y18" s="8">
        <v>0</v>
      </c>
      <c r="Z18" s="8">
        <f>SUM(Riverside[[#This Row],[American Sign Language Total]:[Other Total]])</f>
        <v>10</v>
      </c>
    </row>
    <row r="19" spans="1:26" ht="45" x14ac:dyDescent="0.25">
      <c r="A19" s="2" t="s">
        <v>698</v>
      </c>
      <c r="B19" s="5" t="s">
        <v>717</v>
      </c>
      <c r="C19" s="8">
        <v>4</v>
      </c>
      <c r="D19" s="8">
        <v>0</v>
      </c>
      <c r="E19" s="8">
        <v>0</v>
      </c>
      <c r="F19" s="8">
        <v>0</v>
      </c>
      <c r="G19" s="8">
        <v>21</v>
      </c>
      <c r="H19" s="8">
        <v>0</v>
      </c>
      <c r="I19" s="8">
        <v>10</v>
      </c>
      <c r="J19" s="8">
        <v>0</v>
      </c>
      <c r="K19" s="8">
        <v>0</v>
      </c>
      <c r="L19" s="8">
        <v>0</v>
      </c>
      <c r="M19" s="8">
        <v>0</v>
      </c>
      <c r="N19" s="8">
        <v>1</v>
      </c>
      <c r="O19" s="8">
        <v>1</v>
      </c>
      <c r="P19" s="8">
        <v>1</v>
      </c>
      <c r="Q19" s="8">
        <v>0</v>
      </c>
      <c r="R19" s="8">
        <v>0</v>
      </c>
      <c r="S19" s="8">
        <v>0</v>
      </c>
      <c r="T19" s="8">
        <v>0</v>
      </c>
      <c r="U19" s="8">
        <v>471</v>
      </c>
      <c r="V19" s="8">
        <v>0</v>
      </c>
      <c r="W19" s="8">
        <v>0</v>
      </c>
      <c r="X19" s="8">
        <v>1</v>
      </c>
      <c r="Y19" s="8">
        <v>0</v>
      </c>
      <c r="Z19" s="8">
        <f>SUM(Riverside[[#This Row],[American Sign Language Total]:[Other Total]])</f>
        <v>510</v>
      </c>
    </row>
    <row r="20" spans="1:26" x14ac:dyDescent="0.25">
      <c r="A20" s="2" t="s">
        <v>699</v>
      </c>
      <c r="B20" s="5" t="s">
        <v>718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1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25</v>
      </c>
      <c r="V20" s="8">
        <v>0</v>
      </c>
      <c r="W20" s="8">
        <v>0</v>
      </c>
      <c r="X20" s="8">
        <v>0</v>
      </c>
      <c r="Y20" s="8">
        <v>0</v>
      </c>
      <c r="Z20" s="8">
        <f>SUM(Riverside[[#This Row],[American Sign Language Total]:[Other Total]])</f>
        <v>26</v>
      </c>
    </row>
    <row r="21" spans="1:26" x14ac:dyDescent="0.25">
      <c r="A21" s="2" t="s">
        <v>700</v>
      </c>
      <c r="B21" s="5" t="s">
        <v>700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25</v>
      </c>
      <c r="V21" s="8">
        <v>0</v>
      </c>
      <c r="W21" s="8">
        <v>0</v>
      </c>
      <c r="X21" s="8">
        <v>0</v>
      </c>
      <c r="Y21" s="8">
        <v>0</v>
      </c>
      <c r="Z21" s="8">
        <f>SUM(Riverside[[#This Row],[American Sign Language Total]:[Other Total]])</f>
        <v>25</v>
      </c>
    </row>
    <row r="22" spans="1:26" x14ac:dyDescent="0.25">
      <c r="A22" s="2" t="s">
        <v>701</v>
      </c>
      <c r="B22" s="5" t="s">
        <v>701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2</v>
      </c>
      <c r="R22" s="8">
        <v>0</v>
      </c>
      <c r="S22" s="8">
        <v>0</v>
      </c>
      <c r="T22" s="8">
        <v>0</v>
      </c>
      <c r="U22" s="8">
        <v>2</v>
      </c>
      <c r="V22" s="8">
        <v>0</v>
      </c>
      <c r="W22" s="8">
        <v>0</v>
      </c>
      <c r="X22" s="8">
        <v>0</v>
      </c>
      <c r="Y22" s="8">
        <v>0</v>
      </c>
      <c r="Z22" s="8">
        <f>SUM(Riverside[[#This Row],[American Sign Language Total]:[Other Total]])</f>
        <v>4</v>
      </c>
    </row>
    <row r="23" spans="1:26" ht="30" x14ac:dyDescent="0.25">
      <c r="A23" s="2" t="s">
        <v>702</v>
      </c>
      <c r="B23" s="5" t="s">
        <v>719</v>
      </c>
      <c r="C23" s="8">
        <v>52</v>
      </c>
      <c r="D23" s="8">
        <v>0</v>
      </c>
      <c r="E23" s="8">
        <v>0</v>
      </c>
      <c r="F23" s="8">
        <v>0</v>
      </c>
      <c r="G23" s="8">
        <v>3</v>
      </c>
      <c r="H23" s="8">
        <v>0</v>
      </c>
      <c r="I23" s="8">
        <v>22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1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230</v>
      </c>
      <c r="V23" s="8">
        <v>0</v>
      </c>
      <c r="W23" s="8">
        <v>0</v>
      </c>
      <c r="X23" s="8">
        <v>0</v>
      </c>
      <c r="Y23" s="8">
        <v>0</v>
      </c>
      <c r="Z23" s="8">
        <f>SUM(Riverside[[#This Row],[American Sign Language Total]:[Other Total]])</f>
        <v>308</v>
      </c>
    </row>
    <row r="24" spans="1:26" ht="30" x14ac:dyDescent="0.25">
      <c r="A24" s="2" t="s">
        <v>703</v>
      </c>
      <c r="B24" s="5" t="s">
        <v>720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266</v>
      </c>
      <c r="V24" s="8">
        <v>0</v>
      </c>
      <c r="W24" s="8">
        <v>0</v>
      </c>
      <c r="X24" s="8">
        <v>0</v>
      </c>
      <c r="Y24" s="8">
        <v>0</v>
      </c>
      <c r="Z24" s="8">
        <f>SUM(Riverside[[#This Row],[American Sign Language Total]:[Other Total]])</f>
        <v>266</v>
      </c>
    </row>
    <row r="25" spans="1:26" ht="15.6" x14ac:dyDescent="0.25">
      <c r="A25" s="15" t="s">
        <v>721</v>
      </c>
      <c r="B25" s="26" t="s">
        <v>1092</v>
      </c>
      <c r="C25" s="3">
        <f>SUBTOTAL(109,Riverside[American Sign Language Total])</f>
        <v>230</v>
      </c>
      <c r="D25" s="3">
        <f>SUBTOTAL(109,Riverside[Arabic Total])</f>
        <v>7</v>
      </c>
      <c r="E25" s="3">
        <f>SUBTOTAL(109,Riverside[Armenian Total])</f>
        <v>0</v>
      </c>
      <c r="F25" s="3">
        <f>SUBTOTAL(109,Riverside[Bengali Total])</f>
        <v>1</v>
      </c>
      <c r="G25" s="3">
        <f>SUBTOTAL(109,Riverside[Chinese (Mandarin or Cantonese) Total])</f>
        <v>77</v>
      </c>
      <c r="H25" s="3">
        <f>SUBTOTAL(109,Riverside[Farsi (Persian) Total])</f>
        <v>0</v>
      </c>
      <c r="I25" s="3">
        <f>SUBTOTAL(109,Riverside[French Total])</f>
        <v>145</v>
      </c>
      <c r="J25" s="3">
        <f>SUBTOTAL(109,Riverside[German Total])</f>
        <v>6</v>
      </c>
      <c r="K25" s="3">
        <f>SUBTOTAL(109,Riverside[Hebrew Total])</f>
        <v>0</v>
      </c>
      <c r="L25" s="3">
        <f>SUBTOTAL(109,Riverside[Hindi Total])</f>
        <v>1</v>
      </c>
      <c r="M25" s="3">
        <f>SUBTOTAL(109,Riverside[Hmong Total])</f>
        <v>3</v>
      </c>
      <c r="N25" s="3">
        <f>SUBTOTAL(109,Riverside[Italian Total])</f>
        <v>1</v>
      </c>
      <c r="O25" s="3">
        <f>SUBTOTAL(109,Riverside[Japanese Total])</f>
        <v>5</v>
      </c>
      <c r="P25" s="3">
        <f>SUBTOTAL(109,Riverside[Korean Total])</f>
        <v>21</v>
      </c>
      <c r="Q25" s="3">
        <f>SUBTOTAL(109,Riverside[Latin Total])</f>
        <v>3</v>
      </c>
      <c r="R25" s="3">
        <f>SUBTOTAL(109,Riverside[Portuguese Total])</f>
        <v>0</v>
      </c>
      <c r="S25" s="3">
        <f>SUBTOTAL(109,Riverside[Punjabi Total])</f>
        <v>2</v>
      </c>
      <c r="T25" s="3">
        <f>SUBTOTAL(109,Riverside[Russian Total])</f>
        <v>0</v>
      </c>
      <c r="U25" s="3">
        <f>SUBTOTAL(109,Riverside[Spanish Total])</f>
        <v>4101</v>
      </c>
      <c r="V25" s="3">
        <f>SUBTOTAL(109,Riverside[Tagalog (Filipino) Total])</f>
        <v>4</v>
      </c>
      <c r="W25" s="3">
        <f>SUBTOTAL(109,Riverside[Urdu Total])</f>
        <v>0</v>
      </c>
      <c r="X25" s="3">
        <f>SUBTOTAL(109,Riverside[Vietnamese Total])</f>
        <v>4</v>
      </c>
      <c r="Y25" s="3">
        <f>SUBTOTAL(109,Riverside[Other Total])</f>
        <v>1</v>
      </c>
      <c r="Z25" s="3">
        <f>SUBTOTAL(109,Riverside[Total Seals per LEA])</f>
        <v>4612</v>
      </c>
    </row>
  </sheetData>
  <conditionalFormatting sqref="A1:B2">
    <cfRule type="duplicateValues" dxfId="6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713A-21A4-49CC-A3F7-C16EF77EED48}">
  <dimension ref="A1:Z15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5.90625" bestFit="1" customWidth="1"/>
    <col min="2" max="2" width="40.089843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2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0" t="s">
        <v>14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778</v>
      </c>
      <c r="B3" s="5" t="s">
        <v>790</v>
      </c>
      <c r="C3">
        <v>0</v>
      </c>
      <c r="D3">
        <v>0</v>
      </c>
      <c r="E3">
        <v>0</v>
      </c>
      <c r="F3">
        <v>0</v>
      </c>
      <c r="G3">
        <v>0</v>
      </c>
      <c r="H3">
        <v>3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</v>
      </c>
      <c r="T3">
        <v>2</v>
      </c>
      <c r="U3">
        <v>32</v>
      </c>
      <c r="V3">
        <v>1</v>
      </c>
      <c r="W3">
        <v>0</v>
      </c>
      <c r="X3">
        <v>0</v>
      </c>
      <c r="Y3">
        <v>4</v>
      </c>
      <c r="Z3">
        <v>44</v>
      </c>
    </row>
    <row r="4" spans="1:26" ht="75" x14ac:dyDescent="0.25">
      <c r="A4" t="s">
        <v>779</v>
      </c>
      <c r="B4" s="5" t="s">
        <v>791</v>
      </c>
      <c r="C4">
        <v>1</v>
      </c>
      <c r="D4">
        <v>4</v>
      </c>
      <c r="E4">
        <v>0</v>
      </c>
      <c r="F4">
        <v>0</v>
      </c>
      <c r="G4">
        <v>18</v>
      </c>
      <c r="H4">
        <v>2</v>
      </c>
      <c r="I4">
        <v>45</v>
      </c>
      <c r="J4">
        <v>0</v>
      </c>
      <c r="K4">
        <v>0</v>
      </c>
      <c r="L4">
        <v>1</v>
      </c>
      <c r="M4">
        <v>2</v>
      </c>
      <c r="N4">
        <v>0</v>
      </c>
      <c r="O4">
        <v>71</v>
      </c>
      <c r="P4">
        <v>0</v>
      </c>
      <c r="Q4">
        <v>0</v>
      </c>
      <c r="R4">
        <v>0</v>
      </c>
      <c r="S4">
        <v>2</v>
      </c>
      <c r="T4">
        <v>1</v>
      </c>
      <c r="U4">
        <v>316</v>
      </c>
      <c r="V4">
        <v>6</v>
      </c>
      <c r="W4">
        <v>2</v>
      </c>
      <c r="X4">
        <v>17</v>
      </c>
      <c r="Y4">
        <v>11</v>
      </c>
      <c r="Z4">
        <v>499</v>
      </c>
    </row>
    <row r="5" spans="1:26" x14ac:dyDescent="0.25">
      <c r="A5" t="s">
        <v>780</v>
      </c>
      <c r="B5" s="5" t="s">
        <v>792</v>
      </c>
      <c r="C5">
        <v>0</v>
      </c>
      <c r="D5">
        <v>3</v>
      </c>
      <c r="E5">
        <v>2</v>
      </c>
      <c r="F5">
        <v>0</v>
      </c>
      <c r="G5">
        <v>7</v>
      </c>
      <c r="H5">
        <v>2</v>
      </c>
      <c r="I5">
        <v>44</v>
      </c>
      <c r="J5">
        <v>10</v>
      </c>
      <c r="K5">
        <v>0</v>
      </c>
      <c r="L5">
        <v>3</v>
      </c>
      <c r="M5">
        <v>0</v>
      </c>
      <c r="N5">
        <v>0</v>
      </c>
      <c r="O5">
        <v>2</v>
      </c>
      <c r="P5">
        <v>6</v>
      </c>
      <c r="Q5">
        <v>0</v>
      </c>
      <c r="R5">
        <v>0</v>
      </c>
      <c r="S5">
        <v>0</v>
      </c>
      <c r="T5">
        <v>14</v>
      </c>
      <c r="U5">
        <v>187</v>
      </c>
      <c r="V5">
        <v>3</v>
      </c>
      <c r="W5">
        <v>2</v>
      </c>
      <c r="X5">
        <v>0</v>
      </c>
      <c r="Y5">
        <v>17</v>
      </c>
      <c r="Z5">
        <v>302</v>
      </c>
    </row>
    <row r="6" spans="1:26" x14ac:dyDescent="0.25">
      <c r="A6" t="s">
        <v>781</v>
      </c>
      <c r="B6" s="5" t="s">
        <v>781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</v>
      </c>
      <c r="V6">
        <v>0</v>
      </c>
      <c r="W6">
        <v>0</v>
      </c>
      <c r="X6">
        <v>0</v>
      </c>
      <c r="Y6">
        <v>0</v>
      </c>
      <c r="Z6">
        <v>7</v>
      </c>
    </row>
    <row r="7" spans="1:26" x14ac:dyDescent="0.25">
      <c r="A7" s="2" t="s">
        <v>789</v>
      </c>
      <c r="B7" s="5" t="s">
        <v>793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11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89</v>
      </c>
      <c r="V7" s="8">
        <v>0</v>
      </c>
      <c r="W7" s="8">
        <v>0</v>
      </c>
      <c r="X7" s="8">
        <v>0</v>
      </c>
      <c r="Y7" s="8">
        <v>0</v>
      </c>
      <c r="Z7" s="8">
        <v>100</v>
      </c>
    </row>
    <row r="8" spans="1:26" x14ac:dyDescent="0.25">
      <c r="A8" s="6" t="s">
        <v>782</v>
      </c>
      <c r="B8" s="5" t="s">
        <v>782</v>
      </c>
      <c r="C8" s="8">
        <v>0</v>
      </c>
      <c r="D8" s="8">
        <v>0</v>
      </c>
      <c r="E8" s="8">
        <v>0</v>
      </c>
      <c r="F8" s="8">
        <v>0</v>
      </c>
      <c r="G8" s="8">
        <v>6</v>
      </c>
      <c r="H8" s="8">
        <v>0</v>
      </c>
      <c r="I8" s="8">
        <v>3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1</v>
      </c>
      <c r="T8" s="8">
        <v>1</v>
      </c>
      <c r="U8" s="8">
        <v>53</v>
      </c>
      <c r="V8" s="8">
        <v>1</v>
      </c>
      <c r="W8" s="8">
        <v>0</v>
      </c>
      <c r="X8" s="8">
        <v>0</v>
      </c>
      <c r="Y8" s="8">
        <v>0</v>
      </c>
      <c r="Z8" s="8">
        <v>65</v>
      </c>
    </row>
    <row r="9" spans="1:26" ht="30" x14ac:dyDescent="0.25">
      <c r="A9" s="6" t="s">
        <v>783</v>
      </c>
      <c r="B9" s="5" t="s">
        <v>796</v>
      </c>
      <c r="C9" s="8">
        <v>0</v>
      </c>
      <c r="D9" s="8">
        <v>2</v>
      </c>
      <c r="E9" s="8">
        <v>0</v>
      </c>
      <c r="F9" s="8">
        <v>0</v>
      </c>
      <c r="G9" s="8">
        <v>12</v>
      </c>
      <c r="H9" s="8">
        <v>1</v>
      </c>
      <c r="I9" s="8">
        <v>18</v>
      </c>
      <c r="J9" s="8">
        <v>2</v>
      </c>
      <c r="K9" s="8">
        <v>0</v>
      </c>
      <c r="L9" s="8">
        <v>3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22</v>
      </c>
      <c r="T9" s="8">
        <v>2</v>
      </c>
      <c r="U9" s="8">
        <v>129</v>
      </c>
      <c r="V9" s="8">
        <v>10</v>
      </c>
      <c r="W9" s="8">
        <v>7</v>
      </c>
      <c r="X9" s="8">
        <v>1</v>
      </c>
      <c r="Y9" s="8">
        <v>9</v>
      </c>
      <c r="Z9" s="8">
        <v>218</v>
      </c>
    </row>
    <row r="10" spans="1:26" x14ac:dyDescent="0.25">
      <c r="A10" s="6" t="s">
        <v>784</v>
      </c>
      <c r="B10" s="5" t="s">
        <v>784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</v>
      </c>
      <c r="V10" s="8">
        <v>0</v>
      </c>
      <c r="W10" s="8">
        <v>0</v>
      </c>
      <c r="X10" s="8">
        <v>0</v>
      </c>
      <c r="Y10" s="8">
        <v>0</v>
      </c>
      <c r="Z10" s="8">
        <v>1</v>
      </c>
    </row>
    <row r="11" spans="1:26" x14ac:dyDescent="0.25">
      <c r="A11" t="s">
        <v>785</v>
      </c>
      <c r="B11" s="5" t="s">
        <v>794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38</v>
      </c>
      <c r="V11">
        <v>0</v>
      </c>
      <c r="W11">
        <v>0</v>
      </c>
      <c r="X11">
        <v>0</v>
      </c>
      <c r="Y11">
        <v>0</v>
      </c>
      <c r="Z11">
        <v>39</v>
      </c>
    </row>
    <row r="12" spans="1:26" ht="90" x14ac:dyDescent="0.25">
      <c r="A12" t="s">
        <v>786</v>
      </c>
      <c r="B12" s="5" t="s">
        <v>795</v>
      </c>
      <c r="C12">
        <v>0</v>
      </c>
      <c r="D12">
        <v>0</v>
      </c>
      <c r="E12">
        <v>0</v>
      </c>
      <c r="F12">
        <v>0</v>
      </c>
      <c r="G12">
        <v>22</v>
      </c>
      <c r="H12">
        <v>0</v>
      </c>
      <c r="I12">
        <v>24</v>
      </c>
      <c r="J12">
        <v>6</v>
      </c>
      <c r="K12">
        <v>0</v>
      </c>
      <c r="L12">
        <v>0</v>
      </c>
      <c r="M12">
        <v>13</v>
      </c>
      <c r="N12">
        <v>0</v>
      </c>
      <c r="O12">
        <v>16</v>
      </c>
      <c r="P12">
        <v>0</v>
      </c>
      <c r="Q12">
        <v>0</v>
      </c>
      <c r="R12">
        <v>0</v>
      </c>
      <c r="S12">
        <v>0</v>
      </c>
      <c r="T12">
        <v>2</v>
      </c>
      <c r="U12">
        <v>206</v>
      </c>
      <c r="V12">
        <v>3</v>
      </c>
      <c r="W12">
        <v>1</v>
      </c>
      <c r="X12">
        <v>0</v>
      </c>
      <c r="Y12">
        <v>1</v>
      </c>
      <c r="Z12">
        <v>294</v>
      </c>
    </row>
    <row r="13" spans="1:26" ht="75" x14ac:dyDescent="0.25">
      <c r="A13" t="s">
        <v>787</v>
      </c>
      <c r="B13" s="5" t="s">
        <v>797</v>
      </c>
      <c r="C13">
        <v>14</v>
      </c>
      <c r="D13">
        <v>17</v>
      </c>
      <c r="E13">
        <v>1</v>
      </c>
      <c r="F13">
        <v>0</v>
      </c>
      <c r="G13">
        <v>29</v>
      </c>
      <c r="H13">
        <v>8</v>
      </c>
      <c r="I13">
        <v>64</v>
      </c>
      <c r="J13">
        <v>0</v>
      </c>
      <c r="K13">
        <v>0</v>
      </c>
      <c r="L13">
        <v>1</v>
      </c>
      <c r="M13">
        <v>0</v>
      </c>
      <c r="N13">
        <v>0</v>
      </c>
      <c r="O13">
        <v>23</v>
      </c>
      <c r="P13">
        <v>2</v>
      </c>
      <c r="Q13">
        <v>0</v>
      </c>
      <c r="R13">
        <v>1</v>
      </c>
      <c r="S13">
        <v>0</v>
      </c>
      <c r="T13">
        <v>21</v>
      </c>
      <c r="U13">
        <v>241</v>
      </c>
      <c r="V13">
        <v>3</v>
      </c>
      <c r="W13">
        <v>0</v>
      </c>
      <c r="X13">
        <v>3</v>
      </c>
      <c r="Y13">
        <v>25</v>
      </c>
      <c r="Z13">
        <v>453</v>
      </c>
    </row>
    <row r="14" spans="1:26" ht="45" x14ac:dyDescent="0.25">
      <c r="A14" t="s">
        <v>788</v>
      </c>
      <c r="B14" s="5" t="s">
        <v>798</v>
      </c>
      <c r="C14">
        <v>0</v>
      </c>
      <c r="D14">
        <v>1</v>
      </c>
      <c r="E14">
        <v>0</v>
      </c>
      <c r="F14">
        <v>0</v>
      </c>
      <c r="G14">
        <v>0</v>
      </c>
      <c r="H14">
        <v>6</v>
      </c>
      <c r="I14">
        <v>7</v>
      </c>
      <c r="J14">
        <v>0</v>
      </c>
      <c r="K14">
        <v>0</v>
      </c>
      <c r="L14">
        <v>0</v>
      </c>
      <c r="M14">
        <v>12</v>
      </c>
      <c r="N14">
        <v>0</v>
      </c>
      <c r="O14">
        <v>1</v>
      </c>
      <c r="P14">
        <v>0</v>
      </c>
      <c r="Q14">
        <v>0</v>
      </c>
      <c r="R14">
        <v>0</v>
      </c>
      <c r="S14">
        <v>0</v>
      </c>
      <c r="T14">
        <v>2</v>
      </c>
      <c r="U14">
        <v>164</v>
      </c>
      <c r="V14">
        <v>2</v>
      </c>
      <c r="W14">
        <v>1</v>
      </c>
      <c r="X14">
        <v>0</v>
      </c>
      <c r="Y14">
        <v>18</v>
      </c>
      <c r="Z14">
        <v>214</v>
      </c>
    </row>
    <row r="15" spans="1:26" ht="15.6" x14ac:dyDescent="0.25">
      <c r="A15" s="15" t="s">
        <v>799</v>
      </c>
      <c r="B15" s="26" t="s">
        <v>801</v>
      </c>
      <c r="C15" s="3">
        <f>SUBTOTAL(109,Sacramento[American Sign Language Total])</f>
        <v>16</v>
      </c>
      <c r="D15" s="3">
        <f>SUBTOTAL(109,Sacramento[Arabic Total])</f>
        <v>27</v>
      </c>
      <c r="E15" s="3">
        <f>SUBTOTAL(109,Sacramento[Armenian Total])</f>
        <v>3</v>
      </c>
      <c r="F15" s="3">
        <f>SUBTOTAL(109,Sacramento[Bengali Total])</f>
        <v>0</v>
      </c>
      <c r="G15" s="3">
        <f>SUBTOTAL(109,Sacramento[Chinese (Mandarin or Cantonese) Total])</f>
        <v>94</v>
      </c>
      <c r="H15" s="3">
        <f>SUBTOTAL(109,Sacramento[Farsi (Persian) Total])</f>
        <v>22</v>
      </c>
      <c r="I15" s="3">
        <f>SUBTOTAL(109,Sacramento[French Total])</f>
        <v>205</v>
      </c>
      <c r="J15" s="3">
        <f>SUBTOTAL(109,Sacramento[German Total])</f>
        <v>29</v>
      </c>
      <c r="K15" s="3">
        <f>SUBTOTAL(109,Sacramento[Hebrew Total])</f>
        <v>0</v>
      </c>
      <c r="L15" s="3">
        <f>SUBTOTAL(109,Sacramento[Hindi Total])</f>
        <v>8</v>
      </c>
      <c r="M15" s="3">
        <f>SUBTOTAL(109,Sacramento[Hmong Total])</f>
        <v>27</v>
      </c>
      <c r="N15" s="3">
        <f>SUBTOTAL(109,Sacramento[Italian Total])</f>
        <v>0</v>
      </c>
      <c r="O15" s="3">
        <f>SUBTOTAL(109,Sacramento[Japanese Total])</f>
        <v>113</v>
      </c>
      <c r="P15" s="3">
        <f>SUBTOTAL(109,Sacramento[Korean Total])</f>
        <v>8</v>
      </c>
      <c r="Q15" s="3">
        <f>SUBTOTAL(109,Sacramento[Latin Total])</f>
        <v>0</v>
      </c>
      <c r="R15" s="3">
        <f>SUBTOTAL(109,Sacramento[Portuguese Total])</f>
        <v>1</v>
      </c>
      <c r="S15" s="3">
        <f>SUBTOTAL(109,Sacramento[Punjabi Total])</f>
        <v>27</v>
      </c>
      <c r="T15" s="3">
        <f>SUBTOTAL(109,Sacramento[Russian Total])</f>
        <v>45</v>
      </c>
      <c r="U15" s="3">
        <f>SUBTOTAL(109,Sacramento[Spanish Total])</f>
        <v>1463</v>
      </c>
      <c r="V15" s="3">
        <f>SUBTOTAL(109,Sacramento[Tagalog (Filipino) Total])</f>
        <v>29</v>
      </c>
      <c r="W15" s="3">
        <f>SUBTOTAL(109,Sacramento[Urdu Total])</f>
        <v>13</v>
      </c>
      <c r="X15" s="3">
        <f>SUBTOTAL(109,Sacramento[Vietnamese Total])</f>
        <v>21</v>
      </c>
      <c r="Y15" s="3">
        <f>SUBTOTAL(109,Sacramento[Other Total])</f>
        <v>85</v>
      </c>
      <c r="Z15" s="3">
        <f>SUBTOTAL(109,Sacramento[Total Seals per LEA])</f>
        <v>2236</v>
      </c>
    </row>
  </sheetData>
  <conditionalFormatting sqref="A1:B2">
    <cfRule type="duplicateValues" dxfId="6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E6D3-684E-4504-83FB-1CDC622B620E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1796875" bestFit="1" customWidth="1"/>
    <col min="2" max="2" width="21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5" t="s">
        <v>802</v>
      </c>
      <c r="B3" t="s">
        <v>803</v>
      </c>
      <c r="C3">
        <v>15</v>
      </c>
      <c r="D3">
        <v>0</v>
      </c>
      <c r="E3">
        <v>0</v>
      </c>
      <c r="F3">
        <v>0</v>
      </c>
      <c r="G3">
        <v>0</v>
      </c>
      <c r="H3">
        <v>0</v>
      </c>
      <c r="I3">
        <v>10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94</v>
      </c>
      <c r="V3">
        <v>0</v>
      </c>
      <c r="W3">
        <v>0</v>
      </c>
      <c r="X3">
        <v>0</v>
      </c>
      <c r="Y3">
        <v>0</v>
      </c>
      <c r="Z3">
        <f>SUM(SanBenito[[#This Row],[American Sign Language Total]:[Other Total]])</f>
        <v>119</v>
      </c>
    </row>
    <row r="4" spans="1:26" x14ac:dyDescent="0.25">
      <c r="A4" s="15" t="s">
        <v>158</v>
      </c>
      <c r="B4" s="26" t="s">
        <v>210</v>
      </c>
      <c r="C4" s="3">
        <f>SUBTOTAL(109,SanBenito[American Sign Language Total])</f>
        <v>15</v>
      </c>
      <c r="D4" s="3">
        <f>SUBTOTAL(109,SanBenito[Arabic Total])</f>
        <v>0</v>
      </c>
      <c r="E4" s="3">
        <f>SUBTOTAL(109,SanBenito[Armenian Total])</f>
        <v>0</v>
      </c>
      <c r="F4" s="3">
        <f>SUBTOTAL(109,SanBenito[Bengali Total])</f>
        <v>0</v>
      </c>
      <c r="G4" s="3">
        <f>SUBTOTAL(109,SanBenito[Chinese (Mandarin or Cantonese) Total])</f>
        <v>0</v>
      </c>
      <c r="H4" s="3">
        <f>SUBTOTAL(109,SanBenito[Farsi (Persian) Total])</f>
        <v>0</v>
      </c>
      <c r="I4" s="3">
        <f>SUBTOTAL(109,SanBenito[French Total])</f>
        <v>10</v>
      </c>
      <c r="J4" s="3">
        <f>SUBTOTAL(109,SanBenito[German Total])</f>
        <v>0</v>
      </c>
      <c r="K4" s="3">
        <f>SUBTOTAL(109,SanBenito[Hebrew Total])</f>
        <v>0</v>
      </c>
      <c r="L4" s="3">
        <f>SUBTOTAL(109,SanBenito[Hindi Total])</f>
        <v>0</v>
      </c>
      <c r="M4" s="3">
        <f>SUBTOTAL(109,SanBenito[Hmong Total])</f>
        <v>0</v>
      </c>
      <c r="N4" s="3">
        <f>SUBTOTAL(109,SanBenito[Italian Total])</f>
        <v>0</v>
      </c>
      <c r="O4" s="3">
        <f>SUBTOTAL(109,SanBenito[Japanese Total])</f>
        <v>0</v>
      </c>
      <c r="P4" s="3">
        <f>SUBTOTAL(109,SanBenito[Korean Total])</f>
        <v>0</v>
      </c>
      <c r="Q4" s="3">
        <f>SUBTOTAL(109,SanBenito[Latin Total])</f>
        <v>0</v>
      </c>
      <c r="R4" s="3">
        <f>SUBTOTAL(109,SanBenito[Portuguese Total])</f>
        <v>0</v>
      </c>
      <c r="S4" s="3">
        <f>SUBTOTAL(109,SanBenito[Punjabi Total])</f>
        <v>0</v>
      </c>
      <c r="T4" s="3">
        <f>SUBTOTAL(109,SanBenito[Russian Total])</f>
        <v>0</v>
      </c>
      <c r="U4" s="3">
        <f>SUBTOTAL(109,SanBenito[Spanish Total])</f>
        <v>94</v>
      </c>
      <c r="V4" s="3">
        <f>SUBTOTAL(109,SanBenito[Tagalog (Filipino) Total])</f>
        <v>0</v>
      </c>
      <c r="W4" s="3">
        <f>SUBTOTAL(109,SanBenito[Urdu Total])</f>
        <v>0</v>
      </c>
      <c r="X4" s="3">
        <f>SUBTOTAL(109,SanBenito[Vietnamese Total])</f>
        <v>0</v>
      </c>
      <c r="Y4" s="3">
        <f>SUBTOTAL(109,SanBenito[Other Total])</f>
        <v>0</v>
      </c>
      <c r="Z4" s="3">
        <f>SUBTOTAL(109,SanBenito[Total Seals per LEA])</f>
        <v>119</v>
      </c>
    </row>
  </sheetData>
  <conditionalFormatting sqref="A1:B2">
    <cfRule type="duplicateValues" dxfId="6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D4E3-F72A-4E81-9E20-4A784A138586}">
  <dimension ref="A1:Z2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6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9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804</v>
      </c>
      <c r="B3" s="5" t="s">
        <v>804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18</v>
      </c>
      <c r="V3">
        <v>0</v>
      </c>
      <c r="W3">
        <v>0</v>
      </c>
      <c r="X3">
        <v>0</v>
      </c>
      <c r="Y3">
        <v>0</v>
      </c>
      <c r="Z3">
        <v>18</v>
      </c>
    </row>
    <row r="4" spans="1:26" x14ac:dyDescent="0.25">
      <c r="A4" s="5" t="s">
        <v>805</v>
      </c>
      <c r="B4" s="5" t="s">
        <v>831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3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68</v>
      </c>
      <c r="V4">
        <v>0</v>
      </c>
      <c r="W4">
        <v>0</v>
      </c>
      <c r="X4">
        <v>0</v>
      </c>
      <c r="Y4">
        <v>0</v>
      </c>
      <c r="Z4">
        <v>71</v>
      </c>
    </row>
    <row r="5" spans="1:26" x14ac:dyDescent="0.25">
      <c r="A5" s="2" t="s">
        <v>806</v>
      </c>
      <c r="B5" s="2" t="s">
        <v>832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25</v>
      </c>
      <c r="V5" s="8">
        <v>0</v>
      </c>
      <c r="W5" s="8">
        <v>0</v>
      </c>
      <c r="X5" s="8">
        <v>0</v>
      </c>
      <c r="Y5" s="8">
        <v>0</v>
      </c>
      <c r="Z5" s="8">
        <v>25</v>
      </c>
    </row>
    <row r="6" spans="1:26" x14ac:dyDescent="0.25">
      <c r="A6" s="2" t="s">
        <v>807</v>
      </c>
      <c r="B6" s="2" t="s">
        <v>833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8</v>
      </c>
      <c r="V6" s="8">
        <v>0</v>
      </c>
      <c r="W6" s="8">
        <v>0</v>
      </c>
      <c r="X6" s="8">
        <v>0</v>
      </c>
      <c r="Y6" s="8">
        <v>0</v>
      </c>
      <c r="Z6" s="8">
        <v>8</v>
      </c>
    </row>
    <row r="7" spans="1:26" ht="60" x14ac:dyDescent="0.25">
      <c r="A7" s="2" t="s">
        <v>808</v>
      </c>
      <c r="B7" s="2" t="s">
        <v>834</v>
      </c>
      <c r="C7" s="8">
        <v>36</v>
      </c>
      <c r="D7" s="8">
        <v>0</v>
      </c>
      <c r="E7" s="8">
        <v>0</v>
      </c>
      <c r="F7" s="8">
        <v>0</v>
      </c>
      <c r="G7" s="8">
        <v>52</v>
      </c>
      <c r="H7" s="8">
        <v>0</v>
      </c>
      <c r="I7" s="8">
        <v>35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658</v>
      </c>
      <c r="V7" s="8">
        <v>0</v>
      </c>
      <c r="W7" s="8">
        <v>0</v>
      </c>
      <c r="X7" s="8">
        <v>0</v>
      </c>
      <c r="Y7" s="8">
        <v>0</v>
      </c>
      <c r="Z7" s="8">
        <v>781</v>
      </c>
    </row>
    <row r="8" spans="1:26" ht="45" x14ac:dyDescent="0.25">
      <c r="A8" s="2" t="s">
        <v>809</v>
      </c>
      <c r="B8" s="2" t="s">
        <v>835</v>
      </c>
      <c r="C8" s="8">
        <v>24</v>
      </c>
      <c r="D8" s="8">
        <v>0</v>
      </c>
      <c r="E8" s="8">
        <v>0</v>
      </c>
      <c r="F8" s="8">
        <v>0</v>
      </c>
      <c r="G8" s="8">
        <v>65</v>
      </c>
      <c r="H8" s="8">
        <v>0</v>
      </c>
      <c r="I8" s="8">
        <v>30</v>
      </c>
      <c r="J8" s="8">
        <v>0</v>
      </c>
      <c r="K8" s="8">
        <v>0</v>
      </c>
      <c r="L8" s="8">
        <v>0</v>
      </c>
      <c r="M8" s="8">
        <v>0</v>
      </c>
      <c r="N8" s="8">
        <v>2</v>
      </c>
      <c r="O8" s="8">
        <v>16</v>
      </c>
      <c r="P8" s="8">
        <v>18</v>
      </c>
      <c r="Q8" s="8">
        <v>0</v>
      </c>
      <c r="R8" s="8">
        <v>0</v>
      </c>
      <c r="S8" s="8">
        <v>0</v>
      </c>
      <c r="T8" s="8">
        <v>0</v>
      </c>
      <c r="U8" s="8">
        <v>391</v>
      </c>
      <c r="V8" s="8">
        <v>0</v>
      </c>
      <c r="W8" s="8">
        <v>0</v>
      </c>
      <c r="X8" s="8">
        <v>0</v>
      </c>
      <c r="Y8" s="8">
        <v>0</v>
      </c>
      <c r="Z8" s="8">
        <v>546</v>
      </c>
    </row>
    <row r="9" spans="1:26" ht="45" x14ac:dyDescent="0.25">
      <c r="A9" s="2" t="s">
        <v>810</v>
      </c>
      <c r="B9" s="2" t="s">
        <v>836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5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242</v>
      </c>
      <c r="V9" s="8">
        <v>0</v>
      </c>
      <c r="W9" s="8">
        <v>0</v>
      </c>
      <c r="X9" s="8">
        <v>0</v>
      </c>
      <c r="Y9" s="8">
        <v>0</v>
      </c>
      <c r="Z9" s="8">
        <v>247</v>
      </c>
    </row>
    <row r="10" spans="1:26" x14ac:dyDescent="0.25">
      <c r="A10" s="2" t="s">
        <v>811</v>
      </c>
      <c r="B10" s="2" t="s">
        <v>811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4</v>
      </c>
      <c r="V10" s="8">
        <v>0</v>
      </c>
      <c r="W10" s="8">
        <v>0</v>
      </c>
      <c r="X10" s="8">
        <v>0</v>
      </c>
      <c r="Y10" s="8">
        <v>0</v>
      </c>
      <c r="Z10" s="8">
        <v>4</v>
      </c>
    </row>
    <row r="11" spans="1:26" x14ac:dyDescent="0.25">
      <c r="A11" s="2" t="s">
        <v>812</v>
      </c>
      <c r="B11" s="2" t="s">
        <v>812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1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</v>
      </c>
      <c r="V11" s="8">
        <v>0</v>
      </c>
      <c r="W11" s="8">
        <v>0</v>
      </c>
      <c r="X11" s="8">
        <v>0</v>
      </c>
      <c r="Y11" s="8">
        <v>0</v>
      </c>
      <c r="Z11" s="8">
        <v>2</v>
      </c>
    </row>
    <row r="12" spans="1:26" ht="60" x14ac:dyDescent="0.25">
      <c r="A12" s="2" t="s">
        <v>813</v>
      </c>
      <c r="B12" s="2" t="s">
        <v>837</v>
      </c>
      <c r="C12" s="8">
        <v>1</v>
      </c>
      <c r="D12" s="8">
        <v>7</v>
      </c>
      <c r="E12" s="8">
        <v>0</v>
      </c>
      <c r="F12" s="8">
        <v>0</v>
      </c>
      <c r="G12" s="8">
        <v>1</v>
      </c>
      <c r="H12" s="8">
        <v>0</v>
      </c>
      <c r="I12" s="8">
        <v>4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607</v>
      </c>
      <c r="V12" s="8">
        <v>5</v>
      </c>
      <c r="W12" s="8">
        <v>0</v>
      </c>
      <c r="X12" s="8">
        <v>1</v>
      </c>
      <c r="Y12" s="8">
        <v>0</v>
      </c>
      <c r="Z12" s="8">
        <v>626</v>
      </c>
    </row>
    <row r="13" spans="1:26" x14ac:dyDescent="0.25">
      <c r="A13" s="2" t="s">
        <v>814</v>
      </c>
      <c r="B13" s="2" t="s">
        <v>838</v>
      </c>
      <c r="C13" s="8">
        <v>0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18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192</v>
      </c>
      <c r="V13" s="8">
        <v>0</v>
      </c>
      <c r="W13" s="8">
        <v>0</v>
      </c>
      <c r="X13" s="8">
        <v>0</v>
      </c>
      <c r="Y13" s="8">
        <v>0</v>
      </c>
      <c r="Z13" s="8">
        <v>211</v>
      </c>
    </row>
    <row r="14" spans="1:26" ht="30" x14ac:dyDescent="0.25">
      <c r="A14" s="2" t="s">
        <v>815</v>
      </c>
      <c r="B14" s="2" t="s">
        <v>815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</v>
      </c>
      <c r="V14" s="8">
        <v>0</v>
      </c>
      <c r="W14" s="8">
        <v>0</v>
      </c>
      <c r="X14" s="8">
        <v>0</v>
      </c>
      <c r="Y14" s="8">
        <v>0</v>
      </c>
      <c r="Z14" s="8">
        <v>1</v>
      </c>
    </row>
    <row r="15" spans="1:26" x14ac:dyDescent="0.25">
      <c r="A15" s="5" t="s">
        <v>816</v>
      </c>
      <c r="B15" s="5" t="s">
        <v>839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7</v>
      </c>
      <c r="V15">
        <v>0</v>
      </c>
      <c r="W15">
        <v>0</v>
      </c>
      <c r="X15">
        <v>0</v>
      </c>
      <c r="Y15">
        <v>0</v>
      </c>
      <c r="Z15">
        <v>7</v>
      </c>
    </row>
    <row r="16" spans="1:26" ht="30" x14ac:dyDescent="0.25">
      <c r="A16" s="5" t="s">
        <v>817</v>
      </c>
      <c r="B16" s="5" t="s">
        <v>817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2</v>
      </c>
      <c r="V16">
        <v>0</v>
      </c>
      <c r="W16">
        <v>0</v>
      </c>
      <c r="X16">
        <v>0</v>
      </c>
      <c r="Y16">
        <v>0</v>
      </c>
      <c r="Z16">
        <v>2</v>
      </c>
    </row>
    <row r="17" spans="1:26" ht="30" x14ac:dyDescent="0.25">
      <c r="A17" s="5" t="s">
        <v>818</v>
      </c>
      <c r="B17" s="5" t="s">
        <v>818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7</v>
      </c>
      <c r="V17">
        <v>0</v>
      </c>
      <c r="W17">
        <v>0</v>
      </c>
      <c r="X17">
        <v>0</v>
      </c>
      <c r="Y17">
        <v>0</v>
      </c>
      <c r="Z17">
        <v>7</v>
      </c>
    </row>
    <row r="18" spans="1:26" x14ac:dyDescent="0.25">
      <c r="A18" s="5" t="s">
        <v>819</v>
      </c>
      <c r="B18" s="5" t="s">
        <v>819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16</v>
      </c>
      <c r="V18">
        <v>0</v>
      </c>
      <c r="W18">
        <v>0</v>
      </c>
      <c r="X18">
        <v>0</v>
      </c>
      <c r="Y18">
        <v>0</v>
      </c>
      <c r="Z18">
        <v>16</v>
      </c>
    </row>
    <row r="19" spans="1:26" ht="30" x14ac:dyDescent="0.25">
      <c r="A19" s="5" t="s">
        <v>820</v>
      </c>
      <c r="B19" s="5" t="s">
        <v>840</v>
      </c>
      <c r="C19">
        <v>0</v>
      </c>
      <c r="D19">
        <v>2</v>
      </c>
      <c r="E19">
        <v>0</v>
      </c>
      <c r="F19">
        <v>0</v>
      </c>
      <c r="G19">
        <v>7</v>
      </c>
      <c r="H19">
        <v>0</v>
      </c>
      <c r="I19">
        <v>22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2</v>
      </c>
      <c r="Q19">
        <v>12</v>
      </c>
      <c r="R19">
        <v>0</v>
      </c>
      <c r="S19">
        <v>0</v>
      </c>
      <c r="T19">
        <v>4</v>
      </c>
      <c r="U19">
        <v>101</v>
      </c>
      <c r="V19">
        <v>3</v>
      </c>
      <c r="W19">
        <v>0</v>
      </c>
      <c r="X19">
        <v>2</v>
      </c>
      <c r="Y19">
        <v>10</v>
      </c>
      <c r="Z19">
        <v>166</v>
      </c>
    </row>
    <row r="20" spans="1:26" ht="30" x14ac:dyDescent="0.25">
      <c r="A20" s="5" t="s">
        <v>821</v>
      </c>
      <c r="B20" s="5" t="s">
        <v>841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14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356</v>
      </c>
      <c r="V20">
        <v>0</v>
      </c>
      <c r="W20">
        <v>0</v>
      </c>
      <c r="X20">
        <v>0</v>
      </c>
      <c r="Y20">
        <v>0</v>
      </c>
      <c r="Z20">
        <v>370</v>
      </c>
    </row>
    <row r="21" spans="1:26" x14ac:dyDescent="0.25">
      <c r="A21" s="5" t="s">
        <v>822</v>
      </c>
      <c r="B21" s="5" t="s">
        <v>842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2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23</v>
      </c>
      <c r="V21">
        <v>0</v>
      </c>
      <c r="W21">
        <v>0</v>
      </c>
      <c r="X21">
        <v>0</v>
      </c>
      <c r="Y21">
        <v>0</v>
      </c>
      <c r="Z21">
        <v>25</v>
      </c>
    </row>
    <row r="22" spans="1:26" x14ac:dyDescent="0.25">
      <c r="A22" s="5" t="s">
        <v>823</v>
      </c>
      <c r="B22" s="5" t="s">
        <v>823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  <c r="U22">
        <v>12</v>
      </c>
      <c r="V22">
        <v>0</v>
      </c>
      <c r="W22">
        <v>0</v>
      </c>
      <c r="X22">
        <v>0</v>
      </c>
      <c r="Y22">
        <v>0</v>
      </c>
      <c r="Z22">
        <v>14</v>
      </c>
    </row>
    <row r="23" spans="1:26" ht="75" x14ac:dyDescent="0.25">
      <c r="A23" s="5" t="s">
        <v>824</v>
      </c>
      <c r="B23" s="5" t="s">
        <v>843</v>
      </c>
      <c r="C23">
        <v>1</v>
      </c>
      <c r="D23">
        <v>1</v>
      </c>
      <c r="E23">
        <v>0</v>
      </c>
      <c r="F23">
        <v>0</v>
      </c>
      <c r="G23">
        <v>0</v>
      </c>
      <c r="H23">
        <v>0</v>
      </c>
      <c r="I23">
        <v>5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563</v>
      </c>
      <c r="V23">
        <v>1</v>
      </c>
      <c r="W23">
        <v>0</v>
      </c>
      <c r="X23">
        <v>0</v>
      </c>
      <c r="Y23">
        <v>0</v>
      </c>
      <c r="Z23">
        <v>571</v>
      </c>
    </row>
    <row r="24" spans="1:26" x14ac:dyDescent="0.25">
      <c r="A24" s="5" t="s">
        <v>825</v>
      </c>
      <c r="B24" s="5" t="s">
        <v>844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6</v>
      </c>
      <c r="V24">
        <v>0</v>
      </c>
      <c r="W24">
        <v>0</v>
      </c>
      <c r="X24">
        <v>0</v>
      </c>
      <c r="Y24">
        <v>0</v>
      </c>
      <c r="Z24">
        <v>6</v>
      </c>
    </row>
    <row r="25" spans="1:26" x14ac:dyDescent="0.25">
      <c r="A25" s="5" t="s">
        <v>826</v>
      </c>
      <c r="B25" s="5" t="s">
        <v>826</v>
      </c>
      <c r="C25">
        <v>2</v>
      </c>
      <c r="D25">
        <v>0</v>
      </c>
      <c r="E25">
        <v>0</v>
      </c>
      <c r="F25">
        <v>0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1</v>
      </c>
      <c r="P25">
        <v>0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6</v>
      </c>
    </row>
    <row r="26" spans="1:26" x14ac:dyDescent="0.25">
      <c r="A26" s="5" t="s">
        <v>827</v>
      </c>
      <c r="B26" s="5" t="s">
        <v>845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65</v>
      </c>
      <c r="V26">
        <v>0</v>
      </c>
      <c r="W26">
        <v>0</v>
      </c>
      <c r="X26">
        <v>0</v>
      </c>
      <c r="Y26">
        <v>0</v>
      </c>
      <c r="Z26">
        <v>65</v>
      </c>
    </row>
    <row r="27" spans="1:26" x14ac:dyDescent="0.25">
      <c r="A27" s="5" t="s">
        <v>828</v>
      </c>
      <c r="B27" s="5" t="s">
        <v>846</v>
      </c>
      <c r="C27">
        <v>0</v>
      </c>
      <c r="D27">
        <v>3</v>
      </c>
      <c r="E27">
        <v>0</v>
      </c>
      <c r="F27">
        <v>0</v>
      </c>
      <c r="G27">
        <v>4</v>
      </c>
      <c r="H27">
        <v>0</v>
      </c>
      <c r="I27">
        <v>3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80</v>
      </c>
      <c r="V27">
        <v>0</v>
      </c>
      <c r="W27">
        <v>0</v>
      </c>
      <c r="X27">
        <v>0</v>
      </c>
      <c r="Y27">
        <v>0</v>
      </c>
      <c r="Z27">
        <v>90</v>
      </c>
    </row>
    <row r="28" spans="1:26" ht="60" x14ac:dyDescent="0.25">
      <c r="A28" s="5" t="s">
        <v>829</v>
      </c>
      <c r="B28" s="5" t="s">
        <v>847</v>
      </c>
      <c r="C28">
        <v>0</v>
      </c>
      <c r="D28">
        <v>2</v>
      </c>
      <c r="E28">
        <v>0</v>
      </c>
      <c r="F28">
        <v>0</v>
      </c>
      <c r="G28">
        <v>3</v>
      </c>
      <c r="H28">
        <v>0</v>
      </c>
      <c r="I28">
        <v>4</v>
      </c>
      <c r="J28">
        <v>0</v>
      </c>
      <c r="K28">
        <v>0</v>
      </c>
      <c r="L28">
        <v>1</v>
      </c>
      <c r="M28">
        <v>0</v>
      </c>
      <c r="N28">
        <v>0</v>
      </c>
      <c r="O28">
        <v>1</v>
      </c>
      <c r="P28">
        <v>0</v>
      </c>
      <c r="Q28">
        <v>0</v>
      </c>
      <c r="R28">
        <v>0</v>
      </c>
      <c r="S28">
        <v>0</v>
      </c>
      <c r="T28">
        <v>1</v>
      </c>
      <c r="U28">
        <v>167</v>
      </c>
      <c r="V28">
        <v>0</v>
      </c>
      <c r="W28">
        <v>0</v>
      </c>
      <c r="X28">
        <v>1</v>
      </c>
      <c r="Y28">
        <v>1</v>
      </c>
      <c r="Z28">
        <v>181</v>
      </c>
    </row>
    <row r="29" spans="1:26" ht="15.6" x14ac:dyDescent="0.25">
      <c r="A29" s="15" t="s">
        <v>830</v>
      </c>
      <c r="B29" s="26" t="s">
        <v>848</v>
      </c>
      <c r="C29" s="3">
        <f>SUBTOTAL(109,SanBernardino[American Sign Language Total])</f>
        <v>64</v>
      </c>
      <c r="D29" s="3">
        <f>SUBTOTAL(109,SanBernardino[Arabic Total])</f>
        <v>16</v>
      </c>
      <c r="E29" s="3">
        <f>SUBTOTAL(109,SanBernardino[Armenian Total])</f>
        <v>0</v>
      </c>
      <c r="F29" s="3">
        <f>SUBTOTAL(109,SanBernardino[Bengali Total])</f>
        <v>0</v>
      </c>
      <c r="G29" s="3">
        <f>SUBTOTAL(109,SanBernardino[Chinese (Mandarin or Cantonese) Total])</f>
        <v>133</v>
      </c>
      <c r="H29" s="3">
        <f>SUBTOTAL(109,SanBernardino[Farsi (Persian) Total])</f>
        <v>0</v>
      </c>
      <c r="I29" s="3">
        <f>SUBTOTAL(109,SanBernardino[French Total])</f>
        <v>146</v>
      </c>
      <c r="J29" s="3">
        <f>SUBTOTAL(109,SanBernardino[German Total])</f>
        <v>1</v>
      </c>
      <c r="K29" s="3">
        <f>SUBTOTAL(109,SanBernardino[Hebrew Total])</f>
        <v>1</v>
      </c>
      <c r="L29" s="3">
        <f>SUBTOTAL(109,SanBernardino[Hindi Total])</f>
        <v>1</v>
      </c>
      <c r="M29" s="3">
        <f>SUBTOTAL(109,SanBernardino[Hmong Total])</f>
        <v>0</v>
      </c>
      <c r="N29" s="3">
        <f>SUBTOTAL(109,SanBernardino[Italian Total])</f>
        <v>2</v>
      </c>
      <c r="O29" s="3">
        <f>SUBTOTAL(109,SanBernardino[Japanese Total])</f>
        <v>18</v>
      </c>
      <c r="P29" s="3">
        <f>SUBTOTAL(109,SanBernardino[Korean Total])</f>
        <v>20</v>
      </c>
      <c r="Q29" s="3">
        <f>SUBTOTAL(109,SanBernardino[Latin Total])</f>
        <v>12</v>
      </c>
      <c r="R29" s="3">
        <f>SUBTOTAL(109,SanBernardino[Portuguese Total])</f>
        <v>0</v>
      </c>
      <c r="S29" s="3">
        <f>SUBTOTAL(109,SanBernardino[Punjabi Total])</f>
        <v>0</v>
      </c>
      <c r="T29" s="3">
        <f>SUBTOTAL(109,SanBernardino[Russian Total])</f>
        <v>8</v>
      </c>
      <c r="U29" s="3">
        <f>SUBTOTAL(109,SanBernardino[Spanish Total])</f>
        <v>3620</v>
      </c>
      <c r="V29" s="3">
        <f>SUBTOTAL(109,SanBernardino[Tagalog (Filipino) Total])</f>
        <v>9</v>
      </c>
      <c r="W29" s="3">
        <f>SUBTOTAL(109,SanBernardino[Urdu Total])</f>
        <v>0</v>
      </c>
      <c r="X29" s="3">
        <f>SUBTOTAL(109,SanBernardino[Vietnamese Total])</f>
        <v>4</v>
      </c>
      <c r="Y29" s="3">
        <f>SUBTOTAL(109,SanBernardino[Other Total])</f>
        <v>11</v>
      </c>
      <c r="Z29" s="3">
        <f>SUBTOTAL(109,SanBernardino[Total Seals per LEA])</f>
        <v>4066</v>
      </c>
    </row>
  </sheetData>
  <conditionalFormatting sqref="A1:B2">
    <cfRule type="duplicateValues" dxfId="6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0ACF-8D33-47A9-B3AF-15310FBAC714}">
  <dimension ref="A1:Z37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4" customWidth="1"/>
    <col min="2" max="2" width="41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15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5" t="s">
        <v>849</v>
      </c>
      <c r="B3" s="5" t="s">
        <v>849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</v>
      </c>
      <c r="V3">
        <v>0</v>
      </c>
      <c r="W3">
        <v>0</v>
      </c>
      <c r="X3">
        <v>0</v>
      </c>
      <c r="Y3">
        <v>0</v>
      </c>
      <c r="Z3" s="3">
        <v>1</v>
      </c>
    </row>
    <row r="4" spans="1:26" x14ac:dyDescent="0.25">
      <c r="A4" s="2" t="s">
        <v>850</v>
      </c>
      <c r="B4" s="5" t="s">
        <v>882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318</v>
      </c>
      <c r="V4" s="8">
        <v>0</v>
      </c>
      <c r="W4" s="8">
        <v>0</v>
      </c>
      <c r="X4" s="8">
        <v>0</v>
      </c>
      <c r="Y4" s="8">
        <v>0</v>
      </c>
      <c r="Z4" s="8">
        <v>318</v>
      </c>
    </row>
    <row r="5" spans="1:26" x14ac:dyDescent="0.25">
      <c r="A5" s="2" t="s">
        <v>851</v>
      </c>
      <c r="B5" s="5" t="s">
        <v>851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100</v>
      </c>
      <c r="V5" s="8">
        <v>0</v>
      </c>
      <c r="W5" s="8">
        <v>0</v>
      </c>
      <c r="X5" s="8">
        <v>0</v>
      </c>
      <c r="Y5" s="8">
        <v>0</v>
      </c>
      <c r="Z5" s="8">
        <v>100</v>
      </c>
    </row>
    <row r="6" spans="1:26" x14ac:dyDescent="0.25">
      <c r="A6" s="2" t="s">
        <v>852</v>
      </c>
      <c r="B6" s="5" t="s">
        <v>852</v>
      </c>
      <c r="C6" s="8">
        <v>0</v>
      </c>
      <c r="D6" s="8">
        <v>0</v>
      </c>
      <c r="E6" s="8">
        <v>0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1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5</v>
      </c>
      <c r="V6" s="8">
        <v>0</v>
      </c>
      <c r="W6" s="8">
        <v>0</v>
      </c>
      <c r="X6" s="8">
        <v>0</v>
      </c>
      <c r="Y6" s="8">
        <v>0</v>
      </c>
      <c r="Z6" s="8">
        <v>7</v>
      </c>
    </row>
    <row r="7" spans="1:26" x14ac:dyDescent="0.25">
      <c r="A7" s="2" t="s">
        <v>853</v>
      </c>
      <c r="B7" s="5" t="s">
        <v>883</v>
      </c>
      <c r="C7" s="8">
        <v>5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11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2</v>
      </c>
      <c r="P7" s="8">
        <v>0</v>
      </c>
      <c r="Q7" s="8">
        <v>0</v>
      </c>
      <c r="R7" s="8">
        <v>1</v>
      </c>
      <c r="S7" s="8">
        <v>0</v>
      </c>
      <c r="T7" s="8">
        <v>1</v>
      </c>
      <c r="U7" s="8">
        <v>62</v>
      </c>
      <c r="V7" s="8">
        <v>0</v>
      </c>
      <c r="W7" s="8">
        <v>0</v>
      </c>
      <c r="X7" s="8">
        <v>0</v>
      </c>
      <c r="Y7" s="8">
        <v>2</v>
      </c>
      <c r="Z7" s="8">
        <v>84</v>
      </c>
    </row>
    <row r="8" spans="1:26" x14ac:dyDescent="0.25">
      <c r="A8" s="2" t="s">
        <v>854</v>
      </c>
      <c r="B8" s="5" t="s">
        <v>854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12</v>
      </c>
      <c r="V8" s="8">
        <v>0</v>
      </c>
      <c r="W8" s="8">
        <v>0</v>
      </c>
      <c r="X8" s="8">
        <v>0</v>
      </c>
      <c r="Y8" s="8">
        <v>0</v>
      </c>
      <c r="Z8" s="8">
        <v>12</v>
      </c>
    </row>
    <row r="9" spans="1:26" x14ac:dyDescent="0.25">
      <c r="A9" s="2" t="s">
        <v>855</v>
      </c>
      <c r="B9" s="5" t="s">
        <v>855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12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20</v>
      </c>
      <c r="R9" s="8">
        <v>0</v>
      </c>
      <c r="S9" s="8">
        <v>0</v>
      </c>
      <c r="T9" s="8">
        <v>0</v>
      </c>
      <c r="U9" s="8">
        <v>38</v>
      </c>
      <c r="V9" s="8">
        <v>0</v>
      </c>
      <c r="W9" s="8">
        <v>0</v>
      </c>
      <c r="X9" s="8">
        <v>0</v>
      </c>
      <c r="Y9" s="8">
        <v>0</v>
      </c>
      <c r="Z9" s="8">
        <v>70</v>
      </c>
    </row>
    <row r="10" spans="1:26" ht="45" x14ac:dyDescent="0.25">
      <c r="A10" s="5" t="s">
        <v>856</v>
      </c>
      <c r="B10" s="5" t="s">
        <v>884</v>
      </c>
      <c r="C10">
        <v>10</v>
      </c>
      <c r="D10">
        <v>0</v>
      </c>
      <c r="E10">
        <v>0</v>
      </c>
      <c r="F10">
        <v>0</v>
      </c>
      <c r="G10">
        <v>0</v>
      </c>
      <c r="H10">
        <v>0</v>
      </c>
      <c r="I10">
        <v>8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261</v>
      </c>
      <c r="V10">
        <v>0</v>
      </c>
      <c r="W10">
        <v>0</v>
      </c>
      <c r="X10">
        <v>0</v>
      </c>
      <c r="Y10">
        <v>0</v>
      </c>
      <c r="Z10" s="3">
        <v>279</v>
      </c>
    </row>
    <row r="11" spans="1:26" x14ac:dyDescent="0.25">
      <c r="A11" s="5" t="s">
        <v>812</v>
      </c>
      <c r="B11" s="5" t="s">
        <v>812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 s="3">
        <v>2</v>
      </c>
    </row>
    <row r="12" spans="1:26" x14ac:dyDescent="0.25">
      <c r="A12" s="2" t="s">
        <v>857</v>
      </c>
      <c r="B12" s="5" t="s">
        <v>885</v>
      </c>
      <c r="C12" s="8">
        <v>28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89</v>
      </c>
      <c r="V12" s="8">
        <v>0</v>
      </c>
      <c r="W12" s="8">
        <v>0</v>
      </c>
      <c r="X12" s="8">
        <v>0</v>
      </c>
      <c r="Y12" s="8">
        <v>0</v>
      </c>
      <c r="Z12" s="8">
        <v>117</v>
      </c>
    </row>
    <row r="13" spans="1:26" ht="60" x14ac:dyDescent="0.25">
      <c r="A13" s="2" t="s">
        <v>858</v>
      </c>
      <c r="B13" s="5" t="s">
        <v>897</v>
      </c>
      <c r="C13" s="8">
        <v>29</v>
      </c>
      <c r="D13" s="8">
        <v>6</v>
      </c>
      <c r="E13" s="8">
        <v>0</v>
      </c>
      <c r="F13" s="8">
        <v>0</v>
      </c>
      <c r="G13" s="8">
        <v>7</v>
      </c>
      <c r="H13" s="8">
        <v>4</v>
      </c>
      <c r="I13" s="8">
        <v>30</v>
      </c>
      <c r="J13" s="8">
        <v>8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2</v>
      </c>
      <c r="S13" s="8">
        <v>0</v>
      </c>
      <c r="T13" s="8">
        <v>0</v>
      </c>
      <c r="U13" s="8">
        <v>411</v>
      </c>
      <c r="V13" s="8">
        <v>0</v>
      </c>
      <c r="W13" s="8">
        <v>0</v>
      </c>
      <c r="X13" s="8">
        <v>1</v>
      </c>
      <c r="Y13" s="8">
        <v>1</v>
      </c>
      <c r="Z13" s="8">
        <v>499</v>
      </c>
    </row>
    <row r="14" spans="1:26" x14ac:dyDescent="0.25">
      <c r="A14" s="2" t="s">
        <v>859</v>
      </c>
      <c r="B14" s="5" t="s">
        <v>859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12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18</v>
      </c>
      <c r="V14" s="8">
        <v>0</v>
      </c>
      <c r="W14" s="8">
        <v>0</v>
      </c>
      <c r="X14" s="8">
        <v>0</v>
      </c>
      <c r="Y14" s="8">
        <v>0</v>
      </c>
      <c r="Z14" s="8">
        <v>30</v>
      </c>
    </row>
    <row r="15" spans="1:26" x14ac:dyDescent="0.25">
      <c r="A15" s="2" t="s">
        <v>860</v>
      </c>
      <c r="B15" s="5" t="s">
        <v>860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25</v>
      </c>
      <c r="V15" s="8">
        <v>0</v>
      </c>
      <c r="W15" s="8">
        <v>0</v>
      </c>
      <c r="X15" s="8">
        <v>0</v>
      </c>
      <c r="Y15" s="8">
        <v>0</v>
      </c>
      <c r="Z15" s="8">
        <v>25</v>
      </c>
    </row>
    <row r="16" spans="1:26" x14ac:dyDescent="0.25">
      <c r="A16" s="2" t="s">
        <v>861</v>
      </c>
      <c r="B16" s="5" t="s">
        <v>861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11</v>
      </c>
      <c r="V16" s="8">
        <v>0</v>
      </c>
      <c r="W16" s="8">
        <v>0</v>
      </c>
      <c r="X16" s="8">
        <v>0</v>
      </c>
      <c r="Y16" s="8">
        <v>0</v>
      </c>
      <c r="Z16" s="8">
        <v>11</v>
      </c>
    </row>
    <row r="17" spans="1:26" x14ac:dyDescent="0.25">
      <c r="A17" s="5" t="s">
        <v>862</v>
      </c>
      <c r="B17" s="5" t="s">
        <v>862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22</v>
      </c>
      <c r="V17">
        <v>0</v>
      </c>
      <c r="W17">
        <v>0</v>
      </c>
      <c r="X17">
        <v>0</v>
      </c>
      <c r="Y17">
        <v>0</v>
      </c>
      <c r="Z17" s="3">
        <v>22</v>
      </c>
    </row>
    <row r="18" spans="1:26" x14ac:dyDescent="0.25">
      <c r="A18" s="5" t="s">
        <v>863</v>
      </c>
      <c r="B18" s="5" t="s">
        <v>863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20</v>
      </c>
      <c r="V18">
        <v>0</v>
      </c>
      <c r="W18">
        <v>0</v>
      </c>
      <c r="X18">
        <v>0</v>
      </c>
      <c r="Y18">
        <v>0</v>
      </c>
      <c r="Z18" s="3">
        <v>20</v>
      </c>
    </row>
    <row r="19" spans="1:26" x14ac:dyDescent="0.25">
      <c r="A19" s="5" t="s">
        <v>864</v>
      </c>
      <c r="B19" s="5" t="s">
        <v>864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1</v>
      </c>
      <c r="V19">
        <v>0</v>
      </c>
      <c r="W19">
        <v>0</v>
      </c>
      <c r="X19">
        <v>0</v>
      </c>
      <c r="Y19">
        <v>0</v>
      </c>
      <c r="Z19" s="3">
        <v>2</v>
      </c>
    </row>
    <row r="20" spans="1:26" ht="30" x14ac:dyDescent="0.25">
      <c r="A20" s="5" t="s">
        <v>865</v>
      </c>
      <c r="B20" s="5" t="s">
        <v>886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17</v>
      </c>
      <c r="V20">
        <v>0</v>
      </c>
      <c r="W20">
        <v>0</v>
      </c>
      <c r="X20">
        <v>0</v>
      </c>
      <c r="Y20">
        <v>0</v>
      </c>
      <c r="Z20" s="3">
        <v>17</v>
      </c>
    </row>
    <row r="21" spans="1:26" x14ac:dyDescent="0.25">
      <c r="A21" s="5" t="s">
        <v>866</v>
      </c>
      <c r="B21" s="5" t="s">
        <v>866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18</v>
      </c>
      <c r="V21">
        <v>0</v>
      </c>
      <c r="W21">
        <v>0</v>
      </c>
      <c r="X21">
        <v>0</v>
      </c>
      <c r="Y21">
        <v>0</v>
      </c>
      <c r="Z21" s="3">
        <v>18</v>
      </c>
    </row>
    <row r="22" spans="1:26" ht="30" x14ac:dyDescent="0.25">
      <c r="A22" s="5" t="s">
        <v>867</v>
      </c>
      <c r="B22" s="5" t="s">
        <v>887</v>
      </c>
      <c r="C22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3</v>
      </c>
      <c r="J22">
        <v>0</v>
      </c>
      <c r="K22">
        <v>0</v>
      </c>
      <c r="L22">
        <v>0</v>
      </c>
      <c r="M22">
        <v>0</v>
      </c>
      <c r="N22">
        <v>0</v>
      </c>
      <c r="O22">
        <v>2</v>
      </c>
      <c r="P22">
        <v>0</v>
      </c>
      <c r="Q22">
        <v>0</v>
      </c>
      <c r="R22">
        <v>0</v>
      </c>
      <c r="S22">
        <v>0</v>
      </c>
      <c r="T22">
        <v>0</v>
      </c>
      <c r="U22">
        <v>100</v>
      </c>
      <c r="V22">
        <v>0</v>
      </c>
      <c r="W22">
        <v>0</v>
      </c>
      <c r="X22">
        <v>0</v>
      </c>
      <c r="Y22">
        <v>0</v>
      </c>
      <c r="Z22" s="3">
        <v>107</v>
      </c>
    </row>
    <row r="23" spans="1:26" x14ac:dyDescent="0.25">
      <c r="A23" s="5" t="s">
        <v>868</v>
      </c>
      <c r="B23" s="5" t="s">
        <v>868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1</v>
      </c>
      <c r="V23">
        <v>0</v>
      </c>
      <c r="W23">
        <v>0</v>
      </c>
      <c r="X23">
        <v>0</v>
      </c>
      <c r="Y23">
        <v>0</v>
      </c>
      <c r="Z23" s="3">
        <v>1</v>
      </c>
    </row>
    <row r="24" spans="1:26" ht="45" x14ac:dyDescent="0.25">
      <c r="A24" s="5" t="s">
        <v>869</v>
      </c>
      <c r="B24" s="5" t="s">
        <v>888</v>
      </c>
      <c r="C24">
        <v>0</v>
      </c>
      <c r="D24">
        <v>0</v>
      </c>
      <c r="E24">
        <v>0</v>
      </c>
      <c r="F24">
        <v>0</v>
      </c>
      <c r="G24">
        <v>72</v>
      </c>
      <c r="H24">
        <v>0</v>
      </c>
      <c r="I24">
        <v>50</v>
      </c>
      <c r="J24">
        <v>32</v>
      </c>
      <c r="K24">
        <v>1</v>
      </c>
      <c r="L24">
        <v>0</v>
      </c>
      <c r="M24">
        <v>0</v>
      </c>
      <c r="N24">
        <v>1</v>
      </c>
      <c r="O24">
        <v>8</v>
      </c>
      <c r="P24">
        <v>0</v>
      </c>
      <c r="Q24">
        <v>0</v>
      </c>
      <c r="R24">
        <v>1</v>
      </c>
      <c r="S24">
        <v>0</v>
      </c>
      <c r="T24">
        <v>2</v>
      </c>
      <c r="U24">
        <v>210</v>
      </c>
      <c r="V24">
        <v>17</v>
      </c>
      <c r="W24">
        <v>0</v>
      </c>
      <c r="X24">
        <v>0</v>
      </c>
      <c r="Y24">
        <v>1</v>
      </c>
      <c r="Z24" s="3">
        <v>395</v>
      </c>
    </row>
    <row r="25" spans="1:26" x14ac:dyDescent="0.25">
      <c r="A25" s="5" t="s">
        <v>870</v>
      </c>
      <c r="B25" s="5" t="s">
        <v>889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4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21</v>
      </c>
      <c r="V25">
        <v>0</v>
      </c>
      <c r="W25">
        <v>0</v>
      </c>
      <c r="X25">
        <v>0</v>
      </c>
      <c r="Y25">
        <v>0</v>
      </c>
      <c r="Z25" s="3">
        <v>25</v>
      </c>
    </row>
    <row r="26" spans="1:26" x14ac:dyDescent="0.25">
      <c r="A26" s="5" t="s">
        <v>871</v>
      </c>
      <c r="B26" s="5" t="s">
        <v>871</v>
      </c>
      <c r="C26">
        <v>0</v>
      </c>
      <c r="D26">
        <v>0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7</v>
      </c>
      <c r="V26">
        <v>0</v>
      </c>
      <c r="W26">
        <v>0</v>
      </c>
      <c r="X26">
        <v>0</v>
      </c>
      <c r="Y26">
        <v>0</v>
      </c>
      <c r="Z26" s="3">
        <v>8</v>
      </c>
    </row>
    <row r="27" spans="1:26" ht="120" x14ac:dyDescent="0.25">
      <c r="A27" s="2" t="s">
        <v>881</v>
      </c>
      <c r="B27" s="2" t="s">
        <v>890</v>
      </c>
      <c r="C27" s="8">
        <v>5</v>
      </c>
      <c r="D27" s="8">
        <v>0</v>
      </c>
      <c r="E27" s="8">
        <v>0</v>
      </c>
      <c r="F27" s="8">
        <v>0</v>
      </c>
      <c r="G27" s="8">
        <v>26</v>
      </c>
      <c r="H27" s="8">
        <v>0</v>
      </c>
      <c r="I27" s="8">
        <v>33</v>
      </c>
      <c r="J27" s="8">
        <v>13</v>
      </c>
      <c r="K27" s="8">
        <v>0</v>
      </c>
      <c r="L27" s="8">
        <v>0</v>
      </c>
      <c r="M27" s="8">
        <v>0</v>
      </c>
      <c r="N27" s="8">
        <v>3</v>
      </c>
      <c r="O27" s="8">
        <v>11</v>
      </c>
      <c r="P27" s="8">
        <v>0</v>
      </c>
      <c r="Q27" s="8">
        <v>16</v>
      </c>
      <c r="R27" s="8">
        <v>3</v>
      </c>
      <c r="S27" s="8">
        <v>0</v>
      </c>
      <c r="T27" s="8">
        <v>0</v>
      </c>
      <c r="U27" s="8">
        <v>474</v>
      </c>
      <c r="V27" s="8">
        <v>37</v>
      </c>
      <c r="W27" s="8">
        <v>0</v>
      </c>
      <c r="X27" s="8">
        <v>0</v>
      </c>
      <c r="Y27" s="8">
        <v>0</v>
      </c>
      <c r="Z27" s="8">
        <v>621</v>
      </c>
    </row>
    <row r="28" spans="1:26" ht="45" x14ac:dyDescent="0.25">
      <c r="A28" s="5" t="s">
        <v>872</v>
      </c>
      <c r="B28" s="5" t="s">
        <v>891</v>
      </c>
      <c r="C28">
        <v>46</v>
      </c>
      <c r="D28">
        <v>0</v>
      </c>
      <c r="E28">
        <v>0</v>
      </c>
      <c r="F28">
        <v>0</v>
      </c>
      <c r="G28">
        <v>112</v>
      </c>
      <c r="H28">
        <v>0</v>
      </c>
      <c r="I28">
        <v>52</v>
      </c>
      <c r="J28">
        <v>4</v>
      </c>
      <c r="K28">
        <v>4</v>
      </c>
      <c r="L28">
        <v>0</v>
      </c>
      <c r="M28">
        <v>0</v>
      </c>
      <c r="N28">
        <v>3</v>
      </c>
      <c r="O28">
        <v>70</v>
      </c>
      <c r="P28">
        <v>1</v>
      </c>
      <c r="Q28">
        <v>2</v>
      </c>
      <c r="R28">
        <v>0</v>
      </c>
      <c r="S28">
        <v>0</v>
      </c>
      <c r="T28">
        <v>2</v>
      </c>
      <c r="U28">
        <v>382</v>
      </c>
      <c r="V28">
        <v>0</v>
      </c>
      <c r="W28">
        <v>0</v>
      </c>
      <c r="X28">
        <v>0</v>
      </c>
      <c r="Y28">
        <v>0</v>
      </c>
      <c r="Z28" s="3">
        <v>678</v>
      </c>
    </row>
    <row r="29" spans="1:26" x14ac:dyDescent="0.25">
      <c r="A29" s="2" t="s">
        <v>873</v>
      </c>
      <c r="B29" s="5" t="s">
        <v>892</v>
      </c>
      <c r="C29" s="8">
        <v>0</v>
      </c>
      <c r="D29" s="8">
        <v>0</v>
      </c>
      <c r="E29" s="8">
        <v>0</v>
      </c>
      <c r="F29" s="8">
        <v>0</v>
      </c>
      <c r="G29" s="8">
        <v>1</v>
      </c>
      <c r="H29" s="8">
        <v>0</v>
      </c>
      <c r="I29" s="8">
        <v>3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88</v>
      </c>
      <c r="V29" s="8">
        <v>0</v>
      </c>
      <c r="W29" s="8">
        <v>0</v>
      </c>
      <c r="X29" s="8">
        <v>0</v>
      </c>
      <c r="Y29" s="8">
        <v>0</v>
      </c>
      <c r="Z29" s="8">
        <v>92</v>
      </c>
    </row>
    <row r="30" spans="1:26" ht="30" x14ac:dyDescent="0.25">
      <c r="A30" s="2" t="s">
        <v>874</v>
      </c>
      <c r="B30" s="5" t="s">
        <v>893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47</v>
      </c>
      <c r="V30" s="8">
        <v>0</v>
      </c>
      <c r="W30" s="8">
        <v>0</v>
      </c>
      <c r="X30" s="8">
        <v>0</v>
      </c>
      <c r="Y30" s="8">
        <v>0</v>
      </c>
      <c r="Z30" s="8">
        <v>48</v>
      </c>
    </row>
    <row r="31" spans="1:26" ht="105" x14ac:dyDescent="0.25">
      <c r="A31" s="2" t="s">
        <v>875</v>
      </c>
      <c r="B31" s="5" t="s">
        <v>894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15</v>
      </c>
      <c r="J31" s="8">
        <v>2</v>
      </c>
      <c r="K31" s="8">
        <v>0</v>
      </c>
      <c r="L31" s="8">
        <v>0</v>
      </c>
      <c r="M31" s="8">
        <v>0</v>
      </c>
      <c r="N31" s="8">
        <v>10</v>
      </c>
      <c r="O31" s="8">
        <v>10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680</v>
      </c>
      <c r="V31" s="8">
        <v>25</v>
      </c>
      <c r="W31" s="8">
        <v>0</v>
      </c>
      <c r="X31" s="8">
        <v>0</v>
      </c>
      <c r="Y31" s="8">
        <v>0</v>
      </c>
      <c r="Z31" s="8">
        <v>742</v>
      </c>
    </row>
    <row r="32" spans="1:26" x14ac:dyDescent="0.25">
      <c r="A32" s="5" t="s">
        <v>876</v>
      </c>
      <c r="B32" s="5" t="s">
        <v>876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15</v>
      </c>
      <c r="V32">
        <v>0</v>
      </c>
      <c r="W32">
        <v>0</v>
      </c>
      <c r="X32">
        <v>0</v>
      </c>
      <c r="Y32">
        <v>0</v>
      </c>
      <c r="Z32" s="3">
        <v>15</v>
      </c>
    </row>
    <row r="33" spans="1:26" x14ac:dyDescent="0.25">
      <c r="A33" s="5" t="s">
        <v>877</v>
      </c>
      <c r="B33" s="5" t="s">
        <v>877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55</v>
      </c>
      <c r="V33">
        <v>0</v>
      </c>
      <c r="W33">
        <v>0</v>
      </c>
      <c r="X33">
        <v>0</v>
      </c>
      <c r="Y33">
        <v>0</v>
      </c>
      <c r="Z33" s="3">
        <v>55</v>
      </c>
    </row>
    <row r="34" spans="1:26" x14ac:dyDescent="0.25">
      <c r="A34" s="5" t="s">
        <v>878</v>
      </c>
      <c r="B34" s="5" t="s">
        <v>895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8</v>
      </c>
      <c r="V34">
        <v>0</v>
      </c>
      <c r="W34">
        <v>0</v>
      </c>
      <c r="X34">
        <v>0</v>
      </c>
      <c r="Y34">
        <v>0</v>
      </c>
      <c r="Z34" s="3">
        <v>8</v>
      </c>
    </row>
    <row r="35" spans="1:26" x14ac:dyDescent="0.25">
      <c r="A35" s="5" t="s">
        <v>879</v>
      </c>
      <c r="B35" s="5" t="s">
        <v>879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1</v>
      </c>
      <c r="V35">
        <v>0</v>
      </c>
      <c r="W35">
        <v>0</v>
      </c>
      <c r="X35">
        <v>0</v>
      </c>
      <c r="Y35">
        <v>0</v>
      </c>
      <c r="Z35" s="3">
        <v>1</v>
      </c>
    </row>
    <row r="36" spans="1:26" ht="30" x14ac:dyDescent="0.25">
      <c r="A36" s="5" t="s">
        <v>880</v>
      </c>
      <c r="B36" s="5" t="s">
        <v>896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5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  <c r="U36">
        <v>132</v>
      </c>
      <c r="V36">
        <v>1</v>
      </c>
      <c r="W36">
        <v>0</v>
      </c>
      <c r="X36">
        <v>0</v>
      </c>
      <c r="Y36">
        <v>0</v>
      </c>
      <c r="Z36" s="3">
        <v>141</v>
      </c>
    </row>
    <row r="37" spans="1:26" ht="15.6" x14ac:dyDescent="0.25">
      <c r="A37" s="15" t="s">
        <v>898</v>
      </c>
      <c r="B37" s="26" t="s">
        <v>899</v>
      </c>
      <c r="C37" s="3">
        <f>SUBTOTAL(109,SanDiego[American Sign Language Total])</f>
        <v>125</v>
      </c>
      <c r="D37" s="3">
        <f>SUBTOTAL(109,SanDiego[Arabic Total])</f>
        <v>6</v>
      </c>
      <c r="E37" s="3">
        <f>SUBTOTAL(109,SanDiego[Armenian Total])</f>
        <v>0</v>
      </c>
      <c r="F37" s="3">
        <f>SUBTOTAL(109,SanDiego[Bengali Total])</f>
        <v>0</v>
      </c>
      <c r="G37" s="3">
        <f>SUBTOTAL(109,SanDiego[Chinese (Mandarin or Cantonese) Total])</f>
        <v>220</v>
      </c>
      <c r="H37" s="3">
        <f>SUBTOTAL(109,SanDiego[Farsi (Persian) Total])</f>
        <v>4</v>
      </c>
      <c r="I37" s="3">
        <f>SUBTOTAL(109,SanDiego[French Total])</f>
        <v>224</v>
      </c>
      <c r="J37" s="3">
        <f>SUBTOTAL(109,SanDiego[German Total])</f>
        <v>76</v>
      </c>
      <c r="K37" s="3">
        <f>SUBTOTAL(109,SanDiego[Hebrew Total])</f>
        <v>5</v>
      </c>
      <c r="L37" s="3">
        <f>SUBTOTAL(109,SanDiego[Hindi Total])</f>
        <v>0</v>
      </c>
      <c r="M37" s="3">
        <f>SUBTOTAL(109,SanDiego[Hmong Total])</f>
        <v>0</v>
      </c>
      <c r="N37" s="3">
        <f>SUBTOTAL(109,SanDiego[Italian Total])</f>
        <v>18</v>
      </c>
      <c r="O37" s="3">
        <f>SUBTOTAL(109,SanDiego[Japanese Total])</f>
        <v>105</v>
      </c>
      <c r="P37" s="3">
        <f>SUBTOTAL(109,SanDiego[Korean Total])</f>
        <v>1</v>
      </c>
      <c r="Q37" s="3">
        <f>SUBTOTAL(109,SanDiego[Latin Total])</f>
        <v>38</v>
      </c>
      <c r="R37" s="3">
        <f>SUBTOTAL(109,SanDiego[Portuguese Total])</f>
        <v>7</v>
      </c>
      <c r="S37" s="3">
        <f>SUBTOTAL(109,SanDiego[Punjabi Total])</f>
        <v>0</v>
      </c>
      <c r="T37" s="3">
        <f>SUBTOTAL(109,SanDiego[Russian Total])</f>
        <v>6</v>
      </c>
      <c r="U37" s="3">
        <f>SUBTOTAL(109,SanDiego[Spanish Total])</f>
        <v>3651</v>
      </c>
      <c r="V37" s="3">
        <f>SUBTOTAL(109,SanDiego[Tagalog (Filipino) Total])</f>
        <v>80</v>
      </c>
      <c r="W37" s="3">
        <f>SUBTOTAL(109,SanDiego[Urdu Total])</f>
        <v>0</v>
      </c>
      <c r="X37" s="3">
        <f>SUBTOTAL(109,SanDiego[Vietnamese Total])</f>
        <v>1</v>
      </c>
      <c r="Y37" s="3">
        <f>SUBTOTAL(109,SanDiego[Other Total])</f>
        <v>4</v>
      </c>
      <c r="Z37" s="3">
        <f>SUBTOTAL(109,SanDiego[Total Seals per LEA])</f>
        <v>4571</v>
      </c>
    </row>
  </sheetData>
  <conditionalFormatting sqref="A1:B2">
    <cfRule type="duplicateValues" dxfId="6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8F63-D93A-4BD5-8EC1-2D8D22E5E39B}">
  <dimension ref="A1:Z6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" bestFit="1" customWidth="1"/>
    <col min="2" max="2" width="42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34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2" t="s">
        <v>900</v>
      </c>
      <c r="B3" s="5" t="s">
        <v>900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21</v>
      </c>
      <c r="V3" s="21">
        <v>0</v>
      </c>
      <c r="W3" s="8">
        <v>0</v>
      </c>
      <c r="X3" s="21">
        <v>0</v>
      </c>
      <c r="Y3" s="21">
        <v>0</v>
      </c>
      <c r="Z3" s="21">
        <v>21</v>
      </c>
    </row>
    <row r="4" spans="1:26" ht="30" x14ac:dyDescent="0.25">
      <c r="A4" s="2" t="s">
        <v>901</v>
      </c>
      <c r="B4" s="5" t="s">
        <v>901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11</v>
      </c>
      <c r="V4" s="21">
        <v>0</v>
      </c>
      <c r="W4" s="8">
        <v>0</v>
      </c>
      <c r="X4" s="21">
        <v>0</v>
      </c>
      <c r="Y4" s="21">
        <v>0</v>
      </c>
      <c r="Z4" s="21">
        <v>11</v>
      </c>
    </row>
    <row r="5" spans="1:26" ht="120" x14ac:dyDescent="0.25">
      <c r="A5" t="s">
        <v>902</v>
      </c>
      <c r="B5" s="5" t="s">
        <v>903</v>
      </c>
      <c r="C5">
        <v>0</v>
      </c>
      <c r="D5">
        <v>0</v>
      </c>
      <c r="E5">
        <v>0</v>
      </c>
      <c r="F5">
        <v>0</v>
      </c>
      <c r="G5">
        <v>259</v>
      </c>
      <c r="H5">
        <v>0</v>
      </c>
      <c r="I5">
        <v>4</v>
      </c>
      <c r="J5">
        <v>0</v>
      </c>
      <c r="K5">
        <v>0</v>
      </c>
      <c r="L5">
        <v>0</v>
      </c>
      <c r="M5">
        <v>0</v>
      </c>
      <c r="N5">
        <v>12</v>
      </c>
      <c r="O5">
        <v>57</v>
      </c>
      <c r="P5">
        <v>22</v>
      </c>
      <c r="Q5">
        <v>5</v>
      </c>
      <c r="R5">
        <v>0</v>
      </c>
      <c r="S5">
        <v>0</v>
      </c>
      <c r="T5">
        <v>0</v>
      </c>
      <c r="U5">
        <v>260</v>
      </c>
      <c r="V5">
        <v>0</v>
      </c>
      <c r="W5">
        <v>0</v>
      </c>
      <c r="X5">
        <v>0</v>
      </c>
      <c r="Y5">
        <v>0</v>
      </c>
      <c r="Z5">
        <v>619</v>
      </c>
    </row>
    <row r="6" spans="1:26" x14ac:dyDescent="0.25">
      <c r="A6" s="15" t="s">
        <v>215</v>
      </c>
      <c r="B6" s="26" t="s">
        <v>904</v>
      </c>
      <c r="C6" s="3">
        <f>SUBTOTAL(109,SanFrancisco[American Sign Language Total])</f>
        <v>0</v>
      </c>
      <c r="D6" s="3">
        <f>SUBTOTAL(109,SanFrancisco[Arabic Total])</f>
        <v>0</v>
      </c>
      <c r="E6" s="3">
        <f>SUBTOTAL(109,SanFrancisco[Armenian Total])</f>
        <v>0</v>
      </c>
      <c r="F6" s="3">
        <f>SUBTOTAL(109,SanFrancisco[Bengali Total])</f>
        <v>0</v>
      </c>
      <c r="G6" s="3">
        <f>SUBTOTAL(109,SanFrancisco[Chinese (Mandarin or Cantonese) Total])</f>
        <v>259</v>
      </c>
      <c r="H6" s="3">
        <f>SUBTOTAL(109,SanFrancisco[Farsi (Persian) Total])</f>
        <v>0</v>
      </c>
      <c r="I6" s="3">
        <f>SUBTOTAL(109,SanFrancisco[French Total])</f>
        <v>4</v>
      </c>
      <c r="J6" s="3">
        <f>SUBTOTAL(109,SanFrancisco[German Total])</f>
        <v>0</v>
      </c>
      <c r="K6" s="3">
        <f>SUBTOTAL(109,SanFrancisco[Hebrew Total])</f>
        <v>0</v>
      </c>
      <c r="L6" s="3">
        <f>SUBTOTAL(109,SanFrancisco[Hindi Total])</f>
        <v>0</v>
      </c>
      <c r="M6" s="3">
        <f>SUBTOTAL(109,SanFrancisco[Hmong Total])</f>
        <v>0</v>
      </c>
      <c r="N6" s="3">
        <f>SUBTOTAL(109,SanFrancisco[Italian Total])</f>
        <v>12</v>
      </c>
      <c r="O6" s="3">
        <f>SUBTOTAL(109,SanFrancisco[Japanese Total])</f>
        <v>57</v>
      </c>
      <c r="P6" s="3">
        <f>SUBTOTAL(109,SanFrancisco[Korean Total])</f>
        <v>22</v>
      </c>
      <c r="Q6" s="3">
        <f>SUBTOTAL(109,SanFrancisco[Latin Total])</f>
        <v>5</v>
      </c>
      <c r="R6" s="3">
        <f>SUBTOTAL(109,SanFrancisco[Portuguese Total])</f>
        <v>0</v>
      </c>
      <c r="S6" s="3">
        <f>SUBTOTAL(109,SanFrancisco[Punjabi Total])</f>
        <v>0</v>
      </c>
      <c r="T6" s="3">
        <f>SUBTOTAL(109,SanFrancisco[Russian Total])</f>
        <v>0</v>
      </c>
      <c r="U6" s="3">
        <f>SUBTOTAL(109,SanFrancisco[Spanish Total])</f>
        <v>292</v>
      </c>
      <c r="V6" s="3">
        <f>SUBTOTAL(109,SanFrancisco[Tagalog (Filipino) Total])</f>
        <v>0</v>
      </c>
      <c r="W6" s="3">
        <f>SUBTOTAL(109,SanFrancisco[Urdu Total])</f>
        <v>0</v>
      </c>
      <c r="X6" s="3">
        <f>SUBTOTAL(109,SanFrancisco[Vietnamese Total])</f>
        <v>0</v>
      </c>
      <c r="Y6" s="3">
        <f>SUBTOTAL(109,SanFrancisco[Other Total])</f>
        <v>0</v>
      </c>
      <c r="Z6" s="3">
        <f>SUBTOTAL(109,SanFrancisco[Total Seals per LEA])</f>
        <v>651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E1C0-78CC-4495-90D0-D1355C776A7E}">
  <dimension ref="A1:Z16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36328125" bestFit="1" customWidth="1"/>
    <col min="2" max="2" width="39.63281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20" t="s">
        <v>12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45" x14ac:dyDescent="0.25">
      <c r="A3" s="5" t="s">
        <v>905</v>
      </c>
      <c r="B3" s="5" t="s">
        <v>905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</v>
      </c>
      <c r="V3">
        <v>0</v>
      </c>
      <c r="W3">
        <v>0</v>
      </c>
      <c r="X3">
        <v>0</v>
      </c>
      <c r="Y3">
        <v>0</v>
      </c>
      <c r="Z3">
        <v>5</v>
      </c>
    </row>
    <row r="4" spans="1:26" x14ac:dyDescent="0.25">
      <c r="A4" s="2" t="s">
        <v>906</v>
      </c>
      <c r="B4" s="5" t="s">
        <v>918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18</v>
      </c>
      <c r="V4" s="8">
        <v>0</v>
      </c>
      <c r="W4" s="8">
        <v>0</v>
      </c>
      <c r="X4" s="8">
        <v>0</v>
      </c>
      <c r="Y4" s="8">
        <v>0</v>
      </c>
      <c r="Z4" s="8">
        <v>18</v>
      </c>
    </row>
    <row r="5" spans="1:26" x14ac:dyDescent="0.25">
      <c r="A5" s="2" t="s">
        <v>907</v>
      </c>
      <c r="B5" s="5" t="s">
        <v>919</v>
      </c>
      <c r="C5" s="8">
        <v>0</v>
      </c>
      <c r="D5" s="8">
        <v>0</v>
      </c>
      <c r="E5" s="8">
        <v>0</v>
      </c>
      <c r="F5" s="8">
        <v>0</v>
      </c>
      <c r="G5" s="8">
        <v>5</v>
      </c>
      <c r="H5" s="8">
        <v>0</v>
      </c>
      <c r="I5" s="8">
        <v>1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48</v>
      </c>
      <c r="V5" s="8">
        <v>0</v>
      </c>
      <c r="W5" s="8">
        <v>0</v>
      </c>
      <c r="X5" s="8">
        <v>0</v>
      </c>
      <c r="Y5" s="8">
        <v>8</v>
      </c>
      <c r="Z5" s="8">
        <v>62</v>
      </c>
    </row>
    <row r="6" spans="1:26" x14ac:dyDescent="0.25">
      <c r="A6" s="2" t="s">
        <v>908</v>
      </c>
      <c r="B6" s="5" t="s">
        <v>920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3</v>
      </c>
      <c r="J6" s="8">
        <v>0</v>
      </c>
      <c r="K6" s="8">
        <v>0</v>
      </c>
      <c r="L6" s="8">
        <v>0</v>
      </c>
      <c r="M6" s="8">
        <v>0</v>
      </c>
      <c r="N6" s="8">
        <v>12</v>
      </c>
      <c r="O6" s="8">
        <v>1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67</v>
      </c>
      <c r="V6" s="8">
        <v>0</v>
      </c>
      <c r="W6" s="8">
        <v>0</v>
      </c>
      <c r="X6" s="8">
        <v>0</v>
      </c>
      <c r="Y6" s="8">
        <v>0</v>
      </c>
      <c r="Z6" s="8">
        <v>83</v>
      </c>
    </row>
    <row r="7" spans="1:26" x14ac:dyDescent="0.25">
      <c r="A7" s="2" t="s">
        <v>909</v>
      </c>
      <c r="B7" s="5" t="s">
        <v>921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26</v>
      </c>
      <c r="V7" s="8">
        <v>0</v>
      </c>
      <c r="W7" s="8">
        <v>0</v>
      </c>
      <c r="X7" s="8">
        <v>0</v>
      </c>
      <c r="Y7" s="8">
        <v>0</v>
      </c>
      <c r="Z7" s="8">
        <v>26</v>
      </c>
    </row>
    <row r="8" spans="1:26" ht="30" x14ac:dyDescent="0.25">
      <c r="A8" s="5" t="s">
        <v>910</v>
      </c>
      <c r="B8" s="5" t="s">
        <v>922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28</v>
      </c>
      <c r="J8">
        <v>0</v>
      </c>
      <c r="K8">
        <v>0</v>
      </c>
      <c r="L8">
        <v>0</v>
      </c>
      <c r="M8">
        <v>0</v>
      </c>
      <c r="N8">
        <v>0</v>
      </c>
      <c r="O8">
        <v>4</v>
      </c>
      <c r="P8">
        <v>0</v>
      </c>
      <c r="Q8">
        <v>0</v>
      </c>
      <c r="R8">
        <v>0</v>
      </c>
      <c r="S8">
        <v>0</v>
      </c>
      <c r="T8">
        <v>0</v>
      </c>
      <c r="U8">
        <v>135</v>
      </c>
      <c r="V8">
        <v>0</v>
      </c>
      <c r="W8">
        <v>0</v>
      </c>
      <c r="X8">
        <v>0</v>
      </c>
      <c r="Y8">
        <v>0</v>
      </c>
      <c r="Z8">
        <v>167</v>
      </c>
    </row>
    <row r="9" spans="1:26" ht="30" x14ac:dyDescent="0.25">
      <c r="A9" s="5" t="s">
        <v>911</v>
      </c>
      <c r="B9" s="5" t="s">
        <v>923</v>
      </c>
      <c r="C9">
        <v>2</v>
      </c>
      <c r="D9">
        <v>0</v>
      </c>
      <c r="E9">
        <v>0</v>
      </c>
      <c r="F9">
        <v>0</v>
      </c>
      <c r="G9">
        <v>0</v>
      </c>
      <c r="H9">
        <v>0</v>
      </c>
      <c r="I9">
        <v>7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193</v>
      </c>
      <c r="V9">
        <v>0</v>
      </c>
      <c r="W9">
        <v>0</v>
      </c>
      <c r="X9">
        <v>0</v>
      </c>
      <c r="Y9">
        <v>0</v>
      </c>
      <c r="Z9">
        <v>202</v>
      </c>
    </row>
    <row r="10" spans="1:26" x14ac:dyDescent="0.25">
      <c r="A10" s="5" t="s">
        <v>912</v>
      </c>
      <c r="B10" s="5" t="s">
        <v>912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10</v>
      </c>
      <c r="V10">
        <v>0</v>
      </c>
      <c r="W10">
        <v>0</v>
      </c>
      <c r="X10">
        <v>0</v>
      </c>
      <c r="Y10">
        <v>0</v>
      </c>
      <c r="Z10">
        <v>10</v>
      </c>
    </row>
    <row r="11" spans="1:26" x14ac:dyDescent="0.25">
      <c r="A11" s="5" t="s">
        <v>913</v>
      </c>
      <c r="B11" s="5" t="s">
        <v>924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45</v>
      </c>
      <c r="V11">
        <v>0</v>
      </c>
      <c r="W11">
        <v>0</v>
      </c>
      <c r="X11">
        <v>0</v>
      </c>
      <c r="Y11">
        <v>0</v>
      </c>
      <c r="Z11">
        <v>45</v>
      </c>
    </row>
    <row r="12" spans="1:26" ht="30" x14ac:dyDescent="0.25">
      <c r="A12" s="5" t="s">
        <v>914</v>
      </c>
      <c r="B12" s="5" t="s">
        <v>914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20</v>
      </c>
      <c r="V12">
        <v>0</v>
      </c>
      <c r="W12">
        <v>0</v>
      </c>
      <c r="X12">
        <v>0</v>
      </c>
      <c r="Y12">
        <v>0</v>
      </c>
      <c r="Z12">
        <v>20</v>
      </c>
    </row>
    <row r="13" spans="1:26" ht="90" x14ac:dyDescent="0.25">
      <c r="A13" s="5" t="s">
        <v>915</v>
      </c>
      <c r="B13" s="5" t="s">
        <v>925</v>
      </c>
      <c r="C13">
        <v>0</v>
      </c>
      <c r="D13">
        <v>1</v>
      </c>
      <c r="E13">
        <v>0</v>
      </c>
      <c r="F13">
        <v>0</v>
      </c>
      <c r="G13">
        <v>1</v>
      </c>
      <c r="H13">
        <v>0</v>
      </c>
      <c r="I13">
        <v>60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446</v>
      </c>
      <c r="V13">
        <v>5</v>
      </c>
      <c r="W13">
        <v>1</v>
      </c>
      <c r="X13">
        <v>0</v>
      </c>
      <c r="Y13">
        <v>0</v>
      </c>
      <c r="Z13">
        <v>514</v>
      </c>
    </row>
    <row r="14" spans="1:26" ht="30" x14ac:dyDescent="0.25">
      <c r="A14" s="5" t="s">
        <v>916</v>
      </c>
      <c r="B14" s="5" t="s">
        <v>926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7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118</v>
      </c>
      <c r="V14">
        <v>0</v>
      </c>
      <c r="W14">
        <v>0</v>
      </c>
      <c r="X14">
        <v>0</v>
      </c>
      <c r="Y14">
        <v>0</v>
      </c>
      <c r="Z14">
        <v>125</v>
      </c>
    </row>
    <row r="15" spans="1:26" x14ac:dyDescent="0.25">
      <c r="A15" s="5" t="s">
        <v>917</v>
      </c>
      <c r="B15" s="5" t="s">
        <v>917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43</v>
      </c>
      <c r="V15">
        <v>0</v>
      </c>
      <c r="W15">
        <v>0</v>
      </c>
      <c r="X15">
        <v>0</v>
      </c>
      <c r="Y15">
        <v>0</v>
      </c>
      <c r="Z15">
        <v>43</v>
      </c>
    </row>
    <row r="16" spans="1:26" x14ac:dyDescent="0.25">
      <c r="A16" s="15" t="s">
        <v>208</v>
      </c>
      <c r="B16" s="26" t="s">
        <v>927</v>
      </c>
      <c r="C16" s="3">
        <f>SUBTOTAL(109,SanJoaquin[American Sign Language Total])</f>
        <v>2</v>
      </c>
      <c r="D16" s="3">
        <f>SUBTOTAL(109,SanJoaquin[Arabic Total])</f>
        <v>1</v>
      </c>
      <c r="E16" s="3">
        <f>SUBTOTAL(109,SanJoaquin[Armenian Total])</f>
        <v>0</v>
      </c>
      <c r="F16" s="3">
        <f>SUBTOTAL(109,SanJoaquin[Bengali Total])</f>
        <v>0</v>
      </c>
      <c r="G16" s="3">
        <f>SUBTOTAL(109,SanJoaquin[Chinese (Mandarin or Cantonese) Total])</f>
        <v>6</v>
      </c>
      <c r="H16" s="3">
        <f>SUBTOTAL(109,SanJoaquin[Farsi (Persian) Total])</f>
        <v>0</v>
      </c>
      <c r="I16" s="3">
        <f>SUBTOTAL(109,SanJoaquin[French Total])</f>
        <v>107</v>
      </c>
      <c r="J16" s="3">
        <f>SUBTOTAL(109,SanJoaquin[German Total])</f>
        <v>0</v>
      </c>
      <c r="K16" s="3">
        <f>SUBTOTAL(109,SanJoaquin[Hebrew Total])</f>
        <v>0</v>
      </c>
      <c r="L16" s="3">
        <f>SUBTOTAL(109,SanJoaquin[Hindi Total])</f>
        <v>0</v>
      </c>
      <c r="M16" s="3">
        <f>SUBTOTAL(109,SanJoaquin[Hmong Total])</f>
        <v>0</v>
      </c>
      <c r="N16" s="3">
        <f>SUBTOTAL(109,SanJoaquin[Italian Total])</f>
        <v>12</v>
      </c>
      <c r="O16" s="3">
        <f>SUBTOTAL(109,SanJoaquin[Japanese Total])</f>
        <v>5</v>
      </c>
      <c r="P16" s="3">
        <f>SUBTOTAL(109,SanJoaquin[Korean Total])</f>
        <v>0</v>
      </c>
      <c r="Q16" s="3">
        <f>SUBTOTAL(109,SanJoaquin[Latin Total])</f>
        <v>0</v>
      </c>
      <c r="R16" s="3">
        <f>SUBTOTAL(109,SanJoaquin[Portuguese Total])</f>
        <v>0</v>
      </c>
      <c r="S16" s="3">
        <f>SUBTOTAL(109,SanJoaquin[Punjabi Total])</f>
        <v>0</v>
      </c>
      <c r="T16" s="3">
        <f>SUBTOTAL(109,SanJoaquin[Russian Total])</f>
        <v>0</v>
      </c>
      <c r="U16" s="3">
        <f>SUBTOTAL(109,SanJoaquin[Spanish Total])</f>
        <v>1173</v>
      </c>
      <c r="V16" s="3">
        <f>SUBTOTAL(109,SanJoaquin[Tagalog (Filipino) Total])</f>
        <v>5</v>
      </c>
      <c r="W16" s="3">
        <f>SUBTOTAL(109,SanJoaquin[Urdu Total])</f>
        <v>1</v>
      </c>
      <c r="X16" s="3">
        <f>SUBTOTAL(109,SanJoaquin[Vietnamese Total])</f>
        <v>0</v>
      </c>
      <c r="Y16" s="3">
        <f>SUBTOTAL(109,SanJoaquin[Other Total])</f>
        <v>8</v>
      </c>
      <c r="Z16" s="3">
        <f>SUBTOTAL(109,SanJoaquin[Total Seals per LEA])</f>
        <v>1320</v>
      </c>
    </row>
  </sheetData>
  <conditionalFormatting sqref="A1:B2">
    <cfRule type="duplicateValues" dxfId="6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6B96-E38A-4E66-BB9F-4DFB55303480}">
  <dimension ref="A1:Z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.36328125" bestFit="1" customWidth="1"/>
    <col min="2" max="2" width="37.17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25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928</v>
      </c>
      <c r="B3" s="2" t="s">
        <v>935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30</v>
      </c>
      <c r="V3" s="21">
        <v>0</v>
      </c>
      <c r="W3" s="8">
        <v>0</v>
      </c>
      <c r="X3" s="21">
        <v>0</v>
      </c>
      <c r="Y3" s="21">
        <v>0</v>
      </c>
      <c r="Z3" s="21">
        <v>30</v>
      </c>
    </row>
    <row r="4" spans="1:26" x14ac:dyDescent="0.25">
      <c r="A4" s="2" t="s">
        <v>929</v>
      </c>
      <c r="B4" s="2" t="s">
        <v>936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12</v>
      </c>
      <c r="V4" s="21">
        <v>0</v>
      </c>
      <c r="W4" s="8">
        <v>0</v>
      </c>
      <c r="X4" s="21">
        <v>0</v>
      </c>
      <c r="Y4" s="21">
        <v>0</v>
      </c>
      <c r="Z4" s="21">
        <v>12</v>
      </c>
    </row>
    <row r="5" spans="1:26" ht="30" x14ac:dyDescent="0.25">
      <c r="A5" s="5" t="s">
        <v>930</v>
      </c>
      <c r="B5" s="5" t="s">
        <v>934</v>
      </c>
      <c r="C5">
        <v>17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36</v>
      </c>
      <c r="V5">
        <v>0</v>
      </c>
      <c r="W5">
        <v>0</v>
      </c>
      <c r="X5">
        <v>0</v>
      </c>
      <c r="Y5">
        <v>0</v>
      </c>
      <c r="Z5">
        <v>53</v>
      </c>
    </row>
    <row r="6" spans="1:26" x14ac:dyDescent="0.25">
      <c r="A6" s="5" t="s">
        <v>931</v>
      </c>
      <c r="B6" t="s">
        <v>937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55</v>
      </c>
      <c r="V6">
        <v>0</v>
      </c>
      <c r="W6">
        <v>0</v>
      </c>
      <c r="X6">
        <v>0</v>
      </c>
      <c r="Y6">
        <v>0</v>
      </c>
      <c r="Z6">
        <v>55</v>
      </c>
    </row>
    <row r="7" spans="1:26" x14ac:dyDescent="0.25">
      <c r="A7" s="5" t="s">
        <v>932</v>
      </c>
      <c r="B7" t="s">
        <v>938</v>
      </c>
      <c r="C7">
        <v>13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7</v>
      </c>
      <c r="R7">
        <v>0</v>
      </c>
      <c r="S7">
        <v>0</v>
      </c>
      <c r="T7">
        <v>0</v>
      </c>
      <c r="U7">
        <v>34</v>
      </c>
      <c r="V7">
        <v>0</v>
      </c>
      <c r="W7">
        <v>0</v>
      </c>
      <c r="X7">
        <v>0</v>
      </c>
      <c r="Y7">
        <v>0</v>
      </c>
      <c r="Z7">
        <v>55</v>
      </c>
    </row>
    <row r="8" spans="1:26" x14ac:dyDescent="0.25">
      <c r="A8" s="2" t="s">
        <v>933</v>
      </c>
      <c r="B8" s="2" t="s">
        <v>939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11</v>
      </c>
      <c r="V8" s="8">
        <v>0</v>
      </c>
      <c r="W8" s="8">
        <v>0</v>
      </c>
      <c r="X8" s="8">
        <v>0</v>
      </c>
      <c r="Y8" s="8">
        <v>0</v>
      </c>
      <c r="Z8" s="8">
        <v>11</v>
      </c>
    </row>
    <row r="9" spans="1:26" x14ac:dyDescent="0.25">
      <c r="A9" s="15" t="s">
        <v>675</v>
      </c>
      <c r="B9" s="26" t="s">
        <v>940</v>
      </c>
      <c r="C9" s="3">
        <f>SUBTOTAL(109,SanLuisObispo[American Sign Language Total])</f>
        <v>30</v>
      </c>
      <c r="D9" s="3">
        <f>SUBTOTAL(109,SanLuisObispo[Arabic Total])</f>
        <v>0</v>
      </c>
      <c r="E9" s="3">
        <f>SUBTOTAL(109,SanLuisObispo[Armenian Total])</f>
        <v>0</v>
      </c>
      <c r="F9" s="3">
        <f>SUBTOTAL(109,SanLuisObispo[Bengali Total])</f>
        <v>0</v>
      </c>
      <c r="G9" s="3">
        <f>SUBTOTAL(109,SanLuisObispo[Chinese (Mandarin or Cantonese) Total])</f>
        <v>0</v>
      </c>
      <c r="H9" s="3">
        <f>SUBTOTAL(109,SanLuisObispo[Farsi (Persian) Total])</f>
        <v>0</v>
      </c>
      <c r="I9" s="3">
        <f>SUBTOTAL(109,SanLuisObispo[French Total])</f>
        <v>1</v>
      </c>
      <c r="J9" s="3">
        <f>SUBTOTAL(109,SanLuisObispo[German Total])</f>
        <v>0</v>
      </c>
      <c r="K9" s="3">
        <f>SUBTOTAL(109,SanLuisObispo[Hebrew Total])</f>
        <v>0</v>
      </c>
      <c r="L9" s="3">
        <f>SUBTOTAL(109,SanLuisObispo[Hindi Total])</f>
        <v>0</v>
      </c>
      <c r="M9" s="3">
        <f>SUBTOTAL(109,SanLuisObispo[Hmong Total])</f>
        <v>0</v>
      </c>
      <c r="N9" s="3">
        <f>SUBTOTAL(109,SanLuisObispo[Italian Total])</f>
        <v>0</v>
      </c>
      <c r="O9" s="3">
        <f>SUBTOTAL(109,SanLuisObispo[Japanese Total])</f>
        <v>0</v>
      </c>
      <c r="P9" s="3">
        <f>SUBTOTAL(109,SanLuisObispo[Korean Total])</f>
        <v>0</v>
      </c>
      <c r="Q9" s="3">
        <f>SUBTOTAL(109,SanLuisObispo[Latin Total])</f>
        <v>7</v>
      </c>
      <c r="R9" s="3">
        <f>SUBTOTAL(109,SanLuisObispo[Portuguese Total])</f>
        <v>0</v>
      </c>
      <c r="S9" s="3">
        <f>SUBTOTAL(109,SanLuisObispo[Punjabi Total])</f>
        <v>0</v>
      </c>
      <c r="T9" s="3">
        <f>SUBTOTAL(109,SanLuisObispo[Russian Total])</f>
        <v>0</v>
      </c>
      <c r="U9" s="3">
        <f>SUBTOTAL(109,SanLuisObispo[Spanish Total])</f>
        <v>178</v>
      </c>
      <c r="V9" s="3">
        <f>SUBTOTAL(109,SanLuisObispo[Tagalog (Filipino) Total])</f>
        <v>0</v>
      </c>
      <c r="W9" s="3">
        <f>SUBTOTAL(109,SanLuisObispo[Urdu Total])</f>
        <v>0</v>
      </c>
      <c r="X9" s="3">
        <f>SUBTOTAL(109,SanLuisObispo[Vietnamese Total])</f>
        <v>0</v>
      </c>
      <c r="Y9" s="3">
        <f>SUBTOTAL(109,SanLuisObispo[Other Total])</f>
        <v>0</v>
      </c>
      <c r="Z9" s="3">
        <f>SUBTOTAL(109,SanLuisObispo[Total Seals per LEA])</f>
        <v>216</v>
      </c>
    </row>
  </sheetData>
  <conditionalFormatting sqref="A1:B4">
    <cfRule type="duplicateValues" dxfId="6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36328125" bestFit="1" customWidth="1"/>
    <col min="2" max="2" width="38.90625" customWidth="1"/>
    <col min="3" max="3" width="16.6328125" bestFit="1" customWidth="1"/>
    <col min="4" max="4" width="8.453125" bestFit="1" customWidth="1"/>
    <col min="5" max="5" width="10.089843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6.632812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27</v>
      </c>
    </row>
    <row r="2" spans="1:26" ht="75.599999999999994" thickTop="1" x14ac:dyDescent="0.25">
      <c r="A2" s="2" t="s">
        <v>66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161</v>
      </c>
      <c r="B3" t="s">
        <v>167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19</v>
      </c>
      <c r="V3">
        <v>0</v>
      </c>
      <c r="W3">
        <v>0</v>
      </c>
      <c r="X3">
        <v>0</v>
      </c>
      <c r="Y3">
        <v>0</v>
      </c>
      <c r="Z3">
        <f>SUM(Butte[[#This Row],[American Sign Language Total]:[Other Total]])</f>
        <v>19</v>
      </c>
    </row>
    <row r="4" spans="1:26" ht="30" x14ac:dyDescent="0.25">
      <c r="A4" t="s">
        <v>162</v>
      </c>
      <c r="B4" s="5" t="s">
        <v>168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12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162</v>
      </c>
      <c r="V4">
        <v>0</v>
      </c>
      <c r="W4">
        <v>0</v>
      </c>
      <c r="X4">
        <v>0</v>
      </c>
      <c r="Y4">
        <v>0</v>
      </c>
      <c r="Z4">
        <f>SUM(Butte[[#This Row],[American Sign Language Total]:[Other Total]])</f>
        <v>175</v>
      </c>
    </row>
    <row r="5" spans="1:26" x14ac:dyDescent="0.25">
      <c r="A5" t="s">
        <v>163</v>
      </c>
      <c r="B5" t="s">
        <v>169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11</v>
      </c>
      <c r="V5">
        <v>0</v>
      </c>
      <c r="W5">
        <v>0</v>
      </c>
      <c r="X5">
        <v>0</v>
      </c>
      <c r="Y5">
        <v>0</v>
      </c>
      <c r="Z5">
        <f>SUM(Butte[[#This Row],[American Sign Language Total]:[Other Total]])</f>
        <v>11</v>
      </c>
    </row>
    <row r="6" spans="1:26" x14ac:dyDescent="0.25">
      <c r="A6" t="s">
        <v>164</v>
      </c>
      <c r="B6" t="s">
        <v>170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29</v>
      </c>
      <c r="V6">
        <v>0</v>
      </c>
      <c r="W6">
        <v>0</v>
      </c>
      <c r="X6">
        <v>0</v>
      </c>
      <c r="Y6">
        <v>0</v>
      </c>
      <c r="Z6">
        <f>SUM(Butte[[#This Row],[American Sign Language Total]:[Other Total]])</f>
        <v>29</v>
      </c>
    </row>
    <row r="7" spans="1:26" x14ac:dyDescent="0.25">
      <c r="A7" t="s">
        <v>165</v>
      </c>
      <c r="B7" s="5" t="s">
        <v>171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</v>
      </c>
      <c r="V7">
        <v>0</v>
      </c>
      <c r="W7">
        <v>0</v>
      </c>
      <c r="X7">
        <v>0</v>
      </c>
      <c r="Y7">
        <v>0</v>
      </c>
      <c r="Z7">
        <f>SUM(Butte[[#This Row],[American Sign Language Total]:[Other Total]])</f>
        <v>3</v>
      </c>
    </row>
    <row r="8" spans="1:26" x14ac:dyDescent="0.25">
      <c r="A8" s="15" t="s">
        <v>166</v>
      </c>
      <c r="B8" s="26" t="s">
        <v>172</v>
      </c>
      <c r="C8">
        <f>SUBTOTAL(109,Butte[American Sign Language Total])</f>
        <v>0</v>
      </c>
      <c r="D8">
        <f>SUBTOTAL(109,Butte[Arabic Total])</f>
        <v>0</v>
      </c>
      <c r="E8">
        <f>SUBTOTAL(109,Butte[Armenian Total])</f>
        <v>0</v>
      </c>
      <c r="F8">
        <f>SUBTOTAL(109,Butte[Bengali Total])</f>
        <v>0</v>
      </c>
      <c r="G8">
        <f>SUBTOTAL(109,Butte[Chinese (Mandarin or Cantonese) Total])</f>
        <v>1</v>
      </c>
      <c r="H8">
        <f>SUBTOTAL(109,Butte[Farsi (Persian) Total])</f>
        <v>0</v>
      </c>
      <c r="I8">
        <f>SUBTOTAL(109,Butte[French Total])</f>
        <v>12</v>
      </c>
      <c r="J8">
        <f>SUBTOTAL(109,Butte[German Total])</f>
        <v>0</v>
      </c>
      <c r="K8">
        <f>SUBTOTAL(109,Butte[Hebrew Total])</f>
        <v>0</v>
      </c>
      <c r="L8">
        <f>SUBTOTAL(109,Butte[Hindi Total])</f>
        <v>0</v>
      </c>
      <c r="M8">
        <f>SUBTOTAL(109,Butte[Hmong Total])</f>
        <v>0</v>
      </c>
      <c r="N8">
        <f>SUBTOTAL(109,Butte[Italian Total])</f>
        <v>0</v>
      </c>
      <c r="O8">
        <f>SUBTOTAL(109,Butte[Japanese Total])</f>
        <v>0</v>
      </c>
      <c r="P8">
        <f>SUBTOTAL(109,Butte[Korean Total])</f>
        <v>0</v>
      </c>
      <c r="Q8">
        <f>SUBTOTAL(109,Butte[Latin Total])</f>
        <v>0</v>
      </c>
      <c r="R8">
        <f>SUBTOTAL(109,Butte[Portuguese Total])</f>
        <v>0</v>
      </c>
      <c r="S8">
        <f>SUBTOTAL(109,Butte[Punjabi Total])</f>
        <v>0</v>
      </c>
      <c r="T8">
        <f>SUBTOTAL(109,Butte[Russian Total])</f>
        <v>0</v>
      </c>
      <c r="U8">
        <f>SUBTOTAL(109,Butte[Spanish Total])</f>
        <v>224</v>
      </c>
      <c r="V8">
        <f>SUBTOTAL(109,Butte[Tagalog (Filipino) Total])</f>
        <v>0</v>
      </c>
      <c r="W8">
        <f>SUBTOTAL(109,Butte[Urdu Total])</f>
        <v>0</v>
      </c>
      <c r="X8">
        <f>SUBTOTAL(109,Butte[Vietnamese Total])</f>
        <v>0</v>
      </c>
      <c r="Y8">
        <f>SUBTOTAL(109,Butte[Other Total])</f>
        <v>0</v>
      </c>
      <c r="Z8">
        <f>SUBTOTAL(109,Butte[Total Seals per LEA])</f>
        <v>237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B6DF-20BD-42BE-BFE3-4D51528221F8}">
  <dimension ref="A1:Z12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4.6328125" bestFit="1" customWidth="1"/>
    <col min="2" max="2" width="37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941</v>
      </c>
      <c r="B3" s="5" t="s">
        <v>950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5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20</v>
      </c>
      <c r="V3" s="21">
        <v>0</v>
      </c>
      <c r="W3" s="8">
        <v>0</v>
      </c>
      <c r="X3" s="21">
        <v>0</v>
      </c>
      <c r="Y3" s="21">
        <v>0</v>
      </c>
      <c r="Z3" s="21">
        <v>25</v>
      </c>
    </row>
    <row r="4" spans="1:26" x14ac:dyDescent="0.25">
      <c r="A4" s="2" t="s">
        <v>942</v>
      </c>
      <c r="B4" s="5" t="s">
        <v>942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12</v>
      </c>
      <c r="V4" s="21">
        <v>0</v>
      </c>
      <c r="W4" s="8">
        <v>0</v>
      </c>
      <c r="X4" s="21">
        <v>0</v>
      </c>
      <c r="Y4" s="21">
        <v>0</v>
      </c>
      <c r="Z4" s="21">
        <v>12</v>
      </c>
    </row>
    <row r="5" spans="1:26" ht="30" x14ac:dyDescent="0.25">
      <c r="A5" s="2" t="s">
        <v>943</v>
      </c>
      <c r="B5" s="5" t="s">
        <v>951</v>
      </c>
      <c r="C5" s="21">
        <v>0</v>
      </c>
      <c r="D5" s="21">
        <v>0</v>
      </c>
      <c r="E5" s="21">
        <v>0</v>
      </c>
      <c r="F5" s="8">
        <v>0</v>
      </c>
      <c r="G5" s="8">
        <v>2</v>
      </c>
      <c r="H5" s="8">
        <v>0</v>
      </c>
      <c r="I5" s="21">
        <v>1</v>
      </c>
      <c r="J5" s="21">
        <v>0</v>
      </c>
      <c r="K5" s="8">
        <v>0</v>
      </c>
      <c r="L5" s="8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37</v>
      </c>
      <c r="V5" s="21">
        <v>4</v>
      </c>
      <c r="W5" s="8">
        <v>0</v>
      </c>
      <c r="X5" s="21">
        <v>0</v>
      </c>
      <c r="Y5" s="21">
        <v>0</v>
      </c>
      <c r="Z5" s="21">
        <v>44</v>
      </c>
    </row>
    <row r="6" spans="1:26" x14ac:dyDescent="0.25">
      <c r="A6" s="2" t="s">
        <v>944</v>
      </c>
      <c r="B6" s="5" t="s">
        <v>952</v>
      </c>
      <c r="C6" s="21">
        <v>0</v>
      </c>
      <c r="D6" s="21">
        <v>0</v>
      </c>
      <c r="E6" s="21">
        <v>0</v>
      </c>
      <c r="F6" s="8">
        <v>0</v>
      </c>
      <c r="G6" s="8">
        <v>0</v>
      </c>
      <c r="H6" s="8">
        <v>0</v>
      </c>
      <c r="I6" s="21">
        <v>0</v>
      </c>
      <c r="J6" s="21">
        <v>0</v>
      </c>
      <c r="K6" s="8">
        <v>0</v>
      </c>
      <c r="L6" s="8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8">
        <v>0</v>
      </c>
      <c r="T6" s="8">
        <v>0</v>
      </c>
      <c r="U6" s="21">
        <v>2</v>
      </c>
      <c r="V6" s="21">
        <v>0</v>
      </c>
      <c r="W6" s="8">
        <v>0</v>
      </c>
      <c r="X6" s="21">
        <v>0</v>
      </c>
      <c r="Y6" s="21">
        <v>0</v>
      </c>
      <c r="Z6" s="21">
        <v>2</v>
      </c>
    </row>
    <row r="7" spans="1:26" ht="45" x14ac:dyDescent="0.25">
      <c r="A7" s="5" t="s">
        <v>945</v>
      </c>
      <c r="B7" s="5" t="s">
        <v>953</v>
      </c>
      <c r="C7">
        <v>0</v>
      </c>
      <c r="D7">
        <v>0</v>
      </c>
      <c r="E7">
        <v>0</v>
      </c>
      <c r="F7">
        <v>0</v>
      </c>
      <c r="G7">
        <v>121</v>
      </c>
      <c r="H7">
        <v>0</v>
      </c>
      <c r="I7">
        <v>27</v>
      </c>
      <c r="J7">
        <v>0</v>
      </c>
      <c r="K7">
        <v>0</v>
      </c>
      <c r="L7">
        <v>0</v>
      </c>
      <c r="M7">
        <v>0</v>
      </c>
      <c r="N7">
        <v>27</v>
      </c>
      <c r="O7">
        <v>28</v>
      </c>
      <c r="P7">
        <v>0</v>
      </c>
      <c r="Q7">
        <v>0</v>
      </c>
      <c r="R7">
        <v>0</v>
      </c>
      <c r="S7">
        <v>0</v>
      </c>
      <c r="T7">
        <v>0</v>
      </c>
      <c r="U7">
        <v>344</v>
      </c>
      <c r="V7">
        <v>0</v>
      </c>
      <c r="W7">
        <v>0</v>
      </c>
      <c r="X7">
        <v>0</v>
      </c>
      <c r="Y7">
        <v>1</v>
      </c>
      <c r="Z7">
        <v>548</v>
      </c>
    </row>
    <row r="8" spans="1:26" ht="45" x14ac:dyDescent="0.25">
      <c r="A8" s="5" t="s">
        <v>946</v>
      </c>
      <c r="B8" s="5" t="s">
        <v>954</v>
      </c>
      <c r="C8">
        <v>0</v>
      </c>
      <c r="D8">
        <v>0</v>
      </c>
      <c r="E8">
        <v>0</v>
      </c>
      <c r="F8">
        <v>0</v>
      </c>
      <c r="G8">
        <v>49</v>
      </c>
      <c r="H8">
        <v>0</v>
      </c>
      <c r="I8">
        <v>80</v>
      </c>
      <c r="J8">
        <v>1</v>
      </c>
      <c r="K8">
        <v>3</v>
      </c>
      <c r="L8">
        <v>0</v>
      </c>
      <c r="M8">
        <v>0</v>
      </c>
      <c r="N8">
        <v>0</v>
      </c>
      <c r="O8">
        <v>7</v>
      </c>
      <c r="P8">
        <v>0</v>
      </c>
      <c r="Q8">
        <v>28</v>
      </c>
      <c r="R8">
        <v>0</v>
      </c>
      <c r="S8">
        <v>0</v>
      </c>
      <c r="T8">
        <v>0</v>
      </c>
      <c r="U8">
        <v>416</v>
      </c>
      <c r="V8">
        <v>0</v>
      </c>
      <c r="W8">
        <v>0</v>
      </c>
      <c r="X8">
        <v>0</v>
      </c>
      <c r="Y8">
        <v>0</v>
      </c>
      <c r="Z8">
        <v>584</v>
      </c>
    </row>
    <row r="9" spans="1:26" x14ac:dyDescent="0.25">
      <c r="A9" s="5" t="s">
        <v>947</v>
      </c>
      <c r="B9" s="5" t="s">
        <v>955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4</v>
      </c>
      <c r="J9">
        <v>0</v>
      </c>
      <c r="K9">
        <v>0</v>
      </c>
      <c r="L9">
        <v>0</v>
      </c>
      <c r="M9">
        <v>0</v>
      </c>
      <c r="N9">
        <v>6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25</v>
      </c>
      <c r="V9">
        <v>0</v>
      </c>
      <c r="W9">
        <v>0</v>
      </c>
      <c r="X9">
        <v>0</v>
      </c>
      <c r="Y9">
        <v>0</v>
      </c>
      <c r="Z9">
        <v>35</v>
      </c>
    </row>
    <row r="10" spans="1:26" ht="30" x14ac:dyDescent="0.25">
      <c r="A10" s="5" t="s">
        <v>948</v>
      </c>
      <c r="B10" s="5" t="s">
        <v>948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30</v>
      </c>
      <c r="V10">
        <v>0</v>
      </c>
      <c r="W10">
        <v>0</v>
      </c>
      <c r="X10">
        <v>0</v>
      </c>
      <c r="Y10">
        <v>0</v>
      </c>
      <c r="Z10">
        <v>31</v>
      </c>
    </row>
    <row r="11" spans="1:26" ht="30" x14ac:dyDescent="0.25">
      <c r="A11" s="5" t="s">
        <v>949</v>
      </c>
      <c r="B11" s="5" t="s">
        <v>949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  <c r="U11">
        <v>2</v>
      </c>
      <c r="V11">
        <v>0</v>
      </c>
      <c r="W11">
        <v>0</v>
      </c>
      <c r="X11">
        <v>0</v>
      </c>
      <c r="Y11">
        <v>0</v>
      </c>
      <c r="Z11" s="3">
        <v>3</v>
      </c>
    </row>
    <row r="12" spans="1:26" x14ac:dyDescent="0.25">
      <c r="A12" s="15" t="s">
        <v>957</v>
      </c>
      <c r="B12" s="26" t="s">
        <v>956</v>
      </c>
      <c r="C12" s="3">
        <f>SUBTOTAL(109,SanMateo[American Sign Language Total])</f>
        <v>0</v>
      </c>
      <c r="D12" s="3">
        <f>SUBTOTAL(109,SanMateo[Arabic Total])</f>
        <v>0</v>
      </c>
      <c r="E12" s="3">
        <f>SUBTOTAL(109,SanMateo[Armenian Total])</f>
        <v>0</v>
      </c>
      <c r="F12" s="3">
        <f>SUBTOTAL(109,SanMateo[Bengali Total])</f>
        <v>0</v>
      </c>
      <c r="G12" s="3">
        <f>SUBTOTAL(109,SanMateo[Chinese (Mandarin or Cantonese) Total])</f>
        <v>173</v>
      </c>
      <c r="H12" s="3">
        <f>SUBTOTAL(109,SanMateo[Farsi (Persian) Total])</f>
        <v>0</v>
      </c>
      <c r="I12" s="3">
        <f>SUBTOTAL(109,SanMateo[French Total])</f>
        <v>117</v>
      </c>
      <c r="J12" s="3">
        <f>SUBTOTAL(109,SanMateo[German Total])</f>
        <v>1</v>
      </c>
      <c r="K12" s="3">
        <f>SUBTOTAL(109,SanMateo[Hebrew Total])</f>
        <v>3</v>
      </c>
      <c r="L12" s="3">
        <f>SUBTOTAL(109,SanMateo[Hindi Total])</f>
        <v>0</v>
      </c>
      <c r="M12" s="3">
        <f>SUBTOTAL(109,SanMateo[Hmong Total])</f>
        <v>0</v>
      </c>
      <c r="N12" s="3">
        <f>SUBTOTAL(109,SanMateo[Italian Total])</f>
        <v>33</v>
      </c>
      <c r="O12" s="3">
        <f>SUBTOTAL(109,SanMateo[Japanese Total])</f>
        <v>36</v>
      </c>
      <c r="P12" s="3">
        <f>SUBTOTAL(109,SanMateo[Korean Total])</f>
        <v>0</v>
      </c>
      <c r="Q12" s="3">
        <f>SUBTOTAL(109,SanMateo[Latin Total])</f>
        <v>28</v>
      </c>
      <c r="R12" s="3">
        <f>SUBTOTAL(109,SanMateo[Portuguese Total])</f>
        <v>0</v>
      </c>
      <c r="S12" s="3">
        <f>SUBTOTAL(109,SanMateo[Punjabi Total])</f>
        <v>0</v>
      </c>
      <c r="T12" s="3">
        <f>SUBTOTAL(109,SanMateo[Russian Total])</f>
        <v>0</v>
      </c>
      <c r="U12" s="3">
        <f>SUBTOTAL(109,SanMateo[Spanish Total])</f>
        <v>888</v>
      </c>
      <c r="V12" s="3">
        <f>SUBTOTAL(109,SanMateo[Tagalog (Filipino) Total])</f>
        <v>4</v>
      </c>
      <c r="W12" s="3">
        <f>SUBTOTAL(109,SanMateo[Urdu Total])</f>
        <v>0</v>
      </c>
      <c r="X12" s="3">
        <f>SUBTOTAL(109,SanMateo[Vietnamese Total])</f>
        <v>0</v>
      </c>
      <c r="Y12" s="3">
        <f>SUBTOTAL(109,SanMateo[Other Total])</f>
        <v>1</v>
      </c>
      <c r="Z12" s="3">
        <f>SUBTOTAL(109,SanMateo[Total Seals per LEA])</f>
        <v>1284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8F70-060C-4B36-AD8B-7BCE33788996}">
  <dimension ref="A1:Z10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5.81640625" bestFit="1" customWidth="1"/>
    <col min="2" max="2" width="35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30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2" t="s">
        <v>958</v>
      </c>
      <c r="B3" s="5" t="s">
        <v>958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1</v>
      </c>
      <c r="V3" s="21">
        <v>0</v>
      </c>
      <c r="W3" s="8">
        <v>0</v>
      </c>
      <c r="X3" s="21">
        <v>0</v>
      </c>
      <c r="Y3" s="21">
        <v>0</v>
      </c>
      <c r="Z3" s="21">
        <v>1</v>
      </c>
    </row>
    <row r="4" spans="1:26" x14ac:dyDescent="0.25">
      <c r="A4" s="2" t="s">
        <v>959</v>
      </c>
      <c r="B4" s="5" t="s">
        <v>965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24</v>
      </c>
      <c r="V4" s="21">
        <v>0</v>
      </c>
      <c r="W4" s="8">
        <v>0</v>
      </c>
      <c r="X4" s="21">
        <v>0</v>
      </c>
      <c r="Y4" s="21">
        <v>0</v>
      </c>
      <c r="Z4" s="21">
        <v>24</v>
      </c>
    </row>
    <row r="5" spans="1:26" x14ac:dyDescent="0.25">
      <c r="A5" t="s">
        <v>960</v>
      </c>
      <c r="B5" s="5" t="s">
        <v>966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13</v>
      </c>
      <c r="V5">
        <v>0</v>
      </c>
      <c r="W5">
        <v>0</v>
      </c>
      <c r="X5">
        <v>0</v>
      </c>
      <c r="Y5">
        <v>0</v>
      </c>
      <c r="Z5">
        <v>15</v>
      </c>
    </row>
    <row r="6" spans="1:26" x14ac:dyDescent="0.25">
      <c r="A6" t="s">
        <v>961</v>
      </c>
      <c r="B6" s="5" t="s">
        <v>967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9</v>
      </c>
      <c r="V6">
        <v>0</v>
      </c>
      <c r="W6">
        <v>0</v>
      </c>
      <c r="X6">
        <v>0</v>
      </c>
      <c r="Y6">
        <v>0</v>
      </c>
      <c r="Z6">
        <v>9</v>
      </c>
    </row>
    <row r="7" spans="1:26" ht="60" x14ac:dyDescent="0.25">
      <c r="A7" t="s">
        <v>962</v>
      </c>
      <c r="B7" s="5" t="s">
        <v>968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4</v>
      </c>
      <c r="S7">
        <v>0</v>
      </c>
      <c r="T7">
        <v>0</v>
      </c>
      <c r="U7">
        <v>230</v>
      </c>
      <c r="V7">
        <v>0</v>
      </c>
      <c r="W7">
        <v>0</v>
      </c>
      <c r="X7">
        <v>0</v>
      </c>
      <c r="Y7">
        <v>1</v>
      </c>
      <c r="Z7">
        <v>235</v>
      </c>
    </row>
    <row r="8" spans="1:26" ht="30" x14ac:dyDescent="0.25">
      <c r="A8" t="s">
        <v>963</v>
      </c>
      <c r="B8" s="5" t="s">
        <v>969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18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250</v>
      </c>
      <c r="V8">
        <v>0</v>
      </c>
      <c r="W8">
        <v>0</v>
      </c>
      <c r="X8">
        <v>1</v>
      </c>
      <c r="Y8">
        <v>6</v>
      </c>
      <c r="Z8">
        <v>275</v>
      </c>
    </row>
    <row r="9" spans="1:26" x14ac:dyDescent="0.25">
      <c r="A9" t="s">
        <v>964</v>
      </c>
      <c r="B9" s="5" t="s">
        <v>964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34</v>
      </c>
      <c r="V9">
        <v>0</v>
      </c>
      <c r="W9">
        <v>0</v>
      </c>
      <c r="X9">
        <v>0</v>
      </c>
      <c r="Y9">
        <v>0</v>
      </c>
      <c r="Z9">
        <v>34</v>
      </c>
    </row>
    <row r="10" spans="1:26" x14ac:dyDescent="0.25">
      <c r="A10" s="15" t="s">
        <v>970</v>
      </c>
      <c r="B10" s="26" t="s">
        <v>601</v>
      </c>
      <c r="C10" s="3">
        <f>SUBTOTAL(109,SantaBarbara[American Sign Language Total])</f>
        <v>0</v>
      </c>
      <c r="D10" s="3">
        <f>SUBTOTAL(109,SantaBarbara[Arabic Total])</f>
        <v>0</v>
      </c>
      <c r="E10" s="3">
        <f>SUBTOTAL(109,SantaBarbara[Armenian Total])</f>
        <v>0</v>
      </c>
      <c r="F10" s="3">
        <f>SUBTOTAL(109,SantaBarbara[Bengali Total])</f>
        <v>0</v>
      </c>
      <c r="G10" s="3">
        <f>SUBTOTAL(109,SantaBarbara[Chinese (Mandarin or Cantonese) Total])</f>
        <v>0</v>
      </c>
      <c r="H10" s="3">
        <f>SUBTOTAL(109,SantaBarbara[Farsi (Persian) Total])</f>
        <v>0</v>
      </c>
      <c r="I10" s="3">
        <f>SUBTOTAL(109,SantaBarbara[French Total])</f>
        <v>19</v>
      </c>
      <c r="J10" s="3">
        <f>SUBTOTAL(109,SantaBarbara[German Total])</f>
        <v>0</v>
      </c>
      <c r="K10" s="3">
        <f>SUBTOTAL(109,SantaBarbara[Hebrew Total])</f>
        <v>0</v>
      </c>
      <c r="L10" s="3">
        <f>SUBTOTAL(109,SantaBarbara[Hindi Total])</f>
        <v>0</v>
      </c>
      <c r="M10" s="3">
        <f>SUBTOTAL(109,SantaBarbara[Hmong Total])</f>
        <v>0</v>
      </c>
      <c r="N10" s="3">
        <f>SUBTOTAL(109,SantaBarbara[Italian Total])</f>
        <v>0</v>
      </c>
      <c r="O10" s="3">
        <f>SUBTOTAL(109,SantaBarbara[Japanese Total])</f>
        <v>1</v>
      </c>
      <c r="P10" s="3">
        <f>SUBTOTAL(109,SantaBarbara[Korean Total])</f>
        <v>0</v>
      </c>
      <c r="Q10" s="3">
        <f>SUBTOTAL(109,SantaBarbara[Latin Total])</f>
        <v>0</v>
      </c>
      <c r="R10" s="3">
        <f>SUBTOTAL(109,SantaBarbara[Portuguese Total])</f>
        <v>4</v>
      </c>
      <c r="S10" s="3">
        <f>SUBTOTAL(109,SantaBarbara[Punjabi Total])</f>
        <v>0</v>
      </c>
      <c r="T10" s="3">
        <f>SUBTOTAL(109,SantaBarbara[Russian Total])</f>
        <v>0</v>
      </c>
      <c r="U10" s="3">
        <f>SUBTOTAL(109,SantaBarbara[Spanish Total])</f>
        <v>561</v>
      </c>
      <c r="V10" s="3">
        <f>SUBTOTAL(109,SantaBarbara[Tagalog (Filipino) Total])</f>
        <v>0</v>
      </c>
      <c r="W10" s="3">
        <f>SUBTOTAL(109,SantaBarbara[Urdu Total])</f>
        <v>0</v>
      </c>
      <c r="X10" s="3">
        <f>SUBTOTAL(109,SantaBarbara[Vietnamese Total])</f>
        <v>1</v>
      </c>
      <c r="Y10" s="3">
        <f>SUBTOTAL(109,SantaBarbara[Other Total])</f>
        <v>7</v>
      </c>
      <c r="Z10" s="3">
        <f>SUBTOTAL(109,SantaBarbara[Total Seals per LEA])</f>
        <v>593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009-5814-4DFC-B065-D0C830E2F1DE}">
  <dimension ref="A1:Z2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31.81640625" style="5" customWidth="1"/>
    <col min="2" max="2" width="37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26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971</v>
      </c>
      <c r="B3" s="5" t="s">
        <v>971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15</v>
      </c>
      <c r="V3" s="21">
        <v>0</v>
      </c>
      <c r="W3" s="8">
        <v>0</v>
      </c>
      <c r="X3" s="21">
        <v>0</v>
      </c>
      <c r="Y3" s="21">
        <v>0</v>
      </c>
      <c r="Z3" s="21">
        <v>15</v>
      </c>
    </row>
    <row r="4" spans="1:26" ht="30" x14ac:dyDescent="0.25">
      <c r="A4" s="2" t="s">
        <v>972</v>
      </c>
      <c r="B4" s="5" t="s">
        <v>992</v>
      </c>
      <c r="C4" s="21">
        <v>0</v>
      </c>
      <c r="D4" s="21">
        <v>0</v>
      </c>
      <c r="E4" s="21">
        <v>0</v>
      </c>
      <c r="F4" s="8">
        <v>0</v>
      </c>
      <c r="G4" s="8">
        <v>56</v>
      </c>
      <c r="H4" s="8">
        <v>0</v>
      </c>
      <c r="I4" s="21">
        <v>1</v>
      </c>
      <c r="J4" s="21">
        <v>7</v>
      </c>
      <c r="K4" s="8">
        <v>7</v>
      </c>
      <c r="L4" s="8">
        <v>1</v>
      </c>
      <c r="M4" s="21">
        <v>0</v>
      </c>
      <c r="N4" s="21">
        <v>0</v>
      </c>
      <c r="O4" s="21">
        <v>23</v>
      </c>
      <c r="P4" s="21">
        <v>2</v>
      </c>
      <c r="Q4" s="21">
        <v>0</v>
      </c>
      <c r="R4" s="21">
        <v>1</v>
      </c>
      <c r="S4" s="8">
        <v>1</v>
      </c>
      <c r="T4" s="8">
        <v>3</v>
      </c>
      <c r="U4" s="21">
        <v>218</v>
      </c>
      <c r="V4" s="21">
        <v>2</v>
      </c>
      <c r="W4" s="8">
        <v>0</v>
      </c>
      <c r="X4" s="21">
        <v>2</v>
      </c>
      <c r="Y4" s="21">
        <v>0</v>
      </c>
      <c r="Z4" s="21">
        <v>324</v>
      </c>
    </row>
    <row r="5" spans="1:26" x14ac:dyDescent="0.25">
      <c r="A5" s="2" t="s">
        <v>973</v>
      </c>
      <c r="B5" s="5" t="s">
        <v>973</v>
      </c>
      <c r="C5" s="21">
        <v>0</v>
      </c>
      <c r="D5" s="21">
        <v>0</v>
      </c>
      <c r="E5" s="21">
        <v>0</v>
      </c>
      <c r="F5" s="8">
        <v>0</v>
      </c>
      <c r="G5" s="8">
        <v>0</v>
      </c>
      <c r="H5" s="8">
        <v>0</v>
      </c>
      <c r="I5" s="21">
        <v>0</v>
      </c>
      <c r="J5" s="21">
        <v>0</v>
      </c>
      <c r="K5" s="8">
        <v>0</v>
      </c>
      <c r="L5" s="8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7</v>
      </c>
      <c r="V5" s="21">
        <v>0</v>
      </c>
      <c r="W5" s="8">
        <v>0</v>
      </c>
      <c r="X5" s="21">
        <v>0</v>
      </c>
      <c r="Y5" s="21">
        <v>0</v>
      </c>
      <c r="Z5" s="21">
        <v>7</v>
      </c>
    </row>
    <row r="6" spans="1:26" x14ac:dyDescent="0.25">
      <c r="A6" s="2" t="s">
        <v>974</v>
      </c>
      <c r="B6" s="5" t="s">
        <v>974</v>
      </c>
      <c r="C6" s="21">
        <v>0</v>
      </c>
      <c r="D6" s="21">
        <v>0</v>
      </c>
      <c r="E6" s="21">
        <v>0</v>
      </c>
      <c r="F6" s="8">
        <v>0</v>
      </c>
      <c r="G6" s="8">
        <v>0</v>
      </c>
      <c r="H6" s="8">
        <v>0</v>
      </c>
      <c r="I6" s="21">
        <v>0</v>
      </c>
      <c r="J6" s="21">
        <v>0</v>
      </c>
      <c r="K6" s="8">
        <v>0</v>
      </c>
      <c r="L6" s="8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8">
        <v>0</v>
      </c>
      <c r="T6" s="8">
        <v>0</v>
      </c>
      <c r="U6" s="21">
        <v>14</v>
      </c>
      <c r="V6" s="21">
        <v>0</v>
      </c>
      <c r="W6" s="8">
        <v>0</v>
      </c>
      <c r="X6" s="21">
        <v>0</v>
      </c>
      <c r="Y6" s="21">
        <v>0</v>
      </c>
      <c r="Z6" s="21">
        <v>14</v>
      </c>
    </row>
    <row r="7" spans="1:26" ht="90" x14ac:dyDescent="0.25">
      <c r="A7" s="2" t="s">
        <v>975</v>
      </c>
      <c r="B7" s="5" t="s">
        <v>993</v>
      </c>
      <c r="C7" s="21">
        <v>37</v>
      </c>
      <c r="D7" s="21">
        <v>0</v>
      </c>
      <c r="E7" s="21">
        <v>0</v>
      </c>
      <c r="F7" s="8">
        <v>0</v>
      </c>
      <c r="G7" s="8">
        <v>98</v>
      </c>
      <c r="H7" s="8">
        <v>0</v>
      </c>
      <c r="I7" s="21">
        <v>23</v>
      </c>
      <c r="J7" s="21">
        <v>16</v>
      </c>
      <c r="K7" s="8">
        <v>0</v>
      </c>
      <c r="L7" s="8">
        <v>0</v>
      </c>
      <c r="M7" s="21">
        <v>0</v>
      </c>
      <c r="N7" s="21">
        <v>0</v>
      </c>
      <c r="O7" s="21">
        <v>1</v>
      </c>
      <c r="P7" s="21">
        <v>0</v>
      </c>
      <c r="Q7" s="21">
        <v>0</v>
      </c>
      <c r="R7" s="21">
        <v>0</v>
      </c>
      <c r="S7" s="8">
        <v>0</v>
      </c>
      <c r="T7" s="8">
        <v>0</v>
      </c>
      <c r="U7" s="21">
        <v>389</v>
      </c>
      <c r="V7" s="21">
        <v>0</v>
      </c>
      <c r="W7" s="8">
        <v>0</v>
      </c>
      <c r="X7" s="21">
        <v>137</v>
      </c>
      <c r="Y7" s="21">
        <v>0</v>
      </c>
      <c r="Z7" s="21">
        <v>701</v>
      </c>
    </row>
    <row r="8" spans="1:26" ht="30" x14ac:dyDescent="0.25">
      <c r="A8" s="2" t="s">
        <v>976</v>
      </c>
      <c r="B8" s="5" t="s">
        <v>976</v>
      </c>
      <c r="C8" s="21">
        <v>0</v>
      </c>
      <c r="D8" s="21">
        <v>0</v>
      </c>
      <c r="E8" s="21">
        <v>0</v>
      </c>
      <c r="F8" s="8">
        <v>0</v>
      </c>
      <c r="G8" s="8">
        <v>0</v>
      </c>
      <c r="H8" s="8">
        <v>0</v>
      </c>
      <c r="I8" s="21">
        <v>0</v>
      </c>
      <c r="J8" s="21">
        <v>0</v>
      </c>
      <c r="K8" s="8">
        <v>0</v>
      </c>
      <c r="L8" s="8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8">
        <v>0</v>
      </c>
      <c r="T8" s="8">
        <v>0</v>
      </c>
      <c r="U8" s="21">
        <v>1</v>
      </c>
      <c r="V8" s="21">
        <v>0</v>
      </c>
      <c r="W8" s="8">
        <v>0</v>
      </c>
      <c r="X8" s="21">
        <v>0</v>
      </c>
      <c r="Y8" s="21">
        <v>0</v>
      </c>
      <c r="Z8" s="21">
        <v>1</v>
      </c>
    </row>
    <row r="9" spans="1:26" ht="30" x14ac:dyDescent="0.25">
      <c r="A9" s="2" t="s">
        <v>977</v>
      </c>
      <c r="B9" s="5" t="s">
        <v>994</v>
      </c>
      <c r="C9" s="21">
        <v>0</v>
      </c>
      <c r="D9" s="21">
        <v>0</v>
      </c>
      <c r="E9" s="21">
        <v>0</v>
      </c>
      <c r="F9" s="8">
        <v>0</v>
      </c>
      <c r="G9" s="8">
        <v>732</v>
      </c>
      <c r="H9" s="8">
        <v>0</v>
      </c>
      <c r="I9" s="21">
        <v>339</v>
      </c>
      <c r="J9" s="21">
        <v>0</v>
      </c>
      <c r="K9" s="8">
        <v>2</v>
      </c>
      <c r="L9" s="8">
        <v>0</v>
      </c>
      <c r="M9" s="21">
        <v>0</v>
      </c>
      <c r="N9" s="21">
        <v>0</v>
      </c>
      <c r="O9" s="21">
        <v>220</v>
      </c>
      <c r="P9" s="21">
        <v>0</v>
      </c>
      <c r="Q9" s="21">
        <v>0</v>
      </c>
      <c r="R9" s="21">
        <v>0</v>
      </c>
      <c r="S9" s="8">
        <v>0</v>
      </c>
      <c r="T9" s="8">
        <v>0</v>
      </c>
      <c r="U9" s="21">
        <v>804</v>
      </c>
      <c r="V9" s="21">
        <v>0</v>
      </c>
      <c r="W9" s="8">
        <v>0</v>
      </c>
      <c r="X9" s="21">
        <v>0</v>
      </c>
      <c r="Y9" s="21">
        <v>0</v>
      </c>
      <c r="Z9" s="21">
        <v>2097</v>
      </c>
    </row>
    <row r="10" spans="1:26" ht="30" x14ac:dyDescent="0.25">
      <c r="A10" s="2" t="s">
        <v>978</v>
      </c>
      <c r="B10" s="5" t="s">
        <v>995</v>
      </c>
      <c r="C10" s="21">
        <v>0</v>
      </c>
      <c r="D10" s="21">
        <v>0</v>
      </c>
      <c r="E10" s="21">
        <v>0</v>
      </c>
      <c r="F10" s="8">
        <v>0</v>
      </c>
      <c r="G10" s="8">
        <v>0</v>
      </c>
      <c r="H10" s="8">
        <v>0</v>
      </c>
      <c r="I10" s="21">
        <v>0</v>
      </c>
      <c r="J10" s="21">
        <v>0</v>
      </c>
      <c r="K10" s="8">
        <v>0</v>
      </c>
      <c r="L10" s="8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8">
        <v>0</v>
      </c>
      <c r="T10" s="8">
        <v>0</v>
      </c>
      <c r="U10" s="21">
        <v>131</v>
      </c>
      <c r="V10" s="21">
        <v>0</v>
      </c>
      <c r="W10" s="8">
        <v>0</v>
      </c>
      <c r="X10" s="21">
        <v>0</v>
      </c>
      <c r="Y10" s="21">
        <v>0</v>
      </c>
      <c r="Z10" s="21">
        <v>131</v>
      </c>
    </row>
    <row r="11" spans="1:26" x14ac:dyDescent="0.25">
      <c r="A11" s="2" t="s">
        <v>979</v>
      </c>
      <c r="B11" s="5" t="s">
        <v>979</v>
      </c>
      <c r="C11" s="21">
        <v>0</v>
      </c>
      <c r="D11" s="21">
        <v>0</v>
      </c>
      <c r="E11" s="21">
        <v>0</v>
      </c>
      <c r="F11" s="8">
        <v>0</v>
      </c>
      <c r="G11" s="8">
        <v>0</v>
      </c>
      <c r="H11" s="8">
        <v>0</v>
      </c>
      <c r="I11" s="21">
        <v>0</v>
      </c>
      <c r="J11" s="21">
        <v>0</v>
      </c>
      <c r="K11" s="8">
        <v>0</v>
      </c>
      <c r="L11" s="8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8">
        <v>0</v>
      </c>
      <c r="T11" s="8">
        <v>0</v>
      </c>
      <c r="U11" s="21">
        <v>22</v>
      </c>
      <c r="V11" s="21">
        <v>0</v>
      </c>
      <c r="W11" s="8">
        <v>0</v>
      </c>
      <c r="X11" s="21">
        <v>0</v>
      </c>
      <c r="Y11" s="21">
        <v>0</v>
      </c>
      <c r="Z11" s="21">
        <v>22</v>
      </c>
    </row>
    <row r="12" spans="1:26" x14ac:dyDescent="0.25">
      <c r="A12" s="2" t="s">
        <v>980</v>
      </c>
      <c r="B12" s="5" t="s">
        <v>980</v>
      </c>
      <c r="C12" s="21">
        <v>0</v>
      </c>
      <c r="D12" s="21">
        <v>0</v>
      </c>
      <c r="E12" s="21">
        <v>0</v>
      </c>
      <c r="F12" s="8">
        <v>0</v>
      </c>
      <c r="G12" s="8">
        <v>0</v>
      </c>
      <c r="H12" s="8">
        <v>0</v>
      </c>
      <c r="I12" s="21">
        <v>0</v>
      </c>
      <c r="J12" s="21">
        <v>0</v>
      </c>
      <c r="K12" s="8">
        <v>0</v>
      </c>
      <c r="L12" s="8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8">
        <v>0</v>
      </c>
      <c r="T12" s="8">
        <v>0</v>
      </c>
      <c r="U12" s="21">
        <v>36</v>
      </c>
      <c r="V12" s="21">
        <v>0</v>
      </c>
      <c r="W12" s="8">
        <v>0</v>
      </c>
      <c r="X12" s="21">
        <v>0</v>
      </c>
      <c r="Y12" s="21">
        <v>0</v>
      </c>
      <c r="Z12" s="21">
        <v>36</v>
      </c>
    </row>
    <row r="13" spans="1:26" x14ac:dyDescent="0.25">
      <c r="A13" s="5" t="s">
        <v>981</v>
      </c>
      <c r="B13" s="5" t="s">
        <v>996</v>
      </c>
      <c r="C13">
        <v>0</v>
      </c>
      <c r="D13">
        <v>0</v>
      </c>
      <c r="E13">
        <v>0</v>
      </c>
      <c r="F13">
        <v>0</v>
      </c>
      <c r="G13">
        <v>85</v>
      </c>
      <c r="H13">
        <v>0</v>
      </c>
      <c r="I13">
        <v>40</v>
      </c>
      <c r="J13">
        <v>0</v>
      </c>
      <c r="K13">
        <v>0</v>
      </c>
      <c r="L13">
        <v>0</v>
      </c>
      <c r="M13">
        <v>0</v>
      </c>
      <c r="N13">
        <v>0</v>
      </c>
      <c r="O13">
        <v>31</v>
      </c>
      <c r="P13">
        <v>0</v>
      </c>
      <c r="Q13">
        <v>0</v>
      </c>
      <c r="R13">
        <v>0</v>
      </c>
      <c r="S13">
        <v>0</v>
      </c>
      <c r="T13">
        <v>0</v>
      </c>
      <c r="U13">
        <v>179</v>
      </c>
      <c r="V13">
        <v>0</v>
      </c>
      <c r="W13">
        <v>0</v>
      </c>
      <c r="X13">
        <v>0</v>
      </c>
      <c r="Y13">
        <v>0</v>
      </c>
      <c r="Z13">
        <v>335</v>
      </c>
    </row>
    <row r="14" spans="1:26" x14ac:dyDescent="0.25">
      <c r="A14" s="5" t="s">
        <v>982</v>
      </c>
      <c r="B14" s="5" t="s">
        <v>982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21</v>
      </c>
      <c r="V14">
        <v>0</v>
      </c>
      <c r="W14">
        <v>0</v>
      </c>
      <c r="X14">
        <v>0</v>
      </c>
      <c r="Y14">
        <v>0</v>
      </c>
      <c r="Z14">
        <v>21</v>
      </c>
    </row>
    <row r="15" spans="1:26" x14ac:dyDescent="0.25">
      <c r="A15" s="5" t="s">
        <v>983</v>
      </c>
      <c r="B15" s="5" t="s">
        <v>997</v>
      </c>
      <c r="C15">
        <v>34</v>
      </c>
      <c r="D15">
        <v>0</v>
      </c>
      <c r="E15">
        <v>0</v>
      </c>
      <c r="F15">
        <v>0</v>
      </c>
      <c r="G15">
        <v>35</v>
      </c>
      <c r="H15">
        <v>0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2</v>
      </c>
      <c r="P15">
        <v>33</v>
      </c>
      <c r="Q15">
        <v>0</v>
      </c>
      <c r="R15">
        <v>0</v>
      </c>
      <c r="S15">
        <v>0</v>
      </c>
      <c r="T15">
        <v>0</v>
      </c>
      <c r="U15">
        <v>61</v>
      </c>
      <c r="V15">
        <v>0</v>
      </c>
      <c r="W15">
        <v>0</v>
      </c>
      <c r="X15">
        <v>4</v>
      </c>
      <c r="Y15">
        <v>2</v>
      </c>
      <c r="Z15">
        <v>173</v>
      </c>
    </row>
    <row r="16" spans="1:26" x14ac:dyDescent="0.25">
      <c r="A16" s="5" t="s">
        <v>984</v>
      </c>
      <c r="B16" s="5" t="s">
        <v>1002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75</v>
      </c>
      <c r="V16">
        <v>0</v>
      </c>
      <c r="W16">
        <v>0</v>
      </c>
      <c r="X16">
        <v>0</v>
      </c>
      <c r="Y16">
        <v>0</v>
      </c>
      <c r="Z16">
        <v>75</v>
      </c>
    </row>
    <row r="17" spans="1:26" x14ac:dyDescent="0.25">
      <c r="A17" s="5" t="s">
        <v>985</v>
      </c>
      <c r="B17" s="5" t="s">
        <v>998</v>
      </c>
      <c r="C17">
        <v>0</v>
      </c>
      <c r="D17">
        <v>0</v>
      </c>
      <c r="E17">
        <v>0</v>
      </c>
      <c r="F17">
        <v>0</v>
      </c>
      <c r="G17">
        <v>105</v>
      </c>
      <c r="H17">
        <v>0</v>
      </c>
      <c r="I17">
        <v>65</v>
      </c>
      <c r="J17">
        <v>8</v>
      </c>
      <c r="K17">
        <v>4</v>
      </c>
      <c r="L17">
        <v>0</v>
      </c>
      <c r="M17">
        <v>0</v>
      </c>
      <c r="N17">
        <v>0</v>
      </c>
      <c r="O17">
        <v>28</v>
      </c>
      <c r="P17">
        <v>0</v>
      </c>
      <c r="Q17">
        <v>9</v>
      </c>
      <c r="R17">
        <v>0</v>
      </c>
      <c r="S17">
        <v>0</v>
      </c>
      <c r="T17">
        <v>0</v>
      </c>
      <c r="U17">
        <v>296</v>
      </c>
      <c r="V17">
        <v>0</v>
      </c>
      <c r="W17">
        <v>0</v>
      </c>
      <c r="X17">
        <v>0</v>
      </c>
      <c r="Y17">
        <v>0</v>
      </c>
      <c r="Z17">
        <v>515</v>
      </c>
    </row>
    <row r="18" spans="1:26" x14ac:dyDescent="0.25">
      <c r="A18" s="5" t="s">
        <v>986</v>
      </c>
      <c r="B18" s="5" t="s">
        <v>999</v>
      </c>
      <c r="C18">
        <v>3</v>
      </c>
      <c r="D18">
        <v>0</v>
      </c>
      <c r="E18">
        <v>0</v>
      </c>
      <c r="F18">
        <v>0</v>
      </c>
      <c r="G18">
        <v>184</v>
      </c>
      <c r="H18">
        <v>0</v>
      </c>
      <c r="I18">
        <v>129</v>
      </c>
      <c r="J18">
        <v>22</v>
      </c>
      <c r="K18">
        <v>9</v>
      </c>
      <c r="L18">
        <v>0</v>
      </c>
      <c r="M18">
        <v>0</v>
      </c>
      <c r="N18">
        <v>1</v>
      </c>
      <c r="O18">
        <v>26</v>
      </c>
      <c r="P18">
        <v>0</v>
      </c>
      <c r="Q18">
        <v>0</v>
      </c>
      <c r="R18">
        <v>0</v>
      </c>
      <c r="S18">
        <v>0</v>
      </c>
      <c r="T18">
        <v>0</v>
      </c>
      <c r="U18">
        <v>320</v>
      </c>
      <c r="V18">
        <v>0</v>
      </c>
      <c r="W18">
        <v>0</v>
      </c>
      <c r="X18">
        <v>0</v>
      </c>
      <c r="Y18">
        <v>0</v>
      </c>
      <c r="Z18">
        <v>694</v>
      </c>
    </row>
    <row r="19" spans="1:26" ht="45" x14ac:dyDescent="0.25">
      <c r="A19" s="5" t="s">
        <v>987</v>
      </c>
      <c r="B19" s="5" t="s">
        <v>1000</v>
      </c>
      <c r="C19">
        <v>0</v>
      </c>
      <c r="D19">
        <v>0</v>
      </c>
      <c r="E19">
        <v>0</v>
      </c>
      <c r="F19">
        <v>0</v>
      </c>
      <c r="G19">
        <v>31</v>
      </c>
      <c r="H19">
        <v>0</v>
      </c>
      <c r="I19">
        <v>11</v>
      </c>
      <c r="J19">
        <v>1</v>
      </c>
      <c r="K19">
        <v>1</v>
      </c>
      <c r="L19">
        <v>0</v>
      </c>
      <c r="M19">
        <v>0</v>
      </c>
      <c r="N19">
        <v>0</v>
      </c>
      <c r="O19">
        <v>2</v>
      </c>
      <c r="P19">
        <v>0</v>
      </c>
      <c r="Q19">
        <v>0</v>
      </c>
      <c r="R19">
        <v>5</v>
      </c>
      <c r="S19">
        <v>0</v>
      </c>
      <c r="T19">
        <v>0</v>
      </c>
      <c r="U19">
        <v>239</v>
      </c>
      <c r="V19">
        <v>0</v>
      </c>
      <c r="W19">
        <v>0</v>
      </c>
      <c r="X19">
        <v>0</v>
      </c>
      <c r="Y19">
        <v>0</v>
      </c>
      <c r="Z19">
        <v>290</v>
      </c>
    </row>
    <row r="20" spans="1:26" ht="45" x14ac:dyDescent="0.25">
      <c r="A20" s="5" t="s">
        <v>988</v>
      </c>
      <c r="B20" s="5" t="s">
        <v>1001</v>
      </c>
      <c r="C20">
        <v>3</v>
      </c>
      <c r="D20">
        <v>6</v>
      </c>
      <c r="E20">
        <v>0</v>
      </c>
      <c r="F20">
        <v>0</v>
      </c>
      <c r="G20">
        <v>8</v>
      </c>
      <c r="H20">
        <v>0</v>
      </c>
      <c r="I20">
        <v>15</v>
      </c>
      <c r="J20">
        <v>1</v>
      </c>
      <c r="K20">
        <v>1</v>
      </c>
      <c r="L20">
        <v>2</v>
      </c>
      <c r="M20">
        <v>0</v>
      </c>
      <c r="N20">
        <v>0</v>
      </c>
      <c r="O20">
        <v>18</v>
      </c>
      <c r="P20">
        <v>5</v>
      </c>
      <c r="Q20">
        <v>0</v>
      </c>
      <c r="R20">
        <v>0</v>
      </c>
      <c r="S20">
        <v>0</v>
      </c>
      <c r="T20">
        <v>2</v>
      </c>
      <c r="U20">
        <v>110</v>
      </c>
      <c r="V20">
        <v>2</v>
      </c>
      <c r="W20">
        <v>3</v>
      </c>
      <c r="X20">
        <v>0</v>
      </c>
      <c r="Y20">
        <v>6</v>
      </c>
      <c r="Z20">
        <v>182</v>
      </c>
    </row>
    <row r="21" spans="1:26" x14ac:dyDescent="0.25">
      <c r="A21" s="5" t="s">
        <v>989</v>
      </c>
      <c r="B21" s="5" t="s">
        <v>989</v>
      </c>
      <c r="C21">
        <v>0</v>
      </c>
      <c r="D21">
        <v>0</v>
      </c>
      <c r="E21">
        <v>0</v>
      </c>
      <c r="F21">
        <v>0</v>
      </c>
      <c r="G21">
        <v>1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  <c r="U21">
        <v>24</v>
      </c>
      <c r="V21">
        <v>0</v>
      </c>
      <c r="W21">
        <v>0</v>
      </c>
      <c r="X21">
        <v>0</v>
      </c>
      <c r="Y21">
        <v>0</v>
      </c>
      <c r="Z21">
        <v>27</v>
      </c>
    </row>
    <row r="22" spans="1:26" ht="30" x14ac:dyDescent="0.25">
      <c r="A22" s="5" t="s">
        <v>990</v>
      </c>
      <c r="B22" s="5" t="s">
        <v>990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11</v>
      </c>
      <c r="V22">
        <v>0</v>
      </c>
      <c r="W22">
        <v>0</v>
      </c>
      <c r="X22">
        <v>0</v>
      </c>
      <c r="Y22">
        <v>0</v>
      </c>
      <c r="Z22">
        <v>11</v>
      </c>
    </row>
    <row r="23" spans="1:26" ht="30" x14ac:dyDescent="0.25">
      <c r="A23" s="5" t="s">
        <v>991</v>
      </c>
      <c r="B23" s="5" t="s">
        <v>991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25</v>
      </c>
      <c r="V23">
        <v>0</v>
      </c>
      <c r="W23">
        <v>0</v>
      </c>
      <c r="X23">
        <v>0</v>
      </c>
      <c r="Y23">
        <v>0</v>
      </c>
      <c r="Z23">
        <v>25</v>
      </c>
    </row>
    <row r="24" spans="1:26" ht="15.6" x14ac:dyDescent="0.25">
      <c r="A24" s="15" t="s">
        <v>721</v>
      </c>
      <c r="B24" s="26" t="s">
        <v>1003</v>
      </c>
      <c r="C24" s="3">
        <f>SUBTOTAL(109,SantaClara[American Sign Language Total])</f>
        <v>77</v>
      </c>
      <c r="D24" s="3">
        <f>SUBTOTAL(109,SantaClara[Arabic Total])</f>
        <v>6</v>
      </c>
      <c r="E24" s="3">
        <f>SUBTOTAL(109,SantaClara[Armenian Total])</f>
        <v>0</v>
      </c>
      <c r="F24" s="3">
        <f>SUBTOTAL(109,SantaClara[Bengali Total])</f>
        <v>0</v>
      </c>
      <c r="G24" s="3">
        <f>SUBTOTAL(109,SantaClara[Chinese (Mandarin or Cantonese) Total])</f>
        <v>1335</v>
      </c>
      <c r="H24" s="3">
        <f>SUBTOTAL(109,SantaClara[Farsi (Persian) Total])</f>
        <v>0</v>
      </c>
      <c r="I24" s="3">
        <f>SUBTOTAL(109,SantaClara[French Total])</f>
        <v>623</v>
      </c>
      <c r="J24" s="3">
        <f>SUBTOTAL(109,SantaClara[German Total])</f>
        <v>56</v>
      </c>
      <c r="K24" s="3">
        <f>SUBTOTAL(109,SantaClara[Hebrew Total])</f>
        <v>24</v>
      </c>
      <c r="L24" s="3">
        <f>SUBTOTAL(109,SantaClara[Hindi Total])</f>
        <v>5</v>
      </c>
      <c r="M24" s="3">
        <f>SUBTOTAL(109,SantaClara[Hmong Total])</f>
        <v>0</v>
      </c>
      <c r="N24" s="3">
        <f>SUBTOTAL(109,SantaClara[Italian Total])</f>
        <v>1</v>
      </c>
      <c r="O24" s="3">
        <f>SUBTOTAL(109,SantaClara[Japanese Total])</f>
        <v>352</v>
      </c>
      <c r="P24" s="3">
        <f>SUBTOTAL(109,SantaClara[Korean Total])</f>
        <v>40</v>
      </c>
      <c r="Q24" s="3">
        <f>SUBTOTAL(109,SantaClara[Latin Total])</f>
        <v>9</v>
      </c>
      <c r="R24" s="3">
        <f>SUBTOTAL(109,SantaClara[Portuguese Total])</f>
        <v>6</v>
      </c>
      <c r="S24" s="3">
        <f>SUBTOTAL(109,SantaClara[Punjabi Total])</f>
        <v>1</v>
      </c>
      <c r="T24" s="3">
        <f>SUBTOTAL(109,SantaClara[Russian Total])</f>
        <v>5</v>
      </c>
      <c r="U24" s="3">
        <f>SUBTOTAL(109,SantaClara[Spanish Total])</f>
        <v>2998</v>
      </c>
      <c r="V24" s="3">
        <f>SUBTOTAL(109,SantaClara[Tagalog (Filipino) Total])</f>
        <v>4</v>
      </c>
      <c r="W24" s="3">
        <f>SUBTOTAL(109,SantaClara[Urdu Total])</f>
        <v>3</v>
      </c>
      <c r="X24" s="3">
        <f>SUBTOTAL(109,SantaClara[Vietnamese Total])</f>
        <v>143</v>
      </c>
      <c r="Y24" s="3">
        <f>SUBTOTAL(109,SantaClara[Other Total])</f>
        <v>8</v>
      </c>
      <c r="Z24" s="3">
        <f>SUBTOTAL(109,SantaClara[Total Seals per LEA])</f>
        <v>5696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163C-4883-4204-980D-18FE5086D008}">
  <dimension ref="A1:Z11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4.36328125" style="5" bestFit="1" customWidth="1"/>
    <col min="2" max="2" width="36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9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6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2" t="s">
        <v>1004</v>
      </c>
      <c r="B3" s="5" t="s">
        <v>1004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2</v>
      </c>
      <c r="V3" s="21">
        <v>0</v>
      </c>
      <c r="W3" s="8">
        <v>0</v>
      </c>
      <c r="X3" s="21">
        <v>0</v>
      </c>
      <c r="Y3" s="21">
        <v>0</v>
      </c>
      <c r="Z3" s="21">
        <v>2</v>
      </c>
    </row>
    <row r="4" spans="1:26" ht="30" x14ac:dyDescent="0.25">
      <c r="A4" s="2" t="s">
        <v>1005</v>
      </c>
      <c r="B4" s="5" t="s">
        <v>1005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12</v>
      </c>
      <c r="V4" s="21">
        <v>0</v>
      </c>
      <c r="W4" s="8">
        <v>0</v>
      </c>
      <c r="X4" s="21">
        <v>0</v>
      </c>
      <c r="Y4" s="21">
        <v>0</v>
      </c>
      <c r="Z4" s="21">
        <v>12</v>
      </c>
    </row>
    <row r="5" spans="1:26" x14ac:dyDescent="0.25">
      <c r="A5" s="2" t="s">
        <v>1006</v>
      </c>
      <c r="B5" s="5" t="s">
        <v>1006</v>
      </c>
      <c r="C5" s="21">
        <v>2</v>
      </c>
      <c r="D5" s="21">
        <v>1</v>
      </c>
      <c r="E5" s="21">
        <v>0</v>
      </c>
      <c r="F5" s="8">
        <v>0</v>
      </c>
      <c r="G5" s="8">
        <v>1</v>
      </c>
      <c r="H5" s="8">
        <v>0</v>
      </c>
      <c r="I5" s="21">
        <v>2</v>
      </c>
      <c r="J5" s="21">
        <v>0</v>
      </c>
      <c r="K5" s="8">
        <v>0</v>
      </c>
      <c r="L5" s="8">
        <v>0</v>
      </c>
      <c r="M5" s="21">
        <v>0</v>
      </c>
      <c r="N5" s="21">
        <v>0</v>
      </c>
      <c r="O5" s="21">
        <v>1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14</v>
      </c>
      <c r="V5" s="21">
        <v>0</v>
      </c>
      <c r="W5" s="8">
        <v>0</v>
      </c>
      <c r="X5" s="21">
        <v>0</v>
      </c>
      <c r="Y5" s="21">
        <v>0</v>
      </c>
      <c r="Z5" s="21">
        <v>21</v>
      </c>
    </row>
    <row r="6" spans="1:26" x14ac:dyDescent="0.25">
      <c r="A6" s="2" t="s">
        <v>1007</v>
      </c>
      <c r="B6" s="5" t="s">
        <v>1007</v>
      </c>
      <c r="C6" s="21">
        <v>0</v>
      </c>
      <c r="D6" s="21">
        <v>0</v>
      </c>
      <c r="E6" s="21">
        <v>0</v>
      </c>
      <c r="F6" s="8">
        <v>0</v>
      </c>
      <c r="G6" s="8">
        <v>0</v>
      </c>
      <c r="H6" s="8">
        <v>0</v>
      </c>
      <c r="I6" s="21">
        <v>9</v>
      </c>
      <c r="J6" s="21">
        <v>0</v>
      </c>
      <c r="K6" s="8">
        <v>0</v>
      </c>
      <c r="L6" s="8">
        <v>0</v>
      </c>
      <c r="M6" s="21">
        <v>0</v>
      </c>
      <c r="N6" s="21">
        <v>0</v>
      </c>
      <c r="O6" s="21">
        <v>0</v>
      </c>
      <c r="P6" s="21">
        <v>0</v>
      </c>
      <c r="Q6" s="21">
        <v>4</v>
      </c>
      <c r="R6" s="21">
        <v>0</v>
      </c>
      <c r="S6" s="8">
        <v>0</v>
      </c>
      <c r="T6" s="8">
        <v>0</v>
      </c>
      <c r="U6" s="21">
        <v>22</v>
      </c>
      <c r="V6" s="21">
        <v>0</v>
      </c>
      <c r="W6" s="8">
        <v>0</v>
      </c>
      <c r="X6" s="21">
        <v>0</v>
      </c>
      <c r="Y6" s="21">
        <v>0</v>
      </c>
      <c r="Z6" s="21">
        <v>35</v>
      </c>
    </row>
    <row r="7" spans="1:26" ht="45" x14ac:dyDescent="0.25">
      <c r="A7" t="s">
        <v>1008</v>
      </c>
      <c r="B7" s="5" t="s">
        <v>1012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129</v>
      </c>
      <c r="V7">
        <v>0</v>
      </c>
      <c r="W7">
        <v>0</v>
      </c>
      <c r="X7">
        <v>0</v>
      </c>
      <c r="Y7">
        <v>0</v>
      </c>
      <c r="Z7">
        <v>132</v>
      </c>
    </row>
    <row r="8" spans="1:26" x14ac:dyDescent="0.25">
      <c r="A8" t="s">
        <v>1009</v>
      </c>
      <c r="B8" s="5" t="s">
        <v>1013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v>16</v>
      </c>
      <c r="V8">
        <v>0</v>
      </c>
      <c r="W8">
        <v>0</v>
      </c>
      <c r="X8">
        <v>0</v>
      </c>
      <c r="Y8">
        <v>1</v>
      </c>
      <c r="Z8">
        <v>20</v>
      </c>
    </row>
    <row r="9" spans="1:26" ht="30" x14ac:dyDescent="0.25">
      <c r="A9" t="s">
        <v>1010</v>
      </c>
      <c r="B9" s="5" t="s">
        <v>1014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3</v>
      </c>
      <c r="J9">
        <v>1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1</v>
      </c>
      <c r="R9">
        <v>0</v>
      </c>
      <c r="S9">
        <v>0</v>
      </c>
      <c r="T9">
        <v>0</v>
      </c>
      <c r="U9">
        <v>170</v>
      </c>
      <c r="V9">
        <v>0</v>
      </c>
      <c r="W9">
        <v>0</v>
      </c>
      <c r="X9">
        <v>0</v>
      </c>
      <c r="Y9">
        <v>0</v>
      </c>
      <c r="Z9">
        <v>176</v>
      </c>
    </row>
    <row r="10" spans="1:26" x14ac:dyDescent="0.25">
      <c r="A10" s="5" t="s">
        <v>1011</v>
      </c>
      <c r="B10" s="5" t="s">
        <v>1015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2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19</v>
      </c>
      <c r="V10">
        <v>0</v>
      </c>
      <c r="W10">
        <v>0</v>
      </c>
      <c r="X10">
        <v>0</v>
      </c>
      <c r="Y10">
        <v>0</v>
      </c>
      <c r="Z10">
        <v>21</v>
      </c>
    </row>
    <row r="11" spans="1:26" x14ac:dyDescent="0.25">
      <c r="A11" s="15" t="s">
        <v>599</v>
      </c>
      <c r="B11" s="26" t="s">
        <v>1016</v>
      </c>
      <c r="C11" s="3">
        <f>SUBTOTAL(109,SantaCruz[American Sign Language Total])</f>
        <v>2</v>
      </c>
      <c r="D11" s="3">
        <f>SUBTOTAL(109,SantaCruz[Arabic Total])</f>
        <v>1</v>
      </c>
      <c r="E11" s="3">
        <f>SUBTOTAL(109,SantaCruz[Armenian Total])</f>
        <v>0</v>
      </c>
      <c r="F11" s="3">
        <f>SUBTOTAL(109,SantaCruz[Bengali Total])</f>
        <v>0</v>
      </c>
      <c r="G11" s="3">
        <f>SUBTOTAL(109,SantaCruz[Chinese (Mandarin or Cantonese) Total])</f>
        <v>1</v>
      </c>
      <c r="H11" s="3">
        <f>SUBTOTAL(109,SantaCruz[Farsi (Persian) Total])</f>
        <v>0</v>
      </c>
      <c r="I11" s="3">
        <f>SUBTOTAL(109,SantaCruz[French Total])</f>
        <v>17</v>
      </c>
      <c r="J11" s="3">
        <f>SUBTOTAL(109,SantaCruz[German Total])</f>
        <v>5</v>
      </c>
      <c r="K11" s="3">
        <f>SUBTOTAL(109,SantaCruz[Hebrew Total])</f>
        <v>0</v>
      </c>
      <c r="L11" s="3">
        <f>SUBTOTAL(109,SantaCruz[Hindi Total])</f>
        <v>0</v>
      </c>
      <c r="M11" s="3">
        <f>SUBTOTAL(109,SantaCruz[Hmong Total])</f>
        <v>0</v>
      </c>
      <c r="N11" s="3">
        <f>SUBTOTAL(109,SantaCruz[Italian Total])</f>
        <v>0</v>
      </c>
      <c r="O11" s="3">
        <f>SUBTOTAL(109,SantaCruz[Japanese Total])</f>
        <v>2</v>
      </c>
      <c r="P11" s="3">
        <f>SUBTOTAL(109,SantaCruz[Korean Total])</f>
        <v>1</v>
      </c>
      <c r="Q11" s="3">
        <f>SUBTOTAL(109,SantaCruz[Latin Total])</f>
        <v>5</v>
      </c>
      <c r="R11" s="3">
        <f>SUBTOTAL(109,SantaCruz[Portuguese Total])</f>
        <v>0</v>
      </c>
      <c r="S11" s="3">
        <f>SUBTOTAL(109,SantaCruz[Punjabi Total])</f>
        <v>0</v>
      </c>
      <c r="T11" s="3">
        <f>SUBTOTAL(109,SantaCruz[Russian Total])</f>
        <v>0</v>
      </c>
      <c r="U11" s="3">
        <f>SUBTOTAL(109,SantaCruz[Spanish Total])</f>
        <v>384</v>
      </c>
      <c r="V11" s="3">
        <f>SUBTOTAL(109,SantaCruz[Tagalog (Filipino) Total])</f>
        <v>0</v>
      </c>
      <c r="W11" s="3">
        <f>SUBTOTAL(109,SantaCruz[Urdu Total])</f>
        <v>0</v>
      </c>
      <c r="X11" s="3">
        <f>SUBTOTAL(109,SantaCruz[Vietnamese Total])</f>
        <v>0</v>
      </c>
      <c r="Y11" s="3">
        <f>SUBTOTAL(109,SantaCruz[Other Total])</f>
        <v>1</v>
      </c>
      <c r="Z11" s="3">
        <f>SUBTOTAL(109,SantaCruz[Total Seals per LEA])</f>
        <v>419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7C5E-7669-4515-AFA8-7A967D18C1BB}">
  <dimension ref="A1:Z5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2" style="5" bestFit="1" customWidth="1"/>
    <col min="2" max="2" width="22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97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t="s">
        <v>1017</v>
      </c>
      <c r="B3" s="5" t="s">
        <v>1019</v>
      </c>
      <c r="C3">
        <v>4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6</v>
      </c>
      <c r="V3">
        <v>0</v>
      </c>
      <c r="W3">
        <v>0</v>
      </c>
      <c r="X3">
        <v>0</v>
      </c>
      <c r="Y3">
        <v>0</v>
      </c>
      <c r="Z3">
        <v>10</v>
      </c>
    </row>
    <row r="4" spans="1:26" x14ac:dyDescent="0.25">
      <c r="A4" s="2" t="s">
        <v>1018</v>
      </c>
      <c r="B4" s="5" t="s">
        <v>1020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5</v>
      </c>
      <c r="V4" s="8">
        <v>0</v>
      </c>
      <c r="W4" s="8">
        <v>0</v>
      </c>
      <c r="X4" s="8">
        <v>0</v>
      </c>
      <c r="Y4" s="8">
        <v>0</v>
      </c>
      <c r="Z4" s="8">
        <v>5</v>
      </c>
    </row>
    <row r="5" spans="1:26" x14ac:dyDescent="0.25">
      <c r="A5" s="15" t="s">
        <v>175</v>
      </c>
      <c r="B5" s="26" t="s">
        <v>160</v>
      </c>
      <c r="C5" s="3">
        <f>SUBTOTAL(109,Shasta[American Sign Language Total])</f>
        <v>4</v>
      </c>
      <c r="D5" s="3">
        <f>SUBTOTAL(109,Shasta[Arabic Total])</f>
        <v>0</v>
      </c>
      <c r="E5" s="3">
        <f>SUBTOTAL(109,Shasta[Armenian Total])</f>
        <v>0</v>
      </c>
      <c r="F5" s="3">
        <f>SUBTOTAL(109,Shasta[Bengali Total])</f>
        <v>0</v>
      </c>
      <c r="G5" s="3">
        <f>SUBTOTAL(109,Shasta[Chinese (Mandarin or Cantonese) Total])</f>
        <v>0</v>
      </c>
      <c r="H5" s="3">
        <f>SUBTOTAL(109,Shasta[Farsi (Persian) Total])</f>
        <v>0</v>
      </c>
      <c r="I5" s="3">
        <f>SUBTOTAL(109,Shasta[French Total])</f>
        <v>0</v>
      </c>
      <c r="J5" s="3">
        <f>SUBTOTAL(109,Shasta[German Total])</f>
        <v>0</v>
      </c>
      <c r="K5" s="3">
        <f>SUBTOTAL(109,Shasta[Hebrew Total])</f>
        <v>0</v>
      </c>
      <c r="L5" s="3">
        <f>SUBTOTAL(109,Shasta[Hindi Total])</f>
        <v>0</v>
      </c>
      <c r="M5" s="3">
        <f>SUBTOTAL(109,Shasta[Hmong Total])</f>
        <v>0</v>
      </c>
      <c r="N5" s="3">
        <f>SUBTOTAL(109,Shasta[Italian Total])</f>
        <v>0</v>
      </c>
      <c r="O5" s="3">
        <f>SUBTOTAL(109,Shasta[Japanese Total])</f>
        <v>0</v>
      </c>
      <c r="P5" s="3">
        <f>SUBTOTAL(109,Shasta[Korean Total])</f>
        <v>0</v>
      </c>
      <c r="Q5" s="3">
        <f>SUBTOTAL(109,Shasta[Latin Total])</f>
        <v>0</v>
      </c>
      <c r="R5" s="3">
        <f>SUBTOTAL(109,Shasta[Portuguese Total])</f>
        <v>0</v>
      </c>
      <c r="S5" s="3">
        <f>SUBTOTAL(109,Shasta[Punjabi Total])</f>
        <v>0</v>
      </c>
      <c r="T5" s="3">
        <f>SUBTOTAL(109,Shasta[Russian Total])</f>
        <v>0</v>
      </c>
      <c r="U5" s="3">
        <f>SUBTOTAL(109,Shasta[Spanish Total])</f>
        <v>11</v>
      </c>
      <c r="V5" s="3">
        <f>SUBTOTAL(109,Shasta[Tagalog (Filipino) Total])</f>
        <v>0</v>
      </c>
      <c r="W5" s="3">
        <f>SUBTOTAL(109,Shasta[Urdu Total])</f>
        <v>0</v>
      </c>
      <c r="X5" s="3">
        <f>SUBTOTAL(109,Shasta[Vietnamese Total])</f>
        <v>0</v>
      </c>
      <c r="Y5" s="3">
        <f>SUBTOTAL(109,Shasta[Other Total])</f>
        <v>0</v>
      </c>
      <c r="Z5" s="3">
        <f>SUBTOTAL(109,Shasta[Total Seals per LEA])</f>
        <v>15</v>
      </c>
    </row>
  </sheetData>
  <conditionalFormatting sqref="A1:B2">
    <cfRule type="duplicateValues" dxfId="6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FE83-E756-4C6F-9F82-5BF0959EC17E}">
  <dimension ref="A1:Z4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3.54296875" style="5" bestFit="1" customWidth="1"/>
    <col min="2" max="2" width="26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98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1021</v>
      </c>
      <c r="B3" t="s">
        <v>1022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v>2</v>
      </c>
    </row>
    <row r="4" spans="1:26" x14ac:dyDescent="0.25">
      <c r="A4" s="15" t="s">
        <v>158</v>
      </c>
      <c r="B4" s="14" t="s">
        <v>210</v>
      </c>
      <c r="C4" s="3">
        <f>SUBTOTAL(109,Sierra[American Sign Language Total])</f>
        <v>0</v>
      </c>
      <c r="D4" s="3">
        <f>SUBTOTAL(109,Sierra[Arabic Total])</f>
        <v>0</v>
      </c>
      <c r="E4" s="3">
        <f>SUBTOTAL(109,Sierra[Armenian Total])</f>
        <v>0</v>
      </c>
      <c r="F4" s="3">
        <f>SUBTOTAL(109,Sierra[Bengali Total])</f>
        <v>0</v>
      </c>
      <c r="G4" s="3">
        <f>SUBTOTAL(109,Sierra[Chinese (Mandarin or Cantonese) Total])</f>
        <v>0</v>
      </c>
      <c r="H4" s="3">
        <f>SUBTOTAL(109,Sierra[Farsi (Persian) Total])</f>
        <v>0</v>
      </c>
      <c r="I4" s="3">
        <f>SUBTOTAL(109,Sierra[French Total])</f>
        <v>0</v>
      </c>
      <c r="J4" s="3">
        <f>SUBTOTAL(109,Sierra[German Total])</f>
        <v>0</v>
      </c>
      <c r="K4" s="3">
        <f>SUBTOTAL(109,Sierra[Hebrew Total])</f>
        <v>0</v>
      </c>
      <c r="L4" s="3">
        <f>SUBTOTAL(109,Sierra[Hindi Total])</f>
        <v>0</v>
      </c>
      <c r="M4" s="3">
        <f>SUBTOTAL(109,Sierra[Hmong Total])</f>
        <v>0</v>
      </c>
      <c r="N4" s="3">
        <f>SUBTOTAL(109,Sierra[Italian Total])</f>
        <v>0</v>
      </c>
      <c r="O4" s="3">
        <f>SUBTOTAL(109,Sierra[Japanese Total])</f>
        <v>0</v>
      </c>
      <c r="P4" s="3">
        <f>SUBTOTAL(109,Sierra[Korean Total])</f>
        <v>0</v>
      </c>
      <c r="Q4" s="3">
        <f>SUBTOTAL(109,Sierra[Latin Total])</f>
        <v>0</v>
      </c>
      <c r="R4" s="3">
        <f>SUBTOTAL(109,Sierra[Portuguese Total])</f>
        <v>0</v>
      </c>
      <c r="S4" s="3">
        <f>SUBTOTAL(109,Sierra[Punjabi Total])</f>
        <v>0</v>
      </c>
      <c r="T4" s="3">
        <f>SUBTOTAL(109,Sierra[Russian Total])</f>
        <v>0</v>
      </c>
      <c r="U4" s="3">
        <f>SUBTOTAL(109,Sierra[Spanish Total])</f>
        <v>2</v>
      </c>
      <c r="V4" s="3">
        <f>SUBTOTAL(109,Sierra[Tagalog (Filipino) Total])</f>
        <v>0</v>
      </c>
      <c r="W4" s="3">
        <f>SUBTOTAL(109,Sierra[Urdu Total])</f>
        <v>0</v>
      </c>
      <c r="X4" s="3">
        <f>SUBTOTAL(109,Sierra[Vietnamese Total])</f>
        <v>0</v>
      </c>
      <c r="Y4" s="3">
        <f>SUBTOTAL(109,Sierra[Other Total])</f>
        <v>0</v>
      </c>
      <c r="Z4" s="3">
        <f>SUBTOTAL(109,Sierra[Total Seals per LEA])</f>
        <v>2</v>
      </c>
    </row>
  </sheetData>
  <conditionalFormatting sqref="A1:B2">
    <cfRule type="duplicateValues" dxfId="5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04CD-4CC2-4752-AD09-AE2A778DD712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" style="5" bestFit="1" customWidth="1"/>
    <col min="2" max="2" width="21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99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1023</v>
      </c>
      <c r="B3" t="s">
        <v>1024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10</v>
      </c>
      <c r="V3">
        <v>0</v>
      </c>
      <c r="W3">
        <v>0</v>
      </c>
      <c r="X3">
        <v>0</v>
      </c>
      <c r="Y3">
        <v>0</v>
      </c>
      <c r="Z3">
        <v>10</v>
      </c>
    </row>
    <row r="4" spans="1:26" x14ac:dyDescent="0.25">
      <c r="A4" s="15" t="s">
        <v>158</v>
      </c>
      <c r="B4" s="26" t="s">
        <v>210</v>
      </c>
      <c r="C4" s="3">
        <f>SUBTOTAL(109,Siskiyou[American Sign Language Total])</f>
        <v>0</v>
      </c>
      <c r="D4" s="3">
        <f>SUBTOTAL(109,Siskiyou[Arabic Total])</f>
        <v>0</v>
      </c>
      <c r="E4" s="3">
        <f>SUBTOTAL(109,Siskiyou[Armenian Total])</f>
        <v>0</v>
      </c>
      <c r="F4" s="3">
        <f>SUBTOTAL(109,Siskiyou[Bengali Total])</f>
        <v>0</v>
      </c>
      <c r="G4" s="3">
        <f>SUBTOTAL(109,Siskiyou[Chinese (Mandarin or Cantonese) Total])</f>
        <v>0</v>
      </c>
      <c r="H4" s="3">
        <f>SUBTOTAL(109,Siskiyou[Farsi (Persian) Total])</f>
        <v>0</v>
      </c>
      <c r="I4" s="3">
        <f>SUBTOTAL(109,Siskiyou[French Total])</f>
        <v>0</v>
      </c>
      <c r="J4" s="3">
        <f>SUBTOTAL(109,Siskiyou[German Total])</f>
        <v>0</v>
      </c>
      <c r="K4" s="3">
        <f>SUBTOTAL(109,Siskiyou[Hebrew Total])</f>
        <v>0</v>
      </c>
      <c r="L4" s="3">
        <f>SUBTOTAL(109,Siskiyou[Hindi Total])</f>
        <v>0</v>
      </c>
      <c r="M4" s="3">
        <f>SUBTOTAL(109,Siskiyou[Hmong Total])</f>
        <v>0</v>
      </c>
      <c r="N4" s="3">
        <f>SUBTOTAL(109,Siskiyou[Italian Total])</f>
        <v>0</v>
      </c>
      <c r="O4" s="3">
        <f>SUBTOTAL(109,Siskiyou[Japanese Total])</f>
        <v>0</v>
      </c>
      <c r="P4" s="3">
        <f>SUBTOTAL(109,Siskiyou[Korean Total])</f>
        <v>0</v>
      </c>
      <c r="Q4" s="3">
        <f>SUBTOTAL(109,Siskiyou[Latin Total])</f>
        <v>0</v>
      </c>
      <c r="R4" s="3">
        <f>SUBTOTAL(109,Siskiyou[Portuguese Total])</f>
        <v>0</v>
      </c>
      <c r="S4" s="3">
        <f>SUBTOTAL(109,Siskiyou[Punjabi Total])</f>
        <v>0</v>
      </c>
      <c r="T4" s="3">
        <f>SUBTOTAL(109,Siskiyou[Russian Total])</f>
        <v>0</v>
      </c>
      <c r="U4" s="3">
        <f>SUBTOTAL(109,Siskiyou[Spanish Total])</f>
        <v>10</v>
      </c>
      <c r="V4" s="3">
        <f>SUBTOTAL(109,Siskiyou[Tagalog (Filipino) Total])</f>
        <v>0</v>
      </c>
      <c r="W4" s="3">
        <f>SUBTOTAL(109,Siskiyou[Urdu Total])</f>
        <v>0</v>
      </c>
      <c r="X4" s="3">
        <f>SUBTOTAL(109,Siskiyou[Vietnamese Total])</f>
        <v>0</v>
      </c>
      <c r="Y4" s="3">
        <f>SUBTOTAL(109,Siskiyou[Other Total])</f>
        <v>0</v>
      </c>
      <c r="Z4" s="3">
        <f>SUBTOTAL(109,Siskiyou[Total Seals per LEA])</f>
        <v>10</v>
      </c>
    </row>
  </sheetData>
  <conditionalFormatting sqref="A1:B3">
    <cfRule type="duplicateValues" dxfId="5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B9BF-642F-4F3D-957D-CED53EA5AC48}">
  <dimension ref="A1:Z11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5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21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2" t="s">
        <v>1025</v>
      </c>
      <c r="B3" s="5" t="s">
        <v>1033</v>
      </c>
      <c r="C3" s="21">
        <v>0</v>
      </c>
      <c r="D3" s="21">
        <v>0</v>
      </c>
      <c r="E3" s="21">
        <v>0</v>
      </c>
      <c r="F3" s="8">
        <v>0</v>
      </c>
      <c r="G3" s="8">
        <v>2</v>
      </c>
      <c r="H3" s="8">
        <v>0</v>
      </c>
      <c r="I3" s="21">
        <v>5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1</v>
      </c>
      <c r="Q3" s="21">
        <v>0</v>
      </c>
      <c r="R3" s="21">
        <v>0</v>
      </c>
      <c r="S3" s="8">
        <v>1</v>
      </c>
      <c r="T3" s="8">
        <v>0</v>
      </c>
      <c r="U3" s="21">
        <v>32</v>
      </c>
      <c r="V3" s="21">
        <v>8</v>
      </c>
      <c r="W3" s="8">
        <v>0</v>
      </c>
      <c r="X3" s="21">
        <v>0</v>
      </c>
      <c r="Y3" s="21">
        <v>0</v>
      </c>
      <c r="Z3" s="21">
        <v>49</v>
      </c>
    </row>
    <row r="4" spans="1:26" x14ac:dyDescent="0.25">
      <c r="A4" s="2" t="s">
        <v>1026</v>
      </c>
      <c r="B4" s="5" t="s">
        <v>1034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0</v>
      </c>
      <c r="U4" s="21">
        <v>13</v>
      </c>
      <c r="V4" s="21">
        <v>0</v>
      </c>
      <c r="W4" s="8">
        <v>0</v>
      </c>
      <c r="X4" s="21">
        <v>0</v>
      </c>
      <c r="Y4" s="21">
        <v>0</v>
      </c>
      <c r="Z4" s="21">
        <v>13</v>
      </c>
    </row>
    <row r="5" spans="1:26" ht="60" x14ac:dyDescent="0.25">
      <c r="A5" s="2" t="s">
        <v>1027</v>
      </c>
      <c r="B5" s="5" t="s">
        <v>1035</v>
      </c>
      <c r="C5" s="21">
        <v>15</v>
      </c>
      <c r="D5" s="21">
        <v>0</v>
      </c>
      <c r="E5" s="21">
        <v>0</v>
      </c>
      <c r="F5" s="8">
        <v>0</v>
      </c>
      <c r="G5" s="8">
        <v>0</v>
      </c>
      <c r="H5" s="8">
        <v>0</v>
      </c>
      <c r="I5" s="21">
        <v>22</v>
      </c>
      <c r="J5" s="21">
        <v>17</v>
      </c>
      <c r="K5" s="8">
        <v>0</v>
      </c>
      <c r="L5" s="8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8">
        <v>0</v>
      </c>
      <c r="T5" s="8">
        <v>0</v>
      </c>
      <c r="U5" s="21">
        <v>90</v>
      </c>
      <c r="V5" s="21">
        <v>0</v>
      </c>
      <c r="W5" s="8">
        <v>0</v>
      </c>
      <c r="X5" s="21">
        <v>0</v>
      </c>
      <c r="Y5" s="21">
        <v>0</v>
      </c>
      <c r="Z5" s="21">
        <v>144</v>
      </c>
    </row>
    <row r="6" spans="1:26" x14ac:dyDescent="0.25">
      <c r="A6" s="2" t="s">
        <v>1028</v>
      </c>
      <c r="B6" s="5" t="s">
        <v>1028</v>
      </c>
      <c r="C6" s="21">
        <v>0</v>
      </c>
      <c r="D6" s="21">
        <v>0</v>
      </c>
      <c r="E6" s="21">
        <v>0</v>
      </c>
      <c r="F6" s="8">
        <v>0</v>
      </c>
      <c r="G6" s="8">
        <v>0</v>
      </c>
      <c r="H6" s="8">
        <v>0</v>
      </c>
      <c r="I6" s="21">
        <v>0</v>
      </c>
      <c r="J6" s="21">
        <v>0</v>
      </c>
      <c r="K6" s="8">
        <v>0</v>
      </c>
      <c r="L6" s="8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8">
        <v>0</v>
      </c>
      <c r="T6" s="8">
        <v>0</v>
      </c>
      <c r="U6" s="21">
        <v>17</v>
      </c>
      <c r="V6" s="21">
        <v>0</v>
      </c>
      <c r="W6" s="8">
        <v>0</v>
      </c>
      <c r="X6" s="21">
        <v>0</v>
      </c>
      <c r="Y6" s="21">
        <v>0</v>
      </c>
      <c r="Z6" s="21">
        <v>17</v>
      </c>
    </row>
    <row r="7" spans="1:26" x14ac:dyDescent="0.25">
      <c r="A7" s="5" t="s">
        <v>1029</v>
      </c>
      <c r="B7" s="5" t="s">
        <v>1029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v>1</v>
      </c>
    </row>
    <row r="8" spans="1:26" x14ac:dyDescent="0.25">
      <c r="A8" s="5" t="s">
        <v>1030</v>
      </c>
      <c r="B8" s="5" t="s">
        <v>1036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9</v>
      </c>
      <c r="J8">
        <v>6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17</v>
      </c>
      <c r="V8">
        <v>0</v>
      </c>
      <c r="W8">
        <v>0</v>
      </c>
      <c r="X8">
        <v>0</v>
      </c>
      <c r="Y8">
        <v>0</v>
      </c>
      <c r="Z8">
        <v>32</v>
      </c>
    </row>
    <row r="9" spans="1:26" ht="30" x14ac:dyDescent="0.25">
      <c r="A9" s="5" t="s">
        <v>1031</v>
      </c>
      <c r="B9" s="5" t="s">
        <v>1037</v>
      </c>
      <c r="C9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107</v>
      </c>
      <c r="V9">
        <v>0</v>
      </c>
      <c r="W9">
        <v>0</v>
      </c>
      <c r="X9">
        <v>0</v>
      </c>
      <c r="Y9">
        <v>0</v>
      </c>
      <c r="Z9">
        <v>113</v>
      </c>
    </row>
    <row r="10" spans="1:26" x14ac:dyDescent="0.25">
      <c r="A10" s="2" t="s">
        <v>1032</v>
      </c>
      <c r="B10" s="5" t="s">
        <v>1038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12</v>
      </c>
      <c r="V10" s="8">
        <v>13</v>
      </c>
      <c r="W10" s="8">
        <v>0</v>
      </c>
      <c r="X10" s="8">
        <v>0</v>
      </c>
      <c r="Y10" s="8">
        <v>0</v>
      </c>
      <c r="Z10" s="8">
        <v>26</v>
      </c>
    </row>
    <row r="11" spans="1:26" x14ac:dyDescent="0.25">
      <c r="A11" s="15" t="s">
        <v>599</v>
      </c>
      <c r="B11" s="26" t="s">
        <v>1039</v>
      </c>
      <c r="C11" s="3">
        <f>SUBTOTAL(109,Solano[American Sign Language Total])</f>
        <v>20</v>
      </c>
      <c r="D11" s="3">
        <f>SUBTOTAL(109,Solano[Arabic Total])</f>
        <v>0</v>
      </c>
      <c r="E11" s="3">
        <f>SUBTOTAL(109,Solano[Armenian Total])</f>
        <v>0</v>
      </c>
      <c r="F11" s="3">
        <f>SUBTOTAL(109,Solano[Bengali Total])</f>
        <v>0</v>
      </c>
      <c r="G11" s="3">
        <f>SUBTOTAL(109,Solano[Chinese (Mandarin or Cantonese) Total])</f>
        <v>2</v>
      </c>
      <c r="H11" s="3">
        <f>SUBTOTAL(109,Solano[Farsi (Persian) Total])</f>
        <v>0</v>
      </c>
      <c r="I11" s="3">
        <f>SUBTOTAL(109,Solano[French Total])</f>
        <v>38</v>
      </c>
      <c r="J11" s="3">
        <f>SUBTOTAL(109,Solano[German Total])</f>
        <v>23</v>
      </c>
      <c r="K11" s="3">
        <f>SUBTOTAL(109,Solano[Hebrew Total])</f>
        <v>0</v>
      </c>
      <c r="L11" s="3">
        <f>SUBTOTAL(109,Solano[Hindi Total])</f>
        <v>0</v>
      </c>
      <c r="M11" s="3">
        <f>SUBTOTAL(109,Solano[Hmong Total])</f>
        <v>0</v>
      </c>
      <c r="N11" s="3">
        <f>SUBTOTAL(109,Solano[Italian Total])</f>
        <v>0</v>
      </c>
      <c r="O11" s="3">
        <f>SUBTOTAL(109,Solano[Japanese Total])</f>
        <v>0</v>
      </c>
      <c r="P11" s="3">
        <f>SUBTOTAL(109,Solano[Korean Total])</f>
        <v>1</v>
      </c>
      <c r="Q11" s="3">
        <f>SUBTOTAL(109,Solano[Latin Total])</f>
        <v>0</v>
      </c>
      <c r="R11" s="3">
        <f>SUBTOTAL(109,Solano[Portuguese Total])</f>
        <v>0</v>
      </c>
      <c r="S11" s="3">
        <f>SUBTOTAL(109,Solano[Punjabi Total])</f>
        <v>1</v>
      </c>
      <c r="T11" s="3">
        <f>SUBTOTAL(109,Solano[Russian Total])</f>
        <v>0</v>
      </c>
      <c r="U11" s="3">
        <f>SUBTOTAL(109,Solano[Spanish Total])</f>
        <v>289</v>
      </c>
      <c r="V11" s="3">
        <f>SUBTOTAL(109,Solano[Tagalog (Filipino) Total])</f>
        <v>21</v>
      </c>
      <c r="W11" s="3">
        <f>SUBTOTAL(109,Solano[Urdu Total])</f>
        <v>0</v>
      </c>
      <c r="X11" s="3">
        <f>SUBTOTAL(109,Solano[Vietnamese Total])</f>
        <v>0</v>
      </c>
      <c r="Y11" s="3">
        <f>SUBTOTAL(109,Solano[Other Total])</f>
        <v>0</v>
      </c>
      <c r="Z11" s="3">
        <f>SUBTOTAL(109,Solano[Total Seals per LEA])</f>
        <v>395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3B43-B701-478C-8F89-E087234A4605}">
  <dimension ref="A1:Z13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9" style="5" bestFit="1" customWidth="1"/>
    <col min="2" max="2" width="31.0898437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1040</v>
      </c>
      <c r="B3" s="5" t="s">
        <v>1040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v>2</v>
      </c>
    </row>
    <row r="4" spans="1:26" ht="30" x14ac:dyDescent="0.25">
      <c r="A4" s="5" t="s">
        <v>1041</v>
      </c>
      <c r="B4" s="5" t="s">
        <v>1054</v>
      </c>
      <c r="C4">
        <v>4</v>
      </c>
      <c r="D4">
        <v>0</v>
      </c>
      <c r="E4">
        <v>0</v>
      </c>
      <c r="F4">
        <v>0</v>
      </c>
      <c r="G4">
        <v>2</v>
      </c>
      <c r="H4">
        <v>0</v>
      </c>
      <c r="I4">
        <v>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24</v>
      </c>
      <c r="V4">
        <v>0</v>
      </c>
      <c r="W4">
        <v>0</v>
      </c>
      <c r="X4">
        <v>0</v>
      </c>
      <c r="Y4">
        <v>1</v>
      </c>
      <c r="Z4">
        <v>33</v>
      </c>
    </row>
    <row r="5" spans="1:26" x14ac:dyDescent="0.25">
      <c r="A5" s="5" t="s">
        <v>1042</v>
      </c>
      <c r="B5" s="5" t="s">
        <v>1042</v>
      </c>
      <c r="C5">
        <v>1</v>
      </c>
      <c r="D5">
        <v>0</v>
      </c>
      <c r="E5">
        <v>0</v>
      </c>
      <c r="F5">
        <v>0</v>
      </c>
      <c r="G5">
        <v>5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10</v>
      </c>
      <c r="V5">
        <v>0</v>
      </c>
      <c r="W5">
        <v>0</v>
      </c>
      <c r="X5">
        <v>0</v>
      </c>
      <c r="Y5">
        <v>0</v>
      </c>
      <c r="Z5">
        <v>16</v>
      </c>
    </row>
    <row r="6" spans="1:26" x14ac:dyDescent="0.25">
      <c r="A6" s="5" t="s">
        <v>1043</v>
      </c>
      <c r="B6" s="5" t="s">
        <v>1050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12</v>
      </c>
      <c r="V6">
        <v>0</v>
      </c>
      <c r="W6">
        <v>0</v>
      </c>
      <c r="X6">
        <v>0</v>
      </c>
      <c r="Y6">
        <v>0</v>
      </c>
      <c r="Z6">
        <v>12</v>
      </c>
    </row>
    <row r="7" spans="1:26" x14ac:dyDescent="0.25">
      <c r="A7" s="2" t="s">
        <v>1044</v>
      </c>
      <c r="B7" s="5" t="s">
        <v>1051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22</v>
      </c>
      <c r="J7" s="8">
        <v>2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145</v>
      </c>
      <c r="V7" s="8">
        <v>0</v>
      </c>
      <c r="W7" s="8">
        <v>0</v>
      </c>
      <c r="X7" s="8">
        <v>0</v>
      </c>
      <c r="Y7" s="8">
        <v>0</v>
      </c>
      <c r="Z7" s="8">
        <v>169</v>
      </c>
    </row>
    <row r="8" spans="1:26" x14ac:dyDescent="0.25">
      <c r="A8" s="2" t="s">
        <v>1045</v>
      </c>
      <c r="B8" s="5" t="s">
        <v>1045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0</v>
      </c>
      <c r="Z8" s="8">
        <v>1</v>
      </c>
    </row>
    <row r="9" spans="1:26" ht="45" x14ac:dyDescent="0.25">
      <c r="A9" s="2" t="s">
        <v>1046</v>
      </c>
      <c r="B9" s="5" t="s">
        <v>1052</v>
      </c>
      <c r="C9" s="8">
        <v>5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24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145</v>
      </c>
      <c r="V9" s="8">
        <v>0</v>
      </c>
      <c r="W9" s="8">
        <v>0</v>
      </c>
      <c r="X9" s="8">
        <v>0</v>
      </c>
      <c r="Y9" s="8">
        <v>1</v>
      </c>
      <c r="Z9" s="8">
        <v>175</v>
      </c>
    </row>
    <row r="10" spans="1:26" x14ac:dyDescent="0.25">
      <c r="A10" s="5" t="s">
        <v>1047</v>
      </c>
      <c r="B10" s="5" t="s">
        <v>1053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6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44</v>
      </c>
      <c r="V10">
        <v>0</v>
      </c>
      <c r="W10">
        <v>0</v>
      </c>
      <c r="X10">
        <v>0</v>
      </c>
      <c r="Y10">
        <v>0</v>
      </c>
      <c r="Z10">
        <v>50</v>
      </c>
    </row>
    <row r="11" spans="1:26" x14ac:dyDescent="0.25">
      <c r="A11" s="5" t="s">
        <v>1048</v>
      </c>
      <c r="B11" s="5" t="s">
        <v>1055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47</v>
      </c>
      <c r="V11">
        <v>0</v>
      </c>
      <c r="W11">
        <v>0</v>
      </c>
      <c r="X11">
        <v>0</v>
      </c>
      <c r="Y11">
        <v>0</v>
      </c>
      <c r="Z11">
        <v>47</v>
      </c>
    </row>
    <row r="12" spans="1:26" x14ac:dyDescent="0.25">
      <c r="A12" s="5" t="s">
        <v>1049</v>
      </c>
      <c r="B12" s="5" t="s">
        <v>1056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  <c r="U12">
        <v>99</v>
      </c>
      <c r="V12">
        <v>0</v>
      </c>
      <c r="W12">
        <v>0</v>
      </c>
      <c r="X12">
        <v>0</v>
      </c>
      <c r="Y12">
        <v>0</v>
      </c>
      <c r="Z12">
        <v>100</v>
      </c>
    </row>
    <row r="13" spans="1:26" x14ac:dyDescent="0.25">
      <c r="A13" s="15" t="s">
        <v>271</v>
      </c>
      <c r="B13" s="26" t="s">
        <v>1016</v>
      </c>
      <c r="C13" s="3">
        <f>SUBTOTAL(109,Sonoma[American Sign Language Total])</f>
        <v>10</v>
      </c>
      <c r="D13" s="3">
        <f>SUBTOTAL(109,Sonoma[Arabic Total])</f>
        <v>0</v>
      </c>
      <c r="E13" s="3">
        <f>SUBTOTAL(109,Sonoma[Armenian Total])</f>
        <v>0</v>
      </c>
      <c r="F13" s="3">
        <f>SUBTOTAL(109,Sonoma[Bengali Total])</f>
        <v>0</v>
      </c>
      <c r="G13" s="3">
        <f>SUBTOTAL(109,Sonoma[Chinese (Mandarin or Cantonese) Total])</f>
        <v>7</v>
      </c>
      <c r="H13" s="3">
        <f>SUBTOTAL(109,Sonoma[Farsi (Persian) Total])</f>
        <v>0</v>
      </c>
      <c r="I13" s="3">
        <f>SUBTOTAL(109,Sonoma[French Total])</f>
        <v>54</v>
      </c>
      <c r="J13" s="3">
        <f>SUBTOTAL(109,Sonoma[German Total])</f>
        <v>2</v>
      </c>
      <c r="K13" s="3">
        <f>SUBTOTAL(109,Sonoma[Hebrew Total])</f>
        <v>0</v>
      </c>
      <c r="L13" s="3">
        <f>SUBTOTAL(109,Sonoma[Hindi Total])</f>
        <v>0</v>
      </c>
      <c r="M13" s="3">
        <f>SUBTOTAL(109,Sonoma[Hmong Total])</f>
        <v>0</v>
      </c>
      <c r="N13" s="3">
        <f>SUBTOTAL(109,Sonoma[Italian Total])</f>
        <v>0</v>
      </c>
      <c r="O13" s="3">
        <f>SUBTOTAL(109,Sonoma[Japanese Total])</f>
        <v>1</v>
      </c>
      <c r="P13" s="3">
        <f>SUBTOTAL(109,Sonoma[Korean Total])</f>
        <v>0</v>
      </c>
      <c r="Q13" s="3">
        <f>SUBTOTAL(109,Sonoma[Latin Total])</f>
        <v>0</v>
      </c>
      <c r="R13" s="3">
        <f>SUBTOTAL(109,Sonoma[Portuguese Total])</f>
        <v>0</v>
      </c>
      <c r="S13" s="3">
        <f>SUBTOTAL(109,Sonoma[Punjabi Total])</f>
        <v>0</v>
      </c>
      <c r="T13" s="3">
        <f>SUBTOTAL(109,Sonoma[Russian Total])</f>
        <v>0</v>
      </c>
      <c r="U13" s="3">
        <f>SUBTOTAL(109,Sonoma[Spanish Total])</f>
        <v>529</v>
      </c>
      <c r="V13" s="3">
        <f>SUBTOTAL(109,Sonoma[Tagalog (Filipino) Total])</f>
        <v>0</v>
      </c>
      <c r="W13" s="3">
        <f>SUBTOTAL(109,Sonoma[Urdu Total])</f>
        <v>0</v>
      </c>
      <c r="X13" s="3">
        <f>SUBTOTAL(109,Sonoma[Vietnamese Total])</f>
        <v>0</v>
      </c>
      <c r="Y13" s="3">
        <f>SUBTOTAL(109,Sonoma[Other Total])</f>
        <v>2</v>
      </c>
      <c r="Z13" s="3">
        <f>SUBTOTAL(109,Sonoma[Total Seals per LEA])</f>
        <v>605</v>
      </c>
    </row>
  </sheetData>
  <conditionalFormatting sqref="A1:B2">
    <cfRule type="duplicateValues" dxfId="5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2448-C439-4C65-8D16-80E80F84227D}">
  <dimension ref="A1:Z12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7.6328125" style="5" bestFit="1" customWidth="1"/>
    <col min="2" max="2" width="30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453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7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1057</v>
      </c>
      <c r="B3" s="5" t="s">
        <v>1066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3</v>
      </c>
      <c r="T3">
        <v>0</v>
      </c>
      <c r="U3">
        <v>95</v>
      </c>
      <c r="V3">
        <v>0</v>
      </c>
      <c r="W3">
        <v>0</v>
      </c>
      <c r="X3">
        <v>0</v>
      </c>
      <c r="Y3">
        <v>0</v>
      </c>
      <c r="Z3">
        <v>101</v>
      </c>
    </row>
    <row r="4" spans="1:26" x14ac:dyDescent="0.25">
      <c r="A4" t="s">
        <v>1058</v>
      </c>
      <c r="B4" s="5" t="s">
        <v>1058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</row>
    <row r="5" spans="1:26" ht="75" x14ac:dyDescent="0.25">
      <c r="A5" t="s">
        <v>1059</v>
      </c>
      <c r="B5" s="5" t="s">
        <v>1067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7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245</v>
      </c>
      <c r="V5">
        <v>1</v>
      </c>
      <c r="W5">
        <v>0</v>
      </c>
      <c r="X5">
        <v>0</v>
      </c>
      <c r="Y5">
        <v>0</v>
      </c>
      <c r="Z5">
        <v>254</v>
      </c>
    </row>
    <row r="6" spans="1:26" x14ac:dyDescent="0.25">
      <c r="A6" t="s">
        <v>1060</v>
      </c>
      <c r="B6" s="5" t="s">
        <v>1068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43</v>
      </c>
      <c r="V6">
        <v>0</v>
      </c>
      <c r="W6">
        <v>0</v>
      </c>
      <c r="X6">
        <v>0</v>
      </c>
      <c r="Y6">
        <v>0</v>
      </c>
      <c r="Z6">
        <v>43</v>
      </c>
    </row>
    <row r="7" spans="1:26" x14ac:dyDescent="0.25">
      <c r="A7" t="s">
        <v>1061</v>
      </c>
      <c r="B7" s="5" t="s">
        <v>1069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13</v>
      </c>
      <c r="V7">
        <v>0</v>
      </c>
      <c r="W7">
        <v>0</v>
      </c>
      <c r="X7">
        <v>0</v>
      </c>
      <c r="Y7">
        <v>0</v>
      </c>
      <c r="Z7">
        <v>13</v>
      </c>
    </row>
    <row r="8" spans="1:26" x14ac:dyDescent="0.25">
      <c r="A8" t="s">
        <v>1062</v>
      </c>
      <c r="B8" s="5" t="s">
        <v>1070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55</v>
      </c>
      <c r="V8">
        <v>0</v>
      </c>
      <c r="W8">
        <v>0</v>
      </c>
      <c r="X8">
        <v>0</v>
      </c>
      <c r="Y8">
        <v>0</v>
      </c>
      <c r="Z8">
        <v>55</v>
      </c>
    </row>
    <row r="9" spans="1:26" x14ac:dyDescent="0.25">
      <c r="A9" t="s">
        <v>1063</v>
      </c>
      <c r="B9" s="5" t="s">
        <v>1071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23</v>
      </c>
      <c r="V9">
        <v>0</v>
      </c>
      <c r="W9">
        <v>0</v>
      </c>
      <c r="X9">
        <v>0</v>
      </c>
      <c r="Y9">
        <v>0</v>
      </c>
      <c r="Z9">
        <v>23</v>
      </c>
    </row>
    <row r="10" spans="1:26" x14ac:dyDescent="0.25">
      <c r="A10" t="s">
        <v>1064</v>
      </c>
      <c r="B10" s="5" t="s">
        <v>1072</v>
      </c>
      <c r="C10">
        <v>0</v>
      </c>
      <c r="D10">
        <v>1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1</v>
      </c>
      <c r="T10">
        <v>0</v>
      </c>
      <c r="U10">
        <v>87</v>
      </c>
      <c r="V10">
        <v>0</v>
      </c>
      <c r="W10">
        <v>0</v>
      </c>
      <c r="X10">
        <v>0</v>
      </c>
      <c r="Y10">
        <v>4</v>
      </c>
      <c r="Z10">
        <v>96</v>
      </c>
    </row>
    <row r="11" spans="1:26" x14ac:dyDescent="0.25">
      <c r="A11" t="s">
        <v>1065</v>
      </c>
      <c r="B11" s="5" t="s">
        <v>1073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23</v>
      </c>
      <c r="V11">
        <v>0</v>
      </c>
      <c r="W11">
        <v>0</v>
      </c>
      <c r="X11">
        <v>0</v>
      </c>
      <c r="Y11">
        <v>0</v>
      </c>
      <c r="Z11">
        <v>23</v>
      </c>
    </row>
    <row r="12" spans="1:26" x14ac:dyDescent="0.25">
      <c r="A12" s="15" t="s">
        <v>957</v>
      </c>
      <c r="B12" s="26" t="s">
        <v>904</v>
      </c>
      <c r="C12" s="3">
        <f>SUBTOTAL(109,Stanislaus[American Sign Language Total])</f>
        <v>0</v>
      </c>
      <c r="D12" s="3">
        <f>SUBTOTAL(109,Stanislaus[Arabic Total])</f>
        <v>3</v>
      </c>
      <c r="E12" s="3">
        <f>SUBTOTAL(109,Stanislaus[Armenian Total])</f>
        <v>0</v>
      </c>
      <c r="F12" s="3">
        <f>SUBTOTAL(109,Stanislaus[Bengali Total])</f>
        <v>0</v>
      </c>
      <c r="G12" s="3">
        <f>SUBTOTAL(109,Stanislaus[Chinese (Mandarin or Cantonese) Total])</f>
        <v>1</v>
      </c>
      <c r="H12" s="3">
        <f>SUBTOTAL(109,Stanislaus[Farsi (Persian) Total])</f>
        <v>1</v>
      </c>
      <c r="I12" s="3">
        <f>SUBTOTAL(109,Stanislaus[French Total])</f>
        <v>7</v>
      </c>
      <c r="J12" s="3">
        <f>SUBTOTAL(109,Stanislaus[German Total])</f>
        <v>0</v>
      </c>
      <c r="K12" s="3">
        <f>SUBTOTAL(109,Stanislaus[Hebrew Total])</f>
        <v>0</v>
      </c>
      <c r="L12" s="3">
        <f>SUBTOTAL(109,Stanislaus[Hindi Total])</f>
        <v>1</v>
      </c>
      <c r="M12" s="3">
        <f>SUBTOTAL(109,Stanislaus[Hmong Total])</f>
        <v>0</v>
      </c>
      <c r="N12" s="3">
        <f>SUBTOTAL(109,Stanislaus[Italian Total])</f>
        <v>0</v>
      </c>
      <c r="O12" s="3">
        <f>SUBTOTAL(109,Stanislaus[Japanese Total])</f>
        <v>0</v>
      </c>
      <c r="P12" s="3">
        <f>SUBTOTAL(109,Stanislaus[Korean Total])</f>
        <v>0</v>
      </c>
      <c r="Q12" s="3">
        <f>SUBTOTAL(109,Stanislaus[Latin Total])</f>
        <v>0</v>
      </c>
      <c r="R12" s="3">
        <f>SUBTOTAL(109,Stanislaus[Portuguese Total])</f>
        <v>3</v>
      </c>
      <c r="S12" s="3">
        <f>SUBTOTAL(109,Stanislaus[Punjabi Total])</f>
        <v>4</v>
      </c>
      <c r="T12" s="3">
        <f>SUBTOTAL(109,Stanislaus[Russian Total])</f>
        <v>0</v>
      </c>
      <c r="U12" s="3">
        <f>SUBTOTAL(109,Stanislaus[Spanish Total])</f>
        <v>584</v>
      </c>
      <c r="V12" s="3">
        <f>SUBTOTAL(109,Stanislaus[Tagalog (Filipino) Total])</f>
        <v>1</v>
      </c>
      <c r="W12" s="3">
        <f>SUBTOTAL(109,Stanislaus[Urdu Total])</f>
        <v>0</v>
      </c>
      <c r="X12" s="3">
        <f>SUBTOTAL(109,Stanislaus[Vietnamese Total])</f>
        <v>0</v>
      </c>
      <c r="Y12" s="3">
        <f>SUBTOTAL(109,Stanislaus[Other Total])</f>
        <v>4</v>
      </c>
      <c r="Z12" s="3">
        <f>SUBTOTAL(109,Stanislaus[Total Seals per LEA])</f>
        <v>609</v>
      </c>
    </row>
  </sheetData>
  <conditionalFormatting sqref="A1:B2">
    <cfRule type="duplicateValues" dxfId="5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90625" bestFit="1" customWidth="1"/>
    <col min="2" max="2" width="20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40</v>
      </c>
    </row>
    <row r="2" spans="1:26" ht="75.599999999999994" thickTop="1" x14ac:dyDescent="0.25">
      <c r="A2" s="2" t="s">
        <v>70</v>
      </c>
      <c r="B2" s="6" t="s">
        <v>71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173</v>
      </c>
      <c r="B3" t="s">
        <v>176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</v>
      </c>
      <c r="V3">
        <v>0</v>
      </c>
      <c r="W3">
        <v>0</v>
      </c>
      <c r="X3">
        <v>0</v>
      </c>
      <c r="Y3">
        <v>0</v>
      </c>
      <c r="Z3">
        <f>SUM(Calaveras[[#This Row],[American Sign Language Total]:[Other Total]])</f>
        <v>8</v>
      </c>
    </row>
    <row r="4" spans="1:26" x14ac:dyDescent="0.25">
      <c r="A4" t="s">
        <v>174</v>
      </c>
      <c r="B4" t="s">
        <v>177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</v>
      </c>
      <c r="V4">
        <v>0</v>
      </c>
      <c r="W4">
        <v>0</v>
      </c>
      <c r="X4">
        <v>0</v>
      </c>
      <c r="Y4">
        <v>0</v>
      </c>
      <c r="Z4">
        <f>SUM(Calaveras[[#This Row],[American Sign Language Total]:[Other Total]])</f>
        <v>10</v>
      </c>
    </row>
    <row r="5" spans="1:26" x14ac:dyDescent="0.25">
      <c r="A5" s="15" t="s">
        <v>175</v>
      </c>
      <c r="B5" s="26" t="s">
        <v>160</v>
      </c>
      <c r="C5">
        <f>SUBTOTAL(109,Calaveras[American Sign Language Total])</f>
        <v>0</v>
      </c>
      <c r="D5">
        <f>SUBTOTAL(109,Calaveras[Arabic Total])</f>
        <v>0</v>
      </c>
      <c r="E5">
        <f>SUBTOTAL(109,Calaveras[Armenian Total])</f>
        <v>0</v>
      </c>
      <c r="F5">
        <f>SUBTOTAL(109,Calaveras[Bengali Total])</f>
        <v>0</v>
      </c>
      <c r="G5">
        <f>SUBTOTAL(109,Calaveras[Chinese (Mandarin or Cantonese) Total])</f>
        <v>0</v>
      </c>
      <c r="H5">
        <f>SUBTOTAL(109,Calaveras[Farsi (Persian) Total])</f>
        <v>0</v>
      </c>
      <c r="I5">
        <f>SUBTOTAL(109,Calaveras[French Total])</f>
        <v>0</v>
      </c>
      <c r="J5">
        <f>SUBTOTAL(109,Calaveras[German Total])</f>
        <v>0</v>
      </c>
      <c r="K5">
        <f>SUBTOTAL(109,Calaveras[Hebrew Total])</f>
        <v>0</v>
      </c>
      <c r="L5">
        <f>SUBTOTAL(109,Calaveras[Hindi Total])</f>
        <v>0</v>
      </c>
      <c r="M5">
        <f>SUBTOTAL(109,Calaveras[Hmong Total])</f>
        <v>0</v>
      </c>
      <c r="N5">
        <f>SUBTOTAL(109,Calaveras[Italian Total])</f>
        <v>0</v>
      </c>
      <c r="O5">
        <f>SUBTOTAL(109,Calaveras[Japanese Total])</f>
        <v>0</v>
      </c>
      <c r="P5">
        <f>SUBTOTAL(109,Calaveras[Korean Total])</f>
        <v>0</v>
      </c>
      <c r="Q5">
        <f>SUBTOTAL(109,Calaveras[Latin Total])</f>
        <v>0</v>
      </c>
      <c r="R5">
        <f>SUBTOTAL(109,Calaveras[Portuguese Total])</f>
        <v>0</v>
      </c>
      <c r="S5">
        <f>SUBTOTAL(109,Calaveras[Punjabi Total])</f>
        <v>0</v>
      </c>
      <c r="T5">
        <f>SUBTOTAL(109,Calaveras[Russian Total])</f>
        <v>0</v>
      </c>
      <c r="U5">
        <f>SUBTOTAL(109,Calaveras[Spanish Total])</f>
        <v>18</v>
      </c>
      <c r="V5">
        <f>SUBTOTAL(109,Calaveras[Tagalog (Filipino) Total])</f>
        <v>0</v>
      </c>
      <c r="W5">
        <f>SUBTOTAL(109,Calaveras[Urdu Total])</f>
        <v>0</v>
      </c>
      <c r="X5">
        <f>SUBTOTAL(109,Calaveras[Vietnamese Total])</f>
        <v>0</v>
      </c>
      <c r="Y5">
        <f>SUBTOTAL(109,Calaveras[Other Total])</f>
        <v>0</v>
      </c>
      <c r="Z5">
        <f>SUBTOTAL(109,Calaveras[Total Seals per LEA])</f>
        <v>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07E6-1CC6-46EF-B260-D28333966E7E}">
  <dimension ref="A1:Z9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8.90625" style="5" bestFit="1" customWidth="1"/>
    <col min="2" max="2" width="28.8164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089843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18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s="6" t="s">
        <v>1074</v>
      </c>
      <c r="B3" s="5" t="s">
        <v>1080</v>
      </c>
      <c r="C3" s="21">
        <v>0</v>
      </c>
      <c r="D3" s="21">
        <v>0</v>
      </c>
      <c r="E3" s="21">
        <v>0</v>
      </c>
      <c r="F3" s="8">
        <v>0</v>
      </c>
      <c r="G3" s="8">
        <v>0</v>
      </c>
      <c r="H3" s="8">
        <v>0</v>
      </c>
      <c r="I3" s="21">
        <v>0</v>
      </c>
      <c r="J3" s="21">
        <v>0</v>
      </c>
      <c r="K3" s="8">
        <v>0</v>
      </c>
      <c r="L3" s="8">
        <v>0</v>
      </c>
      <c r="M3" s="21">
        <v>0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8">
        <v>0</v>
      </c>
      <c r="T3" s="8">
        <v>0</v>
      </c>
      <c r="U3" s="21">
        <v>1</v>
      </c>
      <c r="V3" s="21">
        <v>0</v>
      </c>
      <c r="W3" s="8">
        <v>0</v>
      </c>
      <c r="X3" s="21">
        <v>0</v>
      </c>
      <c r="Y3" s="21">
        <v>0</v>
      </c>
      <c r="Z3" s="21">
        <v>1</v>
      </c>
    </row>
    <row r="4" spans="1:26" x14ac:dyDescent="0.25">
      <c r="A4" s="6" t="s">
        <v>1075</v>
      </c>
      <c r="B4" s="5" t="s">
        <v>1075</v>
      </c>
      <c r="C4" s="21">
        <v>0</v>
      </c>
      <c r="D4" s="21">
        <v>0</v>
      </c>
      <c r="E4" s="21">
        <v>0</v>
      </c>
      <c r="F4" s="8">
        <v>0</v>
      </c>
      <c r="G4" s="8">
        <v>0</v>
      </c>
      <c r="H4" s="8">
        <v>0</v>
      </c>
      <c r="I4" s="21">
        <v>0</v>
      </c>
      <c r="J4" s="21">
        <v>0</v>
      </c>
      <c r="K4" s="8">
        <v>0</v>
      </c>
      <c r="L4" s="8">
        <v>0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8">
        <v>0</v>
      </c>
      <c r="T4" s="8">
        <v>2</v>
      </c>
      <c r="U4" s="21">
        <v>4</v>
      </c>
      <c r="V4" s="21">
        <v>0</v>
      </c>
      <c r="W4" s="8">
        <v>0</v>
      </c>
      <c r="X4" s="21">
        <v>0</v>
      </c>
      <c r="Y4" s="21">
        <v>0</v>
      </c>
      <c r="Z4" s="21">
        <v>6</v>
      </c>
    </row>
    <row r="5" spans="1:26" x14ac:dyDescent="0.25">
      <c r="A5" t="s">
        <v>1076</v>
      </c>
      <c r="B5" s="5" t="s">
        <v>1081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</v>
      </c>
      <c r="V5">
        <v>0</v>
      </c>
      <c r="W5">
        <v>0</v>
      </c>
      <c r="X5">
        <v>0</v>
      </c>
      <c r="Y5">
        <v>0</v>
      </c>
      <c r="Z5">
        <v>5</v>
      </c>
    </row>
    <row r="6" spans="1:26" x14ac:dyDescent="0.25">
      <c r="A6" t="s">
        <v>1077</v>
      </c>
      <c r="B6" s="5" t="s">
        <v>1077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11</v>
      </c>
      <c r="U6">
        <v>2</v>
      </c>
      <c r="V6">
        <v>0</v>
      </c>
      <c r="W6">
        <v>0</v>
      </c>
      <c r="X6">
        <v>0</v>
      </c>
      <c r="Y6">
        <v>0</v>
      </c>
      <c r="Z6">
        <v>14</v>
      </c>
    </row>
    <row r="7" spans="1:26" x14ac:dyDescent="0.25">
      <c r="A7" t="s">
        <v>1078</v>
      </c>
      <c r="B7" s="5" t="s">
        <v>1082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44</v>
      </c>
      <c r="V7">
        <v>0</v>
      </c>
      <c r="W7">
        <v>0</v>
      </c>
      <c r="X7">
        <v>0</v>
      </c>
      <c r="Y7">
        <v>0</v>
      </c>
      <c r="Z7">
        <v>44</v>
      </c>
    </row>
    <row r="8" spans="1:26" ht="45" x14ac:dyDescent="0.25">
      <c r="A8" t="s">
        <v>1079</v>
      </c>
      <c r="B8" s="5" t="s">
        <v>1083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0</v>
      </c>
      <c r="S8">
        <v>55</v>
      </c>
      <c r="T8">
        <v>0</v>
      </c>
      <c r="U8">
        <v>100</v>
      </c>
      <c r="V8">
        <v>2</v>
      </c>
      <c r="W8">
        <v>0</v>
      </c>
      <c r="X8">
        <v>0</v>
      </c>
      <c r="Y8">
        <v>0</v>
      </c>
      <c r="Z8">
        <v>158</v>
      </c>
    </row>
    <row r="9" spans="1:26" x14ac:dyDescent="0.25">
      <c r="A9" s="15" t="s">
        <v>675</v>
      </c>
      <c r="B9" s="26" t="s">
        <v>575</v>
      </c>
      <c r="C9" s="3">
        <f>SUBTOTAL(109,Sutter[American Sign Language Total])</f>
        <v>1</v>
      </c>
      <c r="D9" s="3">
        <f>SUBTOTAL(109,Sutter[Arabic Total])</f>
        <v>0</v>
      </c>
      <c r="E9" s="3">
        <f>SUBTOTAL(109,Sutter[Armenian Total])</f>
        <v>0</v>
      </c>
      <c r="F9" s="3">
        <f>SUBTOTAL(109,Sutter[Bengali Total])</f>
        <v>0</v>
      </c>
      <c r="G9" s="3">
        <f>SUBTOTAL(109,Sutter[Chinese (Mandarin or Cantonese) Total])</f>
        <v>0</v>
      </c>
      <c r="H9" s="3">
        <f>SUBTOTAL(109,Sutter[Farsi (Persian) Total])</f>
        <v>0</v>
      </c>
      <c r="I9" s="3">
        <f>SUBTOTAL(109,Sutter[French Total])</f>
        <v>0</v>
      </c>
      <c r="J9" s="3">
        <f>SUBTOTAL(109,Sutter[German Total])</f>
        <v>0</v>
      </c>
      <c r="K9" s="3">
        <f>SUBTOTAL(109,Sutter[Hebrew Total])</f>
        <v>0</v>
      </c>
      <c r="L9" s="3">
        <f>SUBTOTAL(109,Sutter[Hindi Total])</f>
        <v>0</v>
      </c>
      <c r="M9" s="3">
        <f>SUBTOTAL(109,Sutter[Hmong Total])</f>
        <v>1</v>
      </c>
      <c r="N9" s="3">
        <f>SUBTOTAL(109,Sutter[Italian Total])</f>
        <v>0</v>
      </c>
      <c r="O9" s="3">
        <f>SUBTOTAL(109,Sutter[Japanese Total])</f>
        <v>0</v>
      </c>
      <c r="P9" s="3">
        <f>SUBTOTAL(109,Sutter[Korean Total])</f>
        <v>0</v>
      </c>
      <c r="Q9" s="3">
        <f>SUBTOTAL(109,Sutter[Latin Total])</f>
        <v>0</v>
      </c>
      <c r="R9" s="3">
        <f>SUBTOTAL(109,Sutter[Portuguese Total])</f>
        <v>0</v>
      </c>
      <c r="S9" s="3">
        <f>SUBTOTAL(109,Sutter[Punjabi Total])</f>
        <v>55</v>
      </c>
      <c r="T9" s="3">
        <f>SUBTOTAL(109,Sutter[Russian Total])</f>
        <v>13</v>
      </c>
      <c r="U9" s="3">
        <f>SUBTOTAL(109,Sutter[Spanish Total])</f>
        <v>156</v>
      </c>
      <c r="V9" s="3">
        <f>SUBTOTAL(109,Sutter[Tagalog (Filipino) Total])</f>
        <v>2</v>
      </c>
      <c r="W9" s="3">
        <f>SUBTOTAL(109,Sutter[Urdu Total])</f>
        <v>0</v>
      </c>
      <c r="X9" s="3">
        <f>SUBTOTAL(109,Sutter[Vietnamese Total])</f>
        <v>0</v>
      </c>
      <c r="Y9" s="3">
        <f>SUBTOTAL(109,Sutter[Other Total])</f>
        <v>0</v>
      </c>
      <c r="Z9" s="3">
        <f>SUBTOTAL(109,Sutter[Total Seals per LEA])</f>
        <v>228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770-2B9A-4D46-BF45-2E8DE436753F}">
  <dimension ref="A1:Z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4.08984375" style="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2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722</v>
      </c>
      <c r="B3" s="5" t="s">
        <v>724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65</v>
      </c>
      <c r="V3">
        <v>0</v>
      </c>
      <c r="W3">
        <v>0</v>
      </c>
      <c r="X3">
        <v>0</v>
      </c>
      <c r="Y3">
        <v>0</v>
      </c>
      <c r="Z3">
        <v>65</v>
      </c>
    </row>
    <row r="4" spans="1:26" x14ac:dyDescent="0.25">
      <c r="A4" s="6" t="s">
        <v>723</v>
      </c>
      <c r="B4" s="5" t="s">
        <v>725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3</v>
      </c>
      <c r="V4" s="8">
        <v>0</v>
      </c>
      <c r="W4" s="8">
        <v>0</v>
      </c>
      <c r="X4" s="8">
        <v>0</v>
      </c>
      <c r="Y4" s="8">
        <v>0</v>
      </c>
      <c r="Z4">
        <v>3</v>
      </c>
    </row>
    <row r="5" spans="1:26" x14ac:dyDescent="0.25">
      <c r="A5" t="s">
        <v>1107</v>
      </c>
      <c r="B5" s="5" t="s">
        <v>1108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7</v>
      </c>
      <c r="V5">
        <v>0</v>
      </c>
      <c r="W5">
        <v>0</v>
      </c>
      <c r="X5">
        <v>0</v>
      </c>
      <c r="Y5">
        <v>0</v>
      </c>
      <c r="Z5">
        <v>7</v>
      </c>
    </row>
    <row r="6" spans="1:26" x14ac:dyDescent="0.25">
      <c r="A6" s="15" t="s">
        <v>215</v>
      </c>
      <c r="B6" s="26" t="s">
        <v>247</v>
      </c>
      <c r="C6" s="3">
        <f>SUBTOTAL(109,Tehama[American Sign Language Total])</f>
        <v>0</v>
      </c>
      <c r="D6" s="3">
        <f>SUBTOTAL(109,Tehama[Arabic Total])</f>
        <v>0</v>
      </c>
      <c r="E6" s="3">
        <f>SUBTOTAL(109,Tehama[Armenian Total])</f>
        <v>0</v>
      </c>
      <c r="F6" s="3">
        <f>SUBTOTAL(109,Tehama[Bengali Total])</f>
        <v>0</v>
      </c>
      <c r="G6" s="3">
        <f>SUBTOTAL(109,Tehama[Chinese (Mandarin or Cantonese) Total])</f>
        <v>0</v>
      </c>
      <c r="H6" s="3">
        <f>SUBTOTAL(109,Tehama[Farsi (Persian) Total])</f>
        <v>0</v>
      </c>
      <c r="I6" s="3">
        <f>SUBTOTAL(109,Tehama[French Total])</f>
        <v>0</v>
      </c>
      <c r="J6" s="3">
        <f>SUBTOTAL(109,Tehama[German Total])</f>
        <v>0</v>
      </c>
      <c r="K6" s="3">
        <f>SUBTOTAL(109,Tehama[Hebrew Total])</f>
        <v>0</v>
      </c>
      <c r="L6" s="3">
        <f>SUBTOTAL(109,Tehama[Hindi Total])</f>
        <v>0</v>
      </c>
      <c r="M6" s="3">
        <f>SUBTOTAL(109,Tehama[Hmong Total])</f>
        <v>0</v>
      </c>
      <c r="N6" s="3">
        <f>SUBTOTAL(109,Tehama[Italian Total])</f>
        <v>0</v>
      </c>
      <c r="O6" s="3">
        <f>SUBTOTAL(109,Tehama[Japanese Total])</f>
        <v>0</v>
      </c>
      <c r="P6" s="3">
        <f>SUBTOTAL(109,Tehama[Korean Total])</f>
        <v>0</v>
      </c>
      <c r="Q6" s="3">
        <f>SUBTOTAL(109,Tehama[Latin Total])</f>
        <v>0</v>
      </c>
      <c r="R6" s="3">
        <f>SUBTOTAL(109,Tehama[Portuguese Total])</f>
        <v>0</v>
      </c>
      <c r="S6" s="3">
        <f>SUBTOTAL(109,Tehama[Punjabi Total])</f>
        <v>0</v>
      </c>
      <c r="T6" s="3">
        <f>SUBTOTAL(109,Tehama[Russian Total])</f>
        <v>0</v>
      </c>
      <c r="U6" s="3">
        <f>SUBTOTAL(109,Tehama[Spanish Total])</f>
        <v>75</v>
      </c>
      <c r="V6" s="3">
        <f>SUBTOTAL(109,Tehama[Tagalog (Filipino) Total])</f>
        <v>0</v>
      </c>
      <c r="W6" s="3">
        <f>SUBTOTAL(109,Tehama[Urdu Total])</f>
        <v>0</v>
      </c>
      <c r="X6" s="3">
        <f>SUBTOTAL(109,Tehama[Vietnamese Total])</f>
        <v>0</v>
      </c>
      <c r="Y6" s="3">
        <f>SUBTOTAL(109,Tehama[Other Total])</f>
        <v>0</v>
      </c>
      <c r="Z6" s="3">
        <f>SUBTOTAL(109,Tehama[Total Seals per LEA])</f>
        <v>75</v>
      </c>
    </row>
  </sheetData>
  <conditionalFormatting sqref="A1:B2">
    <cfRule type="duplicateValues" dxfId="5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00B1-D3C4-4FE0-B782-DEE48173A9E5}">
  <dimension ref="A1:Z14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29.17968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5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726</v>
      </c>
      <c r="B3" s="5" t="s">
        <v>738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16</v>
      </c>
      <c r="V3">
        <v>0</v>
      </c>
      <c r="W3">
        <v>0</v>
      </c>
      <c r="X3">
        <v>0</v>
      </c>
      <c r="Y3">
        <v>0</v>
      </c>
      <c r="Z3">
        <f>SUM(Tulare[[#This Row],[American Sign Language Total]:[Other Total]])</f>
        <v>16</v>
      </c>
    </row>
    <row r="4" spans="1:26" ht="30" x14ac:dyDescent="0.25">
      <c r="A4" s="5" t="s">
        <v>727</v>
      </c>
      <c r="B4" s="5" t="s">
        <v>727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v>2</v>
      </c>
      <c r="V4">
        <v>0</v>
      </c>
      <c r="W4">
        <v>0</v>
      </c>
      <c r="X4">
        <v>0</v>
      </c>
      <c r="Y4">
        <v>0</v>
      </c>
      <c r="Z4">
        <f>SUM(Tulare[[#This Row],[American Sign Language Total]:[Other Total]])</f>
        <v>3</v>
      </c>
    </row>
    <row r="5" spans="1:26" x14ac:dyDescent="0.25">
      <c r="A5" s="5" t="s">
        <v>728</v>
      </c>
      <c r="B5" s="5" t="s">
        <v>739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12</v>
      </c>
      <c r="V5">
        <v>0</v>
      </c>
      <c r="W5">
        <v>0</v>
      </c>
      <c r="X5">
        <v>0</v>
      </c>
      <c r="Y5">
        <v>0</v>
      </c>
      <c r="Z5">
        <f>SUM(Tulare[[#This Row],[American Sign Language Total]:[Other Total]])</f>
        <v>12</v>
      </c>
    </row>
    <row r="6" spans="1:26" x14ac:dyDescent="0.25">
      <c r="A6" s="5" t="s">
        <v>729</v>
      </c>
      <c r="B6" s="5" t="s">
        <v>740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28</v>
      </c>
      <c r="V6">
        <v>0</v>
      </c>
      <c r="W6">
        <v>0</v>
      </c>
      <c r="X6">
        <v>0</v>
      </c>
      <c r="Y6">
        <v>0</v>
      </c>
      <c r="Z6">
        <f>SUM(Tulare[[#This Row],[American Sign Language Total]:[Other Total]])</f>
        <v>28</v>
      </c>
    </row>
    <row r="7" spans="1:26" x14ac:dyDescent="0.25">
      <c r="A7" s="2" t="s">
        <v>730</v>
      </c>
      <c r="B7" s="5" t="s">
        <v>741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16</v>
      </c>
      <c r="V7" s="8">
        <v>0</v>
      </c>
      <c r="W7" s="8">
        <v>0</v>
      </c>
      <c r="X7" s="8">
        <v>0</v>
      </c>
      <c r="Y7" s="8">
        <v>0</v>
      </c>
      <c r="Z7" s="8">
        <f>SUM(Tulare[[#This Row],[American Sign Language Total]:[Other Total]])</f>
        <v>16</v>
      </c>
    </row>
    <row r="8" spans="1:26" x14ac:dyDescent="0.25">
      <c r="A8" s="2" t="s">
        <v>731</v>
      </c>
      <c r="B8" s="5" t="s">
        <v>742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3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42</v>
      </c>
      <c r="V8" s="8">
        <v>0</v>
      </c>
      <c r="W8" s="8">
        <v>0</v>
      </c>
      <c r="X8" s="8">
        <v>0</v>
      </c>
      <c r="Y8" s="8">
        <v>0</v>
      </c>
      <c r="Z8" s="8">
        <f>SUM(Tulare[[#This Row],[American Sign Language Total]:[Other Total]])</f>
        <v>45</v>
      </c>
    </row>
    <row r="9" spans="1:26" ht="60" x14ac:dyDescent="0.25">
      <c r="A9" s="2" t="s">
        <v>732</v>
      </c>
      <c r="B9" s="5" t="s">
        <v>743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275</v>
      </c>
      <c r="V9" s="8">
        <v>0</v>
      </c>
      <c r="W9" s="8">
        <v>0</v>
      </c>
      <c r="X9" s="8">
        <v>0</v>
      </c>
      <c r="Y9" s="8">
        <v>0</v>
      </c>
      <c r="Z9" s="8">
        <f>SUM(Tulare[[#This Row],[American Sign Language Total]:[Other Total]])</f>
        <v>275</v>
      </c>
    </row>
    <row r="10" spans="1:26" ht="30" x14ac:dyDescent="0.25">
      <c r="A10" s="5" t="s">
        <v>733</v>
      </c>
      <c r="B10" s="5" t="s">
        <v>744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10</v>
      </c>
      <c r="S10">
        <v>0</v>
      </c>
      <c r="T10">
        <v>0</v>
      </c>
      <c r="U10">
        <v>205</v>
      </c>
      <c r="V10">
        <v>0</v>
      </c>
      <c r="W10">
        <v>0</v>
      </c>
      <c r="X10">
        <v>0</v>
      </c>
      <c r="Y10">
        <v>0</v>
      </c>
      <c r="Z10">
        <f>SUM(Tulare[[#This Row],[American Sign Language Total]:[Other Total]])</f>
        <v>215</v>
      </c>
    </row>
    <row r="11" spans="1:26" ht="30" x14ac:dyDescent="0.25">
      <c r="A11" s="5" t="s">
        <v>734</v>
      </c>
      <c r="B11" s="5" t="s">
        <v>734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10</v>
      </c>
      <c r="V11">
        <v>0</v>
      </c>
      <c r="W11">
        <v>0</v>
      </c>
      <c r="X11">
        <v>0</v>
      </c>
      <c r="Y11">
        <v>0</v>
      </c>
      <c r="Z11">
        <f>SUM(Tulare[[#This Row],[American Sign Language Total]:[Other Total]])</f>
        <v>11</v>
      </c>
    </row>
    <row r="12" spans="1:26" ht="75" x14ac:dyDescent="0.25">
      <c r="A12" s="5" t="s">
        <v>735</v>
      </c>
      <c r="B12" s="5" t="s">
        <v>745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11</v>
      </c>
      <c r="J12">
        <v>0</v>
      </c>
      <c r="K12">
        <v>0</v>
      </c>
      <c r="L12">
        <v>0</v>
      </c>
      <c r="M12">
        <v>0</v>
      </c>
      <c r="N12">
        <v>0</v>
      </c>
      <c r="O12">
        <v>2</v>
      </c>
      <c r="P12">
        <v>2</v>
      </c>
      <c r="Q12">
        <v>0</v>
      </c>
      <c r="R12">
        <v>0</v>
      </c>
      <c r="S12">
        <v>0</v>
      </c>
      <c r="T12">
        <v>0</v>
      </c>
      <c r="U12">
        <v>235</v>
      </c>
      <c r="V12">
        <v>1</v>
      </c>
      <c r="W12">
        <v>0</v>
      </c>
      <c r="X12">
        <v>1</v>
      </c>
      <c r="Y12">
        <v>1</v>
      </c>
      <c r="Z12">
        <f>SUM(Tulare[[#This Row],[American Sign Language Total]:[Other Total]])</f>
        <v>253</v>
      </c>
    </row>
    <row r="13" spans="1:26" x14ac:dyDescent="0.25">
      <c r="A13" s="5" t="s">
        <v>736</v>
      </c>
      <c r="B13" s="5" t="s">
        <v>746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33</v>
      </c>
      <c r="V13">
        <v>0</v>
      </c>
      <c r="W13">
        <v>0</v>
      </c>
      <c r="X13">
        <v>0</v>
      </c>
      <c r="Y13">
        <v>0</v>
      </c>
      <c r="Z13">
        <f>SUM(Tulare[[#This Row],[American Sign Language Total]:[Other Total]])</f>
        <v>33</v>
      </c>
    </row>
    <row r="14" spans="1:26" x14ac:dyDescent="0.25">
      <c r="A14" s="15" t="s">
        <v>737</v>
      </c>
      <c r="B14" s="26" t="s">
        <v>1093</v>
      </c>
      <c r="C14" s="3">
        <f>SUBTOTAL(109,Tulare[American Sign Language Total])</f>
        <v>1</v>
      </c>
      <c r="D14" s="3">
        <f>SUBTOTAL(109,Tulare[Arabic Total])</f>
        <v>0</v>
      </c>
      <c r="E14" s="3">
        <f>SUBTOTAL(109,Tulare[Armenian Total])</f>
        <v>0</v>
      </c>
      <c r="F14" s="3">
        <f>SUBTOTAL(109,Tulare[Bengali Total])</f>
        <v>0</v>
      </c>
      <c r="G14" s="3">
        <f>SUBTOTAL(109,Tulare[Chinese (Mandarin or Cantonese) Total])</f>
        <v>0</v>
      </c>
      <c r="H14" s="3">
        <f>SUBTOTAL(109,Tulare[Farsi (Persian) Total])</f>
        <v>3</v>
      </c>
      <c r="I14" s="3">
        <f>SUBTOTAL(109,Tulare[French Total])</f>
        <v>11</v>
      </c>
      <c r="J14" s="3">
        <f>SUBTOTAL(109,Tulare[German Total])</f>
        <v>0</v>
      </c>
      <c r="K14" s="3">
        <f>SUBTOTAL(109,Tulare[Hebrew Total])</f>
        <v>0</v>
      </c>
      <c r="L14" s="3">
        <f>SUBTOTAL(109,Tulare[Hindi Total])</f>
        <v>0</v>
      </c>
      <c r="M14" s="3">
        <f>SUBTOTAL(109,Tulare[Hmong Total])</f>
        <v>0</v>
      </c>
      <c r="N14" s="3">
        <f>SUBTOTAL(109,Tulare[Italian Total])</f>
        <v>0</v>
      </c>
      <c r="O14" s="3">
        <f>SUBTOTAL(109,Tulare[Japanese Total])</f>
        <v>3</v>
      </c>
      <c r="P14" s="3">
        <f>SUBTOTAL(109,Tulare[Korean Total])</f>
        <v>2</v>
      </c>
      <c r="Q14" s="3">
        <f>SUBTOTAL(109,Tulare[Latin Total])</f>
        <v>0</v>
      </c>
      <c r="R14" s="3">
        <f>SUBTOTAL(109,Tulare[Portuguese Total])</f>
        <v>10</v>
      </c>
      <c r="S14" s="3">
        <f>SUBTOTAL(109,Tulare[Punjabi Total])</f>
        <v>0</v>
      </c>
      <c r="T14" s="3">
        <f>SUBTOTAL(109,Tulare[Russian Total])</f>
        <v>0</v>
      </c>
      <c r="U14" s="3">
        <f>SUBTOTAL(109,Tulare[Spanish Total])</f>
        <v>874</v>
      </c>
      <c r="V14" s="3">
        <f>SUBTOTAL(109,Tulare[Tagalog (Filipino) Total])</f>
        <v>1</v>
      </c>
      <c r="W14" s="3">
        <f>SUBTOTAL(109,Tulare[Urdu Total])</f>
        <v>0</v>
      </c>
      <c r="X14" s="3">
        <f>SUBTOTAL(109,Tulare[Vietnamese Total])</f>
        <v>1</v>
      </c>
      <c r="Y14" s="3">
        <f>SUBTOTAL(109,Tulare[Other Total])</f>
        <v>1</v>
      </c>
      <c r="Z14" s="3">
        <f>SUBTOTAL(109,Tulare[Total Seals per LEA])</f>
        <v>907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A4AD-E40B-4161-80FB-1E48FCC32F85}">
  <dimension ref="A1:Z5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4.08984375" style="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1096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1098</v>
      </c>
      <c r="B3" s="5" t="s">
        <v>1099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</v>
      </c>
      <c r="V3">
        <v>0</v>
      </c>
      <c r="W3">
        <v>0</v>
      </c>
      <c r="X3">
        <v>0</v>
      </c>
      <c r="Y3">
        <v>0</v>
      </c>
      <c r="Z3">
        <v>8</v>
      </c>
    </row>
    <row r="4" spans="1:26" ht="30" x14ac:dyDescent="0.25">
      <c r="A4" t="s">
        <v>1100</v>
      </c>
      <c r="B4" s="5" t="s">
        <v>1101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26</v>
      </c>
      <c r="V4">
        <v>0</v>
      </c>
      <c r="W4">
        <v>0</v>
      </c>
      <c r="X4">
        <v>0</v>
      </c>
      <c r="Y4">
        <v>0</v>
      </c>
      <c r="Z4">
        <v>26</v>
      </c>
    </row>
    <row r="5" spans="1:26" x14ac:dyDescent="0.25">
      <c r="A5" s="15" t="s">
        <v>175</v>
      </c>
      <c r="B5" s="26" t="s">
        <v>247</v>
      </c>
      <c r="C5" s="3">
        <f>SUBTOTAL(109,Tehama4[American Sign Language Total])</f>
        <v>0</v>
      </c>
      <c r="D5" s="3">
        <f>SUBTOTAL(109,Tehama4[Arabic Total])</f>
        <v>0</v>
      </c>
      <c r="E5" s="3">
        <f>SUBTOTAL(109,Tehama4[Armenian Total])</f>
        <v>0</v>
      </c>
      <c r="F5" s="3">
        <f>SUBTOTAL(109,Tehama4[Bengali Total])</f>
        <v>0</v>
      </c>
      <c r="G5" s="3">
        <f>SUBTOTAL(109,Tehama4[Chinese (Mandarin or Cantonese) Total])</f>
        <v>0</v>
      </c>
      <c r="H5" s="3">
        <f>SUBTOTAL(109,Tehama4[Farsi (Persian) Total])</f>
        <v>0</v>
      </c>
      <c r="I5" s="3">
        <f>SUBTOTAL(109,Tehama4[French Total])</f>
        <v>0</v>
      </c>
      <c r="J5" s="3">
        <f>SUBTOTAL(109,Tehama4[German Total])</f>
        <v>0</v>
      </c>
      <c r="K5" s="3">
        <f>SUBTOTAL(109,Tehama4[Hebrew Total])</f>
        <v>0</v>
      </c>
      <c r="L5" s="3">
        <f>SUBTOTAL(109,Tehama4[Hindi Total])</f>
        <v>0</v>
      </c>
      <c r="M5" s="3">
        <f>SUBTOTAL(109,Tehama4[Hmong Total])</f>
        <v>0</v>
      </c>
      <c r="N5" s="3">
        <f>SUBTOTAL(109,Tehama4[Italian Total])</f>
        <v>0</v>
      </c>
      <c r="O5" s="3">
        <f>SUBTOTAL(109,Tehama4[Japanese Total])</f>
        <v>0</v>
      </c>
      <c r="P5" s="3">
        <f>SUBTOTAL(109,Tehama4[Korean Total])</f>
        <v>0</v>
      </c>
      <c r="Q5" s="3">
        <f>SUBTOTAL(109,Tehama4[Latin Total])</f>
        <v>0</v>
      </c>
      <c r="R5" s="3">
        <f>SUBTOTAL(109,Tehama4[Portuguese Total])</f>
        <v>0</v>
      </c>
      <c r="S5" s="3">
        <f>SUBTOTAL(109,Tehama4[Punjabi Total])</f>
        <v>0</v>
      </c>
      <c r="T5" s="3">
        <f>SUBTOTAL(109,Tehama4[Russian Total])</f>
        <v>0</v>
      </c>
      <c r="U5" s="3">
        <f>SUBTOTAL(109,Tehama4[Spanish Total])</f>
        <v>34</v>
      </c>
      <c r="V5" s="3">
        <f>SUBTOTAL(109,Tehama4[Tagalog (Filipino) Total])</f>
        <v>0</v>
      </c>
      <c r="W5" s="3">
        <f>SUBTOTAL(109,Tehama4[Urdu Total])</f>
        <v>0</v>
      </c>
      <c r="X5" s="3">
        <f>SUBTOTAL(109,Tehama4[Vietnamese Total])</f>
        <v>0</v>
      </c>
      <c r="Y5" s="3">
        <f>SUBTOTAL(109,Tehama4[Other Total])</f>
        <v>0</v>
      </c>
      <c r="Z5" s="3">
        <f>SUBTOTAL(109,Tehama4[Total Seals per LEA])</f>
        <v>34</v>
      </c>
    </row>
  </sheetData>
  <conditionalFormatting sqref="A1:B2">
    <cfRule type="duplicateValues" dxfId="5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11FA-9DBF-45A2-B486-86E774C95722}">
  <dimension ref="A1:Z12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2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542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38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45" x14ac:dyDescent="0.25">
      <c r="A3" s="5" t="s">
        <v>747</v>
      </c>
      <c r="B3" s="5" t="s">
        <v>747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11</v>
      </c>
      <c r="V3">
        <v>0</v>
      </c>
      <c r="W3">
        <v>0</v>
      </c>
      <c r="X3">
        <v>0</v>
      </c>
      <c r="Y3">
        <v>0</v>
      </c>
      <c r="Z3">
        <f>SUM(Ventura[[#This Row],[American Sign Language Total]:[Other Total]])</f>
        <v>11</v>
      </c>
    </row>
    <row r="4" spans="1:26" ht="30" x14ac:dyDescent="0.25">
      <c r="A4" s="5" t="s">
        <v>748</v>
      </c>
      <c r="B4" s="5" t="s">
        <v>756</v>
      </c>
      <c r="C4">
        <v>0</v>
      </c>
      <c r="D4">
        <v>0</v>
      </c>
      <c r="E4">
        <v>0</v>
      </c>
      <c r="F4">
        <v>0</v>
      </c>
      <c r="G4">
        <v>35</v>
      </c>
      <c r="H4">
        <v>0</v>
      </c>
      <c r="I4">
        <v>29</v>
      </c>
      <c r="J4">
        <v>1</v>
      </c>
      <c r="K4">
        <v>0</v>
      </c>
      <c r="L4">
        <v>0</v>
      </c>
      <c r="M4">
        <v>0</v>
      </c>
      <c r="N4">
        <v>0</v>
      </c>
      <c r="O4">
        <v>2</v>
      </c>
      <c r="P4">
        <v>0</v>
      </c>
      <c r="Q4">
        <v>0</v>
      </c>
      <c r="R4">
        <v>0</v>
      </c>
      <c r="S4">
        <v>0</v>
      </c>
      <c r="T4">
        <v>0</v>
      </c>
      <c r="U4">
        <v>184</v>
      </c>
      <c r="V4">
        <v>0</v>
      </c>
      <c r="W4">
        <v>0</v>
      </c>
      <c r="X4">
        <v>0</v>
      </c>
      <c r="Y4">
        <v>0</v>
      </c>
      <c r="Z4">
        <f>SUM(Ventura[[#This Row],[American Sign Language Total]:[Other Total]])</f>
        <v>251</v>
      </c>
    </row>
    <row r="5" spans="1:26" x14ac:dyDescent="0.25">
      <c r="A5" s="5" t="s">
        <v>749</v>
      </c>
      <c r="B5" s="5" t="s">
        <v>757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53</v>
      </c>
      <c r="V5">
        <v>0</v>
      </c>
      <c r="W5">
        <v>0</v>
      </c>
      <c r="X5">
        <v>0</v>
      </c>
      <c r="Y5">
        <v>0</v>
      </c>
      <c r="Z5">
        <f>SUM(Ventura[[#This Row],[American Sign Language Total]:[Other Total]])</f>
        <v>53</v>
      </c>
    </row>
    <row r="6" spans="1:26" ht="30" x14ac:dyDescent="0.25">
      <c r="A6" s="2" t="s">
        <v>750</v>
      </c>
      <c r="B6" s="5" t="s">
        <v>758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2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1</v>
      </c>
      <c r="Q6" s="8">
        <v>0</v>
      </c>
      <c r="R6" s="8">
        <v>0</v>
      </c>
      <c r="S6" s="8">
        <v>0</v>
      </c>
      <c r="T6" s="8">
        <v>0</v>
      </c>
      <c r="U6" s="8">
        <v>25</v>
      </c>
      <c r="V6" s="8">
        <v>0</v>
      </c>
      <c r="W6" s="8">
        <v>0</v>
      </c>
      <c r="X6" s="8">
        <v>0</v>
      </c>
      <c r="Y6" s="8">
        <v>0</v>
      </c>
      <c r="Z6" s="8">
        <f>SUM(Ventura[[#This Row],[American Sign Language Total]:[Other Total]])</f>
        <v>28</v>
      </c>
    </row>
    <row r="7" spans="1:26" x14ac:dyDescent="0.25">
      <c r="A7" s="2" t="s">
        <v>751</v>
      </c>
      <c r="B7" s="5" t="s">
        <v>759</v>
      </c>
      <c r="C7" s="8">
        <v>8</v>
      </c>
      <c r="D7" s="8">
        <v>0</v>
      </c>
      <c r="E7" s="8">
        <v>0</v>
      </c>
      <c r="F7" s="8">
        <v>0</v>
      </c>
      <c r="G7" s="8">
        <v>21</v>
      </c>
      <c r="H7" s="8">
        <v>0</v>
      </c>
      <c r="I7" s="8">
        <v>8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24</v>
      </c>
      <c r="V7" s="8">
        <v>0</v>
      </c>
      <c r="W7" s="8">
        <v>0</v>
      </c>
      <c r="X7" s="8">
        <v>0</v>
      </c>
      <c r="Y7" s="8">
        <v>0</v>
      </c>
      <c r="Z7" s="8">
        <f>SUM(Ventura[[#This Row],[American Sign Language Total]:[Other Total]])</f>
        <v>62</v>
      </c>
    </row>
    <row r="8" spans="1:26" x14ac:dyDescent="0.25">
      <c r="A8" s="5" t="s">
        <v>752</v>
      </c>
      <c r="B8" s="5" t="s">
        <v>760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7</v>
      </c>
      <c r="V8">
        <v>0</v>
      </c>
      <c r="W8">
        <v>0</v>
      </c>
      <c r="X8">
        <v>0</v>
      </c>
      <c r="Y8">
        <v>0</v>
      </c>
      <c r="Z8">
        <f>SUM(Ventura[[#This Row],[American Sign Language Total]:[Other Total]])</f>
        <v>7</v>
      </c>
    </row>
    <row r="9" spans="1:26" ht="75" x14ac:dyDescent="0.25">
      <c r="A9" s="5" t="s">
        <v>753</v>
      </c>
      <c r="B9" s="5" t="s">
        <v>761</v>
      </c>
      <c r="C9">
        <v>4</v>
      </c>
      <c r="D9">
        <v>0</v>
      </c>
      <c r="E9">
        <v>0</v>
      </c>
      <c r="F9">
        <v>0</v>
      </c>
      <c r="G9">
        <v>2</v>
      </c>
      <c r="H9">
        <v>0</v>
      </c>
      <c r="I9">
        <v>11</v>
      </c>
      <c r="J9">
        <v>15</v>
      </c>
      <c r="K9">
        <v>0</v>
      </c>
      <c r="L9">
        <v>0</v>
      </c>
      <c r="M9">
        <v>0</v>
      </c>
      <c r="N9">
        <v>0</v>
      </c>
      <c r="O9">
        <v>1</v>
      </c>
      <c r="P9">
        <v>1</v>
      </c>
      <c r="Q9">
        <v>0</v>
      </c>
      <c r="R9">
        <v>0</v>
      </c>
      <c r="S9">
        <v>1</v>
      </c>
      <c r="T9">
        <v>0</v>
      </c>
      <c r="U9">
        <v>425</v>
      </c>
      <c r="V9">
        <v>0</v>
      </c>
      <c r="W9">
        <v>0</v>
      </c>
      <c r="X9">
        <v>0</v>
      </c>
      <c r="Y9">
        <v>3</v>
      </c>
      <c r="Z9">
        <f>SUM(Ventura[[#This Row],[American Sign Language Total]:[Other Total]])</f>
        <v>463</v>
      </c>
    </row>
    <row r="10" spans="1:26" ht="30" x14ac:dyDescent="0.25">
      <c r="A10" s="5" t="s">
        <v>754</v>
      </c>
      <c r="B10" s="5" t="s">
        <v>762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15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75</v>
      </c>
      <c r="V10">
        <v>0</v>
      </c>
      <c r="W10">
        <v>0</v>
      </c>
      <c r="X10">
        <v>0</v>
      </c>
      <c r="Y10">
        <v>0</v>
      </c>
      <c r="Z10">
        <f>SUM(Ventura[[#This Row],[American Sign Language Total]:[Other Total]])</f>
        <v>90</v>
      </c>
    </row>
    <row r="11" spans="1:26" ht="45" x14ac:dyDescent="0.25">
      <c r="A11" s="5" t="s">
        <v>755</v>
      </c>
      <c r="B11" s="5" t="s">
        <v>763</v>
      </c>
      <c r="C11">
        <v>1</v>
      </c>
      <c r="D11">
        <v>1</v>
      </c>
      <c r="E11">
        <v>0</v>
      </c>
      <c r="F11">
        <v>0</v>
      </c>
      <c r="G11">
        <v>1</v>
      </c>
      <c r="H11">
        <v>0</v>
      </c>
      <c r="I11">
        <v>11</v>
      </c>
      <c r="J11">
        <v>3</v>
      </c>
      <c r="K11">
        <v>0</v>
      </c>
      <c r="L11">
        <v>0</v>
      </c>
      <c r="M11">
        <v>0</v>
      </c>
      <c r="N11">
        <v>5</v>
      </c>
      <c r="O11">
        <v>1</v>
      </c>
      <c r="P11">
        <v>1</v>
      </c>
      <c r="Q11">
        <v>0</v>
      </c>
      <c r="R11">
        <v>1</v>
      </c>
      <c r="S11">
        <v>0</v>
      </c>
      <c r="T11">
        <v>2</v>
      </c>
      <c r="U11">
        <v>244</v>
      </c>
      <c r="V11">
        <v>0</v>
      </c>
      <c r="W11">
        <v>0</v>
      </c>
      <c r="X11">
        <v>0</v>
      </c>
      <c r="Y11">
        <v>3</v>
      </c>
      <c r="Z11">
        <f>SUM(Ventura[[#This Row],[American Sign Language Total]:[Other Total]])</f>
        <v>274</v>
      </c>
    </row>
    <row r="12" spans="1:26" x14ac:dyDescent="0.25">
      <c r="A12" s="15" t="s">
        <v>957</v>
      </c>
      <c r="B12" s="26" t="s">
        <v>1094</v>
      </c>
      <c r="C12" s="3">
        <f>SUBTOTAL(109,Ventura[American Sign Language Total])</f>
        <v>13</v>
      </c>
      <c r="D12" s="3">
        <f>SUBTOTAL(109,Ventura[Arabic Total])</f>
        <v>1</v>
      </c>
      <c r="E12" s="3">
        <f>SUBTOTAL(109,Ventura[Armenian Total])</f>
        <v>0</v>
      </c>
      <c r="F12" s="3">
        <f>SUBTOTAL(109,Ventura[Bengali Total])</f>
        <v>0</v>
      </c>
      <c r="G12" s="3">
        <f>SUBTOTAL(109,Ventura[Chinese (Mandarin or Cantonese) Total])</f>
        <v>59</v>
      </c>
      <c r="H12" s="3">
        <f>SUBTOTAL(109,Ventura[Farsi (Persian) Total])</f>
        <v>0</v>
      </c>
      <c r="I12" s="3">
        <f>SUBTOTAL(109,Ventura[French Total])</f>
        <v>76</v>
      </c>
      <c r="J12" s="3">
        <f>SUBTOTAL(109,Ventura[German Total])</f>
        <v>20</v>
      </c>
      <c r="K12" s="3">
        <f>SUBTOTAL(109,Ventura[Hebrew Total])</f>
        <v>0</v>
      </c>
      <c r="L12" s="3">
        <f>SUBTOTAL(109,Ventura[Hindi Total])</f>
        <v>0</v>
      </c>
      <c r="M12" s="3">
        <f>SUBTOTAL(109,Ventura[Hmong Total])</f>
        <v>0</v>
      </c>
      <c r="N12" s="3">
        <f>SUBTOTAL(109,Ventura[Italian Total])</f>
        <v>5</v>
      </c>
      <c r="O12" s="3">
        <f>SUBTOTAL(109,Ventura[Japanese Total])</f>
        <v>4</v>
      </c>
      <c r="P12" s="3">
        <f>SUBTOTAL(109,Ventura[Korean Total])</f>
        <v>3</v>
      </c>
      <c r="Q12" s="3">
        <f>SUBTOTAL(109,Ventura[Latin Total])</f>
        <v>0</v>
      </c>
      <c r="R12" s="3">
        <f>SUBTOTAL(109,Ventura[Portuguese Total])</f>
        <v>1</v>
      </c>
      <c r="S12" s="3">
        <f>SUBTOTAL(109,Ventura[Punjabi Total])</f>
        <v>1</v>
      </c>
      <c r="T12" s="3">
        <f>SUBTOTAL(109,Ventura[Russian Total])</f>
        <v>2</v>
      </c>
      <c r="U12" s="3">
        <f>SUBTOTAL(109,Ventura[Spanish Total])</f>
        <v>1048</v>
      </c>
      <c r="V12" s="3">
        <f>SUBTOTAL(109,Ventura[Tagalog (Filipino) Total])</f>
        <v>0</v>
      </c>
      <c r="W12" s="3">
        <f>SUBTOTAL(109,Ventura[Urdu Total])</f>
        <v>0</v>
      </c>
      <c r="X12" s="3">
        <f>SUBTOTAL(109,Ventura[Vietnamese Total])</f>
        <v>0</v>
      </c>
      <c r="Y12" s="3">
        <f>SUBTOTAL(109,Ventura[Other Total])</f>
        <v>6</v>
      </c>
      <c r="Z12" s="3">
        <f>SUBTOTAL(109,Ventura[Total Seals per LEA])</f>
        <v>1239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9A6-FF3A-4520-9517-17F80B94ED69}">
  <dimension ref="A1:Z8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5" bestFit="1" customWidth="1"/>
    <col min="2" max="2" width="31.5429687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3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32</v>
      </c>
    </row>
    <row r="2" spans="1:26" ht="60.6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45" x14ac:dyDescent="0.25">
      <c r="A3" t="s">
        <v>764</v>
      </c>
      <c r="B3" s="5" t="s">
        <v>768</v>
      </c>
      <c r="C3">
        <v>0</v>
      </c>
      <c r="D3">
        <v>2</v>
      </c>
      <c r="E3">
        <v>1</v>
      </c>
      <c r="F3">
        <v>0</v>
      </c>
      <c r="G3">
        <v>14</v>
      </c>
      <c r="H3">
        <v>0</v>
      </c>
      <c r="I3">
        <v>8</v>
      </c>
      <c r="J3">
        <v>1</v>
      </c>
      <c r="K3">
        <v>0</v>
      </c>
      <c r="L3">
        <v>0</v>
      </c>
      <c r="M3">
        <v>0</v>
      </c>
      <c r="N3">
        <v>0</v>
      </c>
      <c r="O3">
        <v>8</v>
      </c>
      <c r="P3">
        <v>2</v>
      </c>
      <c r="Q3">
        <v>0</v>
      </c>
      <c r="R3">
        <v>0</v>
      </c>
      <c r="S3">
        <v>0</v>
      </c>
      <c r="T3">
        <v>0</v>
      </c>
      <c r="U3">
        <v>152</v>
      </c>
      <c r="V3">
        <v>0</v>
      </c>
      <c r="W3">
        <v>0</v>
      </c>
      <c r="X3">
        <v>0</v>
      </c>
      <c r="Y3">
        <v>2</v>
      </c>
      <c r="Z3">
        <f>SUM(Yolo[[#This Row],[American Sign Language Total]:[Other Total]])</f>
        <v>190</v>
      </c>
    </row>
    <row r="4" spans="1:26" x14ac:dyDescent="0.25">
      <c r="A4" t="s">
        <v>765</v>
      </c>
      <c r="B4" s="5" t="s">
        <v>769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5</v>
      </c>
      <c r="V4">
        <v>0</v>
      </c>
      <c r="W4">
        <v>0</v>
      </c>
      <c r="X4">
        <v>0</v>
      </c>
      <c r="Y4">
        <v>0</v>
      </c>
      <c r="Z4">
        <f>SUM(Yolo[[#This Row],[American Sign Language Total]:[Other Total]])</f>
        <v>5</v>
      </c>
    </row>
    <row r="5" spans="1:26" ht="30" x14ac:dyDescent="0.25">
      <c r="A5" t="s">
        <v>232</v>
      </c>
      <c r="B5" s="5" t="s">
        <v>770</v>
      </c>
      <c r="C5">
        <v>0</v>
      </c>
      <c r="D5">
        <v>0</v>
      </c>
      <c r="E5">
        <v>0</v>
      </c>
      <c r="F5">
        <v>0</v>
      </c>
      <c r="G5">
        <v>0</v>
      </c>
      <c r="H5">
        <v>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12</v>
      </c>
      <c r="U5">
        <v>67</v>
      </c>
      <c r="V5">
        <v>0</v>
      </c>
      <c r="W5">
        <v>0</v>
      </c>
      <c r="X5">
        <v>0</v>
      </c>
      <c r="Y5">
        <v>0</v>
      </c>
      <c r="Z5">
        <f>SUM(Yolo[[#This Row],[American Sign Language Total]:[Other Total]])</f>
        <v>84</v>
      </c>
    </row>
    <row r="6" spans="1:26" ht="14.25" customHeight="1" x14ac:dyDescent="0.25">
      <c r="A6" t="s">
        <v>766</v>
      </c>
      <c r="B6" s="5" t="s">
        <v>771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14</v>
      </c>
      <c r="V6">
        <v>0</v>
      </c>
      <c r="W6">
        <v>0</v>
      </c>
      <c r="X6">
        <v>0</v>
      </c>
      <c r="Y6">
        <v>0</v>
      </c>
      <c r="Z6">
        <f>SUM(Yolo[[#This Row],[American Sign Language Total]:[Other Total]])</f>
        <v>14</v>
      </c>
    </row>
    <row r="7" spans="1:26" x14ac:dyDescent="0.25">
      <c r="A7" t="s">
        <v>767</v>
      </c>
      <c r="B7" s="5" t="s">
        <v>772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0</v>
      </c>
      <c r="U7">
        <v>147</v>
      </c>
      <c r="V7">
        <v>0</v>
      </c>
      <c r="W7">
        <v>0</v>
      </c>
      <c r="X7">
        <v>0</v>
      </c>
      <c r="Y7">
        <v>1</v>
      </c>
      <c r="Z7">
        <f>SUM(Yolo[[#This Row],[American Sign Language Total]:[Other Total]])</f>
        <v>152</v>
      </c>
    </row>
    <row r="8" spans="1:26" x14ac:dyDescent="0.25">
      <c r="A8" s="15" t="s">
        <v>166</v>
      </c>
      <c r="B8" s="26" t="s">
        <v>575</v>
      </c>
      <c r="C8" s="3">
        <f>SUBTOTAL(109,Yolo[American Sign Language Total])</f>
        <v>1</v>
      </c>
      <c r="D8" s="3">
        <f>SUBTOTAL(109,Yolo[Arabic Total])</f>
        <v>2</v>
      </c>
      <c r="E8" s="3">
        <f>SUBTOTAL(109,Yolo[Armenian Total])</f>
        <v>1</v>
      </c>
      <c r="F8" s="3">
        <f>SUBTOTAL(109,Yolo[Bengali Total])</f>
        <v>0</v>
      </c>
      <c r="G8" s="3">
        <f>SUBTOTAL(109,Yolo[Chinese (Mandarin or Cantonese) Total])</f>
        <v>14</v>
      </c>
      <c r="H8" s="3">
        <f>SUBTOTAL(109,Yolo[Farsi (Persian) Total])</f>
        <v>5</v>
      </c>
      <c r="I8" s="3">
        <f>SUBTOTAL(109,Yolo[French Total])</f>
        <v>10</v>
      </c>
      <c r="J8" s="3">
        <f>SUBTOTAL(109,Yolo[German Total])</f>
        <v>1</v>
      </c>
      <c r="K8" s="3">
        <f>SUBTOTAL(109,Yolo[Hebrew Total])</f>
        <v>0</v>
      </c>
      <c r="L8" s="3">
        <f>SUBTOTAL(109,Yolo[Hindi Total])</f>
        <v>0</v>
      </c>
      <c r="M8" s="3">
        <f>SUBTOTAL(109,Yolo[Hmong Total])</f>
        <v>0</v>
      </c>
      <c r="N8" s="3">
        <f>SUBTOTAL(109,Yolo[Italian Total])</f>
        <v>0</v>
      </c>
      <c r="O8" s="3">
        <f>SUBTOTAL(109,Yolo[Japanese Total])</f>
        <v>8</v>
      </c>
      <c r="P8" s="3">
        <f>SUBTOTAL(109,Yolo[Korean Total])</f>
        <v>2</v>
      </c>
      <c r="Q8" s="3">
        <f>SUBTOTAL(109,Yolo[Latin Total])</f>
        <v>0</v>
      </c>
      <c r="R8" s="3">
        <f>SUBTOTAL(109,Yolo[Portuguese Total])</f>
        <v>0</v>
      </c>
      <c r="S8" s="3">
        <f>SUBTOTAL(109,Yolo[Punjabi Total])</f>
        <v>1</v>
      </c>
      <c r="T8" s="3">
        <f>SUBTOTAL(109,Yolo[Russian Total])</f>
        <v>12</v>
      </c>
      <c r="U8" s="3">
        <f>SUBTOTAL(109,Yolo[Spanish Total])</f>
        <v>385</v>
      </c>
      <c r="V8" s="3">
        <f>SUBTOTAL(109,Yolo[Tagalog (Filipino) Total])</f>
        <v>0</v>
      </c>
      <c r="W8" s="3">
        <f>SUBTOTAL(109,Yolo[Urdu Total])</f>
        <v>0</v>
      </c>
      <c r="X8" s="3">
        <f>SUBTOTAL(109,Yolo[Vietnamese Total])</f>
        <v>0</v>
      </c>
      <c r="Y8" s="3">
        <f>SUBTOTAL(109,Yolo[Other Total])</f>
        <v>3</v>
      </c>
      <c r="Z8" s="3">
        <f>SUBTOTAL(109,Yolo[Total Seals per LEA])</f>
        <v>445</v>
      </c>
    </row>
  </sheetData>
  <conditionalFormatting sqref="A1:B7">
    <cfRule type="duplicateValues" dxfId="53" priority="4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02DD-40B6-4897-8E6F-D33AB934FB3D}">
  <dimension ref="A1:Z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31.54296875" style="5" customWidth="1"/>
    <col min="2" max="2" width="26.90625" style="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816406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10" t="s">
        <v>41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773</v>
      </c>
      <c r="B3" s="5" t="s">
        <v>773</v>
      </c>
      <c r="C3">
        <v>5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5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5</v>
      </c>
      <c r="V3">
        <v>0</v>
      </c>
      <c r="W3">
        <v>0</v>
      </c>
      <c r="X3">
        <v>0</v>
      </c>
      <c r="Y3">
        <v>0</v>
      </c>
      <c r="Z3">
        <f>SUM(Yuba[[#This Row],[American Sign Language Total]:[Other Total]])</f>
        <v>15</v>
      </c>
    </row>
    <row r="4" spans="1:26" ht="45" x14ac:dyDescent="0.25">
      <c r="A4" t="s">
        <v>774</v>
      </c>
      <c r="B4" s="5" t="s">
        <v>776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</v>
      </c>
      <c r="U4">
        <v>44</v>
      </c>
      <c r="V4">
        <v>1</v>
      </c>
      <c r="W4">
        <v>0</v>
      </c>
      <c r="X4">
        <v>0</v>
      </c>
      <c r="Y4">
        <v>0</v>
      </c>
      <c r="Z4">
        <f>SUM(Yuba[[#This Row],[American Sign Language Total]:[Other Total]])</f>
        <v>47</v>
      </c>
    </row>
    <row r="5" spans="1:26" x14ac:dyDescent="0.25">
      <c r="A5" s="6" t="s">
        <v>775</v>
      </c>
      <c r="B5" s="2" t="s">
        <v>775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20</v>
      </c>
      <c r="V5" s="8">
        <v>0</v>
      </c>
      <c r="W5" s="8">
        <v>0</v>
      </c>
      <c r="X5" s="8">
        <v>0</v>
      </c>
      <c r="Y5" s="8">
        <v>0</v>
      </c>
      <c r="Z5" s="8">
        <f>SUM(Yuba[[#This Row],[American Sign Language Total]:[Other Total]])</f>
        <v>20</v>
      </c>
    </row>
    <row r="6" spans="1:26" x14ac:dyDescent="0.25">
      <c r="A6" s="15" t="s">
        <v>215</v>
      </c>
      <c r="B6" s="26" t="s">
        <v>777</v>
      </c>
      <c r="C6" s="3">
        <f>SUBTOTAL(109,Yuba[American Sign Language Total])</f>
        <v>5</v>
      </c>
      <c r="D6" s="3">
        <f>SUBTOTAL(109,Yuba[Arabic Total])</f>
        <v>0</v>
      </c>
      <c r="E6" s="3">
        <f>SUBTOTAL(109,Yuba[Armenian Total])</f>
        <v>0</v>
      </c>
      <c r="F6" s="3">
        <f>SUBTOTAL(109,Yuba[Bengali Total])</f>
        <v>0</v>
      </c>
      <c r="G6" s="3">
        <f>SUBTOTAL(109,Yuba[Chinese (Mandarin or Cantonese) Total])</f>
        <v>0</v>
      </c>
      <c r="H6" s="3">
        <f>SUBTOTAL(109,Yuba[Farsi (Persian) Total])</f>
        <v>0</v>
      </c>
      <c r="I6" s="3">
        <f>SUBTOTAL(109,Yuba[French Total])</f>
        <v>0</v>
      </c>
      <c r="J6" s="3">
        <f>SUBTOTAL(109,Yuba[German Total])</f>
        <v>0</v>
      </c>
      <c r="K6" s="3">
        <f>SUBTOTAL(109,Yuba[Hebrew Total])</f>
        <v>1</v>
      </c>
      <c r="L6" s="3">
        <f>SUBTOTAL(109,Yuba[Hindi Total])</f>
        <v>0</v>
      </c>
      <c r="M6" s="3">
        <f>SUBTOTAL(109,Yuba[Hmong Total])</f>
        <v>0</v>
      </c>
      <c r="N6" s="3">
        <f>SUBTOTAL(109,Yuba[Italian Total])</f>
        <v>5</v>
      </c>
      <c r="O6" s="3">
        <f>SUBTOTAL(109,Yuba[Japanese Total])</f>
        <v>0</v>
      </c>
      <c r="P6" s="3">
        <f>SUBTOTAL(109,Yuba[Korean Total])</f>
        <v>0</v>
      </c>
      <c r="Q6" s="3">
        <f>SUBTOTAL(109,Yuba[Latin Total])</f>
        <v>0</v>
      </c>
      <c r="R6" s="3">
        <f>SUBTOTAL(109,Yuba[Portuguese Total])</f>
        <v>0</v>
      </c>
      <c r="S6" s="3">
        <f>SUBTOTAL(109,Yuba[Punjabi Total])</f>
        <v>0</v>
      </c>
      <c r="T6" s="3">
        <f>SUBTOTAL(109,Yuba[Russian Total])</f>
        <v>1</v>
      </c>
      <c r="U6" s="3">
        <f>SUBTOTAL(109,Yuba[Spanish Total])</f>
        <v>69</v>
      </c>
      <c r="V6" s="3">
        <f>SUBTOTAL(109,Yuba[Tagalog (Filipino) Total])</f>
        <v>1</v>
      </c>
      <c r="W6" s="3">
        <f>SUBTOTAL(109,Yuba[Urdu Total])</f>
        <v>0</v>
      </c>
      <c r="X6" s="3">
        <f>SUBTOTAL(109,Yuba[Vietnamese Total])</f>
        <v>0</v>
      </c>
      <c r="Y6" s="3">
        <f>SUBTOTAL(109,Yuba[Other Total])</f>
        <v>0</v>
      </c>
      <c r="Z6" s="3">
        <f>SUBTOTAL(109,Yuba[Total Seals per LEA])</f>
        <v>82</v>
      </c>
    </row>
  </sheetData>
  <conditionalFormatting sqref="A1:B1">
    <cfRule type="duplicateValues" dxfId="52" priority="5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.453125" customWidth="1"/>
    <col min="2" max="2" width="23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31</v>
      </c>
    </row>
    <row r="2" spans="1:26" ht="75.599999999999994" thickTop="1" x14ac:dyDescent="0.25">
      <c r="A2" s="2" t="s">
        <v>66</v>
      </c>
      <c r="B2" s="2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95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178</v>
      </c>
      <c r="B3" t="s">
        <v>182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13</v>
      </c>
      <c r="V3">
        <v>0</v>
      </c>
      <c r="W3">
        <v>0</v>
      </c>
      <c r="X3">
        <v>0</v>
      </c>
      <c r="Y3">
        <v>0</v>
      </c>
      <c r="Z3">
        <f>SUM(Colusa[[#This Row],[American Sign Language Total]:[Other Total]])</f>
        <v>13</v>
      </c>
    </row>
    <row r="4" spans="1:26" x14ac:dyDescent="0.25">
      <c r="A4" t="s">
        <v>179</v>
      </c>
      <c r="B4" t="s">
        <v>183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7</v>
      </c>
      <c r="V4">
        <v>0</v>
      </c>
      <c r="W4">
        <v>0</v>
      </c>
      <c r="X4">
        <v>0</v>
      </c>
      <c r="Y4">
        <v>0</v>
      </c>
      <c r="Z4" s="6">
        <f>SUM(Colusa[[#This Row],[American Sign Language Total]:[Other Total]])</f>
        <v>7</v>
      </c>
    </row>
    <row r="5" spans="1:26" x14ac:dyDescent="0.25">
      <c r="A5" t="s">
        <v>180</v>
      </c>
      <c r="B5" t="s">
        <v>184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26</v>
      </c>
      <c r="V5">
        <v>0</v>
      </c>
      <c r="W5">
        <v>0</v>
      </c>
      <c r="X5">
        <v>0</v>
      </c>
      <c r="Y5">
        <v>0</v>
      </c>
      <c r="Z5" s="6">
        <f>SUM(Colusa[[#This Row],[American Sign Language Total]:[Other Total]])</f>
        <v>26</v>
      </c>
    </row>
    <row r="6" spans="1:26" x14ac:dyDescent="0.25">
      <c r="A6" t="s">
        <v>181</v>
      </c>
      <c r="B6" t="s">
        <v>185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40</v>
      </c>
      <c r="V6">
        <v>0</v>
      </c>
      <c r="W6">
        <v>0</v>
      </c>
      <c r="X6">
        <v>0</v>
      </c>
      <c r="Y6">
        <v>0</v>
      </c>
      <c r="Z6" s="6">
        <f>SUM(Colusa[[#This Row],[American Sign Language Total]:[Other Total]])</f>
        <v>40</v>
      </c>
    </row>
    <row r="7" spans="1:26" x14ac:dyDescent="0.25">
      <c r="A7" s="15" t="s">
        <v>186</v>
      </c>
      <c r="B7" s="26" t="s">
        <v>187</v>
      </c>
      <c r="C7">
        <f>SUBTOTAL(109,Colusa[American Sign Language Total])</f>
        <v>0</v>
      </c>
      <c r="D7">
        <f>SUBTOTAL(109,Colusa[Arabic Total])</f>
        <v>0</v>
      </c>
      <c r="E7">
        <f>SUBTOTAL(109,Colusa[Armenian Total])</f>
        <v>0</v>
      </c>
      <c r="F7">
        <f>SUBTOTAL(109,Colusa[Bengali Total])</f>
        <v>0</v>
      </c>
      <c r="G7">
        <f>SUBTOTAL(109,Colusa[Chinese (Mandarin or Cantonese) Total])</f>
        <v>0</v>
      </c>
      <c r="H7">
        <f>SUBTOTAL(109,Colusa[Farsi (Persian) Total])</f>
        <v>0</v>
      </c>
      <c r="I7">
        <f>SUBTOTAL(109,Colusa[French Total])</f>
        <v>0</v>
      </c>
      <c r="J7">
        <f>SUBTOTAL(109,Colusa[German Total])</f>
        <v>0</v>
      </c>
      <c r="K7">
        <f>SUBTOTAL(109,Colusa[Hebrew Total])</f>
        <v>0</v>
      </c>
      <c r="L7">
        <f>SUBTOTAL(109,Colusa[Hindi Total])</f>
        <v>0</v>
      </c>
      <c r="M7">
        <f>SUBTOTAL(109,Colusa[Hmong Total])</f>
        <v>0</v>
      </c>
      <c r="N7">
        <f>SUBTOTAL(109,Colusa[Italian Total])</f>
        <v>0</v>
      </c>
      <c r="O7">
        <f>SUBTOTAL(109,Colusa[Japanese Total])</f>
        <v>0</v>
      </c>
      <c r="P7">
        <f>SUBTOTAL(109,Colusa[Korean Total])</f>
        <v>0</v>
      </c>
      <c r="Q7">
        <f>SUBTOTAL(109,Colusa[Latin Total])</f>
        <v>0</v>
      </c>
      <c r="R7">
        <f>SUBTOTAL(109,Colusa[Portuguese Total])</f>
        <v>0</v>
      </c>
      <c r="S7">
        <f>SUBTOTAL(109,Colusa[Punjabi Total])</f>
        <v>0</v>
      </c>
      <c r="T7">
        <f>SUBTOTAL(109,Colusa[Russian Total])</f>
        <v>0</v>
      </c>
      <c r="U7">
        <f>SUBTOTAL(109,Colusa[Spanish Total])</f>
        <v>86</v>
      </c>
      <c r="V7">
        <f>SUBTOTAL(109,Colusa[Tagalog (Filipino) Total])</f>
        <v>0</v>
      </c>
      <c r="W7">
        <f>SUBTOTAL(109,Colusa[[Urdu Total ]])</f>
        <v>0</v>
      </c>
      <c r="X7">
        <f>SUBTOTAL(109,Colusa[Vietnamese Total])</f>
        <v>0</v>
      </c>
      <c r="Y7">
        <f>SUBTOTAL(109,Colusa[Other Total])</f>
        <v>0</v>
      </c>
      <c r="Z7">
        <f>SUBTOTAL(109,Colusa[Total Seals per LEA])</f>
        <v>86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6"/>
  <sheetViews>
    <sheetView zoomScale="98" zoomScaleNormal="98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4" style="6" bestFit="1" customWidth="1"/>
    <col min="2" max="2" width="38.1796875" bestFit="1" customWidth="1"/>
    <col min="3" max="3" width="12.453125" customWidth="1"/>
    <col min="4" max="4" width="8.453125" bestFit="1" customWidth="1"/>
    <col min="5" max="5" width="11.1796875" bestFit="1" customWidth="1"/>
    <col min="6" max="6" width="9.453125" bestFit="1" customWidth="1"/>
    <col min="7" max="7" width="11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8.9062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">
      <c r="A1" s="17" t="s">
        <v>35</v>
      </c>
    </row>
    <row r="2" spans="1:26" ht="60.6" thickTop="1" x14ac:dyDescent="0.25">
      <c r="A2" s="2" t="s">
        <v>66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4.950000000000003" customHeight="1" x14ac:dyDescent="0.25">
      <c r="A3" s="2" t="s">
        <v>201</v>
      </c>
      <c r="B3" s="5" t="s">
        <v>188</v>
      </c>
      <c r="C3" s="6">
        <v>0</v>
      </c>
      <c r="D3" s="6">
        <v>1</v>
      </c>
      <c r="E3" s="6">
        <v>0</v>
      </c>
      <c r="F3" s="6">
        <v>0</v>
      </c>
      <c r="G3" s="6">
        <v>78</v>
      </c>
      <c r="H3" s="6">
        <v>0</v>
      </c>
      <c r="I3" s="6">
        <v>57</v>
      </c>
      <c r="J3" s="6">
        <v>19</v>
      </c>
      <c r="K3" s="6">
        <v>0</v>
      </c>
      <c r="L3" s="6">
        <v>0</v>
      </c>
      <c r="M3" s="6">
        <v>0</v>
      </c>
      <c r="N3" s="6">
        <v>0</v>
      </c>
      <c r="O3" s="6">
        <v>21</v>
      </c>
      <c r="P3" s="6">
        <v>0</v>
      </c>
      <c r="Q3" s="6">
        <v>33</v>
      </c>
      <c r="R3" s="6">
        <v>0</v>
      </c>
      <c r="S3" s="6">
        <v>0</v>
      </c>
      <c r="T3" s="6">
        <v>0</v>
      </c>
      <c r="U3" s="6">
        <v>269</v>
      </c>
      <c r="V3" s="6">
        <v>0</v>
      </c>
      <c r="W3" s="6">
        <v>0</v>
      </c>
      <c r="X3" s="6">
        <v>0</v>
      </c>
      <c r="Y3" s="6">
        <v>0</v>
      </c>
      <c r="Z3" s="6">
        <f>SUM(ContraCosta[[#This Row],[American Sign Language Total]:[Other Total]])</f>
        <v>478</v>
      </c>
    </row>
    <row r="4" spans="1:26" ht="30" x14ac:dyDescent="0.25">
      <c r="A4" s="2" t="s">
        <v>202</v>
      </c>
      <c r="B4" s="5" t="s">
        <v>189</v>
      </c>
      <c r="C4" s="6">
        <v>1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11</v>
      </c>
      <c r="J4" s="6">
        <v>0</v>
      </c>
      <c r="K4" s="6">
        <v>0</v>
      </c>
      <c r="L4" s="6">
        <v>2</v>
      </c>
      <c r="M4" s="6">
        <v>0</v>
      </c>
      <c r="N4" s="6">
        <v>0</v>
      </c>
      <c r="O4" s="6">
        <v>12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68</v>
      </c>
      <c r="V4" s="6">
        <v>1</v>
      </c>
      <c r="W4" s="6">
        <v>0</v>
      </c>
      <c r="X4" s="6">
        <v>0</v>
      </c>
      <c r="Y4" s="6">
        <v>0</v>
      </c>
      <c r="Z4" s="6">
        <f>SUM(ContraCosta[[#This Row],[American Sign Language Total]:[Other Total]])</f>
        <v>95</v>
      </c>
    </row>
    <row r="5" spans="1:26" ht="30" x14ac:dyDescent="0.25">
      <c r="A5" s="2" t="s">
        <v>190</v>
      </c>
      <c r="B5" s="2" t="s">
        <v>190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22</v>
      </c>
      <c r="V5" s="6">
        <v>0</v>
      </c>
      <c r="W5" s="6">
        <v>0</v>
      </c>
      <c r="X5" s="6">
        <v>0</v>
      </c>
      <c r="Y5" s="6">
        <v>0</v>
      </c>
      <c r="Z5" s="6">
        <f>SUM(ContraCosta[[#This Row],[American Sign Language Total]:[Other Total]])</f>
        <v>22</v>
      </c>
    </row>
    <row r="6" spans="1:26" x14ac:dyDescent="0.25">
      <c r="A6" s="2" t="s">
        <v>191</v>
      </c>
      <c r="B6" s="5" t="s">
        <v>191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53</v>
      </c>
      <c r="V6" s="6">
        <v>0</v>
      </c>
      <c r="W6" s="6">
        <v>0</v>
      </c>
      <c r="X6" s="6">
        <v>0</v>
      </c>
      <c r="Y6" s="6">
        <v>0</v>
      </c>
      <c r="Z6" s="6">
        <f>SUM(ContraCosta[[#This Row],[American Sign Language Total]:[Other Total]])</f>
        <v>63</v>
      </c>
    </row>
    <row r="7" spans="1:26" x14ac:dyDescent="0.25">
      <c r="A7" s="2" t="s">
        <v>192</v>
      </c>
      <c r="B7" s="5" t="s">
        <v>192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24</v>
      </c>
      <c r="V7" s="6">
        <v>0</v>
      </c>
      <c r="W7" s="6">
        <v>0</v>
      </c>
      <c r="X7" s="6">
        <v>0</v>
      </c>
      <c r="Y7" s="6">
        <v>0</v>
      </c>
      <c r="Z7" s="6">
        <f>SUM(ContraCosta[[#This Row],[American Sign Language Total]:[Other Total]])</f>
        <v>24</v>
      </c>
    </row>
    <row r="8" spans="1:26" x14ac:dyDescent="0.25">
      <c r="A8" t="s">
        <v>203</v>
      </c>
      <c r="B8" s="5" t="s">
        <v>193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11</v>
      </c>
      <c r="V8">
        <v>1</v>
      </c>
      <c r="W8">
        <v>0</v>
      </c>
      <c r="X8">
        <v>0</v>
      </c>
      <c r="Y8">
        <v>0</v>
      </c>
      <c r="Z8">
        <f>SUM(ContraCosta[[#This Row],[American Sign Language Total]:[Other Total]])</f>
        <v>12</v>
      </c>
    </row>
    <row r="9" spans="1:26" x14ac:dyDescent="0.25">
      <c r="A9" t="s">
        <v>194</v>
      </c>
      <c r="B9" s="5" t="s">
        <v>194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16</v>
      </c>
      <c r="V9">
        <v>0</v>
      </c>
      <c r="W9">
        <v>0</v>
      </c>
      <c r="X9">
        <v>0</v>
      </c>
      <c r="Y9">
        <v>0</v>
      </c>
      <c r="Z9">
        <f>SUM(ContraCosta[[#This Row],[American Sign Language Total]:[Other Total]])</f>
        <v>16</v>
      </c>
    </row>
    <row r="10" spans="1:26" x14ac:dyDescent="0.25">
      <c r="A10" t="s">
        <v>204</v>
      </c>
      <c r="B10" t="s">
        <v>195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10</v>
      </c>
      <c r="V10">
        <v>0</v>
      </c>
      <c r="W10">
        <v>0</v>
      </c>
      <c r="X10">
        <v>0</v>
      </c>
      <c r="Y10">
        <v>0</v>
      </c>
      <c r="Z10">
        <f>SUM(ContraCosta[[#This Row],[American Sign Language Total]:[Other Total]])</f>
        <v>11</v>
      </c>
    </row>
    <row r="11" spans="1:26" ht="30.9" customHeight="1" x14ac:dyDescent="0.25">
      <c r="A11" t="s">
        <v>205</v>
      </c>
      <c r="B11" s="5" t="s">
        <v>196</v>
      </c>
      <c r="C11">
        <v>1</v>
      </c>
      <c r="D11">
        <v>2</v>
      </c>
      <c r="E11">
        <v>0</v>
      </c>
      <c r="F11">
        <v>0</v>
      </c>
      <c r="G11">
        <v>5</v>
      </c>
      <c r="H11">
        <v>0</v>
      </c>
      <c r="I11">
        <v>36</v>
      </c>
      <c r="J11">
        <v>17</v>
      </c>
      <c r="K11">
        <v>0</v>
      </c>
      <c r="L11">
        <v>0</v>
      </c>
      <c r="M11">
        <v>0</v>
      </c>
      <c r="N11">
        <v>1</v>
      </c>
      <c r="O11">
        <v>2</v>
      </c>
      <c r="P11">
        <v>4</v>
      </c>
      <c r="Q11">
        <v>0</v>
      </c>
      <c r="R11">
        <v>5</v>
      </c>
      <c r="S11">
        <v>0</v>
      </c>
      <c r="T11">
        <v>4</v>
      </c>
      <c r="U11">
        <v>285</v>
      </c>
      <c r="V11">
        <v>5</v>
      </c>
      <c r="W11">
        <v>0</v>
      </c>
      <c r="X11">
        <v>0</v>
      </c>
      <c r="Y11">
        <v>6</v>
      </c>
      <c r="Z11">
        <f>SUM(ContraCosta[[#This Row],[American Sign Language Total]:[Other Total]])</f>
        <v>373</v>
      </c>
    </row>
    <row r="12" spans="1:26" x14ac:dyDescent="0.25">
      <c r="A12" t="s">
        <v>206</v>
      </c>
      <c r="B12" t="s">
        <v>197</v>
      </c>
      <c r="C12">
        <v>0</v>
      </c>
      <c r="D12">
        <v>0</v>
      </c>
      <c r="E12">
        <v>0</v>
      </c>
      <c r="F12">
        <v>0</v>
      </c>
      <c r="G12">
        <v>7</v>
      </c>
      <c r="H12">
        <v>0</v>
      </c>
      <c r="I12">
        <v>21</v>
      </c>
      <c r="J12">
        <v>0</v>
      </c>
      <c r="K12">
        <v>0</v>
      </c>
      <c r="L12">
        <v>0</v>
      </c>
      <c r="M12">
        <v>0</v>
      </c>
      <c r="N12">
        <v>2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177</v>
      </c>
      <c r="V12">
        <v>0</v>
      </c>
      <c r="W12">
        <v>0</v>
      </c>
      <c r="X12">
        <v>0</v>
      </c>
      <c r="Y12">
        <v>0</v>
      </c>
      <c r="Z12">
        <f>SUM(ContraCosta[[#This Row],[American Sign Language Total]:[Other Total]])</f>
        <v>207</v>
      </c>
    </row>
    <row r="13" spans="1:26" x14ac:dyDescent="0.25">
      <c r="A13" t="s">
        <v>207</v>
      </c>
      <c r="B13" s="5" t="s">
        <v>198</v>
      </c>
      <c r="C13">
        <v>0</v>
      </c>
      <c r="D13">
        <v>0</v>
      </c>
      <c r="E13">
        <v>0</v>
      </c>
      <c r="F13">
        <v>0</v>
      </c>
      <c r="G13">
        <v>82</v>
      </c>
      <c r="H13">
        <v>0</v>
      </c>
      <c r="I13">
        <v>118</v>
      </c>
      <c r="J13">
        <v>0</v>
      </c>
      <c r="K13">
        <v>0</v>
      </c>
      <c r="L13">
        <v>0</v>
      </c>
      <c r="M13">
        <v>0</v>
      </c>
      <c r="N13">
        <v>0</v>
      </c>
      <c r="O13">
        <v>13</v>
      </c>
      <c r="P13">
        <v>15</v>
      </c>
      <c r="Q13">
        <v>1</v>
      </c>
      <c r="R13">
        <v>0</v>
      </c>
      <c r="S13">
        <v>0</v>
      </c>
      <c r="T13">
        <v>0</v>
      </c>
      <c r="U13">
        <v>450</v>
      </c>
      <c r="V13">
        <v>0</v>
      </c>
      <c r="W13">
        <v>0</v>
      </c>
      <c r="X13">
        <v>0</v>
      </c>
      <c r="Y13">
        <v>0</v>
      </c>
      <c r="Z13">
        <f>SUM(ContraCosta[[#This Row],[American Sign Language Total]:[Other Total]])</f>
        <v>679</v>
      </c>
    </row>
    <row r="14" spans="1:26" x14ac:dyDescent="0.25">
      <c r="A14" t="s">
        <v>199</v>
      </c>
      <c r="B14" s="5" t="s">
        <v>199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</v>
      </c>
      <c r="V14">
        <v>0</v>
      </c>
      <c r="W14">
        <v>0</v>
      </c>
      <c r="X14">
        <v>0</v>
      </c>
      <c r="Y14">
        <v>0</v>
      </c>
      <c r="Z14">
        <f>SUM(ContraCosta[[#This Row],[American Sign Language Total]:[Other Total]])</f>
        <v>1</v>
      </c>
    </row>
    <row r="15" spans="1:26" x14ac:dyDescent="0.25">
      <c r="A15" t="s">
        <v>200</v>
      </c>
      <c r="B15" s="5" t="s">
        <v>200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11</v>
      </c>
      <c r="V15">
        <v>0</v>
      </c>
      <c r="W15">
        <v>0</v>
      </c>
      <c r="X15">
        <v>0</v>
      </c>
      <c r="Y15">
        <v>0</v>
      </c>
      <c r="Z15">
        <f>SUM(ContraCosta[[#This Row],[American Sign Language Total]:[Other Total]])</f>
        <v>11</v>
      </c>
    </row>
    <row r="16" spans="1:26" x14ac:dyDescent="0.25">
      <c r="A16" s="15" t="s">
        <v>208</v>
      </c>
      <c r="B16" s="26" t="s">
        <v>1086</v>
      </c>
      <c r="C16" s="3">
        <f>SUBTOTAL(109,ContraCosta[American Sign Language Total])</f>
        <v>2</v>
      </c>
      <c r="D16" s="3">
        <f>SUBTOTAL(109,ContraCosta[Arabic Total])</f>
        <v>3</v>
      </c>
      <c r="E16" s="3">
        <f>SUBTOTAL(109,ContraCosta[Armenian Total])</f>
        <v>0</v>
      </c>
      <c r="F16" s="3">
        <f>SUBTOTAL(109,ContraCosta[Bengali Total])</f>
        <v>0</v>
      </c>
      <c r="G16" s="3">
        <f>SUBTOTAL(109,ContraCosta[Chinese (Mandarin or Cantonese) Total])</f>
        <v>172</v>
      </c>
      <c r="H16" s="3">
        <f>SUBTOTAL(109,ContraCosta[Farsi (Persian) Total])</f>
        <v>0</v>
      </c>
      <c r="I16" s="3">
        <f>SUBTOTAL(109,ContraCosta[French Total])</f>
        <v>254</v>
      </c>
      <c r="J16" s="3">
        <f>SUBTOTAL(109,ContraCosta[German Total])</f>
        <v>36</v>
      </c>
      <c r="K16" s="3">
        <f>SUBTOTAL(109,ContraCosta[Hebrew Total])</f>
        <v>0</v>
      </c>
      <c r="L16" s="3">
        <f>SUBTOTAL(109,ContraCosta[Hindi Total])</f>
        <v>2</v>
      </c>
      <c r="M16" s="3">
        <f>SUBTOTAL(109,ContraCosta[Hmong Total])</f>
        <v>0</v>
      </c>
      <c r="N16" s="3">
        <f>SUBTOTAL(109,ContraCosta[Italian Total])</f>
        <v>3</v>
      </c>
      <c r="O16" s="3">
        <f>SUBTOTAL(109,ContraCosta[Japanese Total])</f>
        <v>48</v>
      </c>
      <c r="P16" s="3">
        <f>SUBTOTAL(109,ContraCosta[Korean Total])</f>
        <v>19</v>
      </c>
      <c r="Q16" s="3">
        <f>SUBTOTAL(109,ContraCosta[Latin Total])</f>
        <v>34</v>
      </c>
      <c r="R16" s="3">
        <f>SUBTOTAL(109,ContraCosta[Portuguese Total])</f>
        <v>5</v>
      </c>
      <c r="S16" s="3">
        <f>SUBTOTAL(109,ContraCosta[Punjabi Total])</f>
        <v>0</v>
      </c>
      <c r="T16" s="3">
        <f>SUBTOTAL(109,ContraCosta[Russian Total])</f>
        <v>4</v>
      </c>
      <c r="U16" s="3">
        <f>SUBTOTAL(109,ContraCosta[Spanish Total])</f>
        <v>1397</v>
      </c>
      <c r="V16" s="3">
        <f>SUBTOTAL(109,ContraCosta[Tagalog (Filipino) Total])</f>
        <v>7</v>
      </c>
      <c r="W16" s="3">
        <f>SUBTOTAL(109,ContraCosta[Urdu Total])</f>
        <v>0</v>
      </c>
      <c r="X16" s="3">
        <f>SUBTOTAL(109,ContraCosta[Vietnamese Total])</f>
        <v>0</v>
      </c>
      <c r="Y16" s="3">
        <f>SUBTOTAL(109,ContraCosta[Other Total])</f>
        <v>6</v>
      </c>
      <c r="Z16" s="3">
        <f>SUBTOTAL(109,ContraCosta[Total Seals per LEA])</f>
        <v>1992</v>
      </c>
    </row>
  </sheetData>
  <sortState xmlns:xlrd2="http://schemas.microsoft.com/office/spreadsheetml/2017/richdata2" ref="A2:BL15">
    <sortCondition ref="A2:A15"/>
  </sortState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" bestFit="1" customWidth="1"/>
    <col min="2" max="2" width="14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1.179687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29</v>
      </c>
    </row>
    <row r="2" spans="1:26" ht="60.6" thickTop="1" x14ac:dyDescent="0.25">
      <c r="A2" s="2" t="s">
        <v>70</v>
      </c>
      <c r="B2" s="2" t="s">
        <v>71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ht="30" x14ac:dyDescent="0.25">
      <c r="A3" s="5" t="s">
        <v>209</v>
      </c>
      <c r="B3" t="s">
        <v>72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</v>
      </c>
      <c r="V3">
        <v>0</v>
      </c>
      <c r="W3">
        <v>0</v>
      </c>
      <c r="X3">
        <v>0</v>
      </c>
      <c r="Y3">
        <v>2</v>
      </c>
      <c r="Z3">
        <f>SUM(DelNorte[[American Sign Language Total]:[Other Total]])</f>
        <v>13</v>
      </c>
    </row>
    <row r="4" spans="1:26" x14ac:dyDescent="0.25">
      <c r="A4" s="15" t="s">
        <v>158</v>
      </c>
      <c r="B4" s="26" t="s">
        <v>210</v>
      </c>
      <c r="C4">
        <f>SUBTOTAL(109,DelNorte[American Sign Language Total])</f>
        <v>0</v>
      </c>
      <c r="D4">
        <f>SUBTOTAL(109,DelNorte[Arabic Total])</f>
        <v>0</v>
      </c>
      <c r="E4">
        <f>SUBTOTAL(109,DelNorte[Armenian Total])</f>
        <v>0</v>
      </c>
      <c r="F4">
        <f>SUBTOTAL(109,DelNorte[Bengali Total])</f>
        <v>0</v>
      </c>
      <c r="G4">
        <f>SUBTOTAL(109,DelNorte[Chinese (Mandarin or Cantonese) Total])</f>
        <v>1</v>
      </c>
      <c r="H4">
        <f>SUBTOTAL(109,DelNorte[Farsi (Persian) Total])</f>
        <v>0</v>
      </c>
      <c r="I4">
        <f>SUBTOTAL(109,DelNorte[French Total])</f>
        <v>0</v>
      </c>
      <c r="J4">
        <f>SUBTOTAL(109,DelNorte[German Total])</f>
        <v>0</v>
      </c>
      <c r="K4">
        <f>SUBTOTAL(109,DelNorte[Hebrew Total])</f>
        <v>0</v>
      </c>
      <c r="L4">
        <f>SUBTOTAL(109,DelNorte[Hindi Total])</f>
        <v>0</v>
      </c>
      <c r="M4">
        <f>SUBTOTAL(109,DelNorte[Hmong Total])</f>
        <v>1</v>
      </c>
      <c r="N4">
        <f>SUBTOTAL(109,DelNorte[Italian Total])</f>
        <v>0</v>
      </c>
      <c r="O4">
        <f>SUBTOTAL(109,DelNorte[Japanese Total])</f>
        <v>0</v>
      </c>
      <c r="P4">
        <f>SUBTOTAL(109,DelNorte[Korean Total])</f>
        <v>0</v>
      </c>
      <c r="Q4">
        <f>SUBTOTAL(109,DelNorte[Latin Total])</f>
        <v>0</v>
      </c>
      <c r="R4">
        <f>SUBTOTAL(109,DelNorte[Portuguese Total])</f>
        <v>0</v>
      </c>
      <c r="S4">
        <f>SUBTOTAL(109,DelNorte[Punjabi Total])</f>
        <v>0</v>
      </c>
      <c r="T4">
        <f>SUBTOTAL(109,DelNorte[Russian Total])</f>
        <v>0</v>
      </c>
      <c r="U4">
        <f>SUBTOTAL(109,DelNorte[Spanish Total])</f>
        <v>9</v>
      </c>
      <c r="V4">
        <f>SUBTOTAL(109,DelNorte[Tagalog (Filipino) Total])</f>
        <v>0</v>
      </c>
      <c r="W4">
        <f>SUBTOTAL(109,DelNorte[Urdu Total])</f>
        <v>0</v>
      </c>
      <c r="X4">
        <f>SUBTOTAL(109,DelNorte[Vietnamese Total])</f>
        <v>0</v>
      </c>
      <c r="Y4">
        <f>SUBTOTAL(109,DelNorte[Other Total])</f>
        <v>2</v>
      </c>
      <c r="Z4">
        <f>SUBTOTAL(109,DelNorte[Total Seals per LEA])</f>
        <v>13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3.453125" bestFit="1" customWidth="1"/>
    <col min="2" max="2" width="27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10.6328125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18" thickBot="1" x14ac:dyDescent="0.35">
      <c r="A1" s="7" t="s">
        <v>39</v>
      </c>
    </row>
    <row r="2" spans="1:26" ht="75.599999999999994" thickTop="1" x14ac:dyDescent="0.25">
      <c r="A2" s="2" t="s">
        <v>66</v>
      </c>
      <c r="B2" s="6" t="s">
        <v>67</v>
      </c>
      <c r="C2" s="2" t="s">
        <v>52</v>
      </c>
      <c r="D2" s="2" t="s">
        <v>64</v>
      </c>
      <c r="E2" s="2" t="s">
        <v>82</v>
      </c>
      <c r="F2" s="2" t="s">
        <v>90</v>
      </c>
      <c r="G2" s="2" t="s">
        <v>104</v>
      </c>
      <c r="H2" s="2" t="s">
        <v>91</v>
      </c>
      <c r="I2" s="2" t="s">
        <v>53</v>
      </c>
      <c r="J2" s="2" t="s">
        <v>54</v>
      </c>
      <c r="K2" s="2" t="s">
        <v>81</v>
      </c>
      <c r="L2" s="2" t="s">
        <v>92</v>
      </c>
      <c r="M2" s="2" t="s">
        <v>68</v>
      </c>
      <c r="N2" s="2" t="s">
        <v>65</v>
      </c>
      <c r="O2" s="2" t="s">
        <v>69</v>
      </c>
      <c r="P2" s="2" t="s">
        <v>56</v>
      </c>
      <c r="Q2" s="2" t="s">
        <v>57</v>
      </c>
      <c r="R2" s="2" t="s">
        <v>83</v>
      </c>
      <c r="S2" s="2" t="s">
        <v>93</v>
      </c>
      <c r="T2" s="2" t="s">
        <v>84</v>
      </c>
      <c r="U2" s="2" t="s">
        <v>58</v>
      </c>
      <c r="V2" s="2" t="s">
        <v>80</v>
      </c>
      <c r="W2" s="2" t="s">
        <v>94</v>
      </c>
      <c r="X2" s="2" t="s">
        <v>59</v>
      </c>
      <c r="Y2" s="2" t="s">
        <v>60</v>
      </c>
      <c r="Z2" s="2" t="s">
        <v>89</v>
      </c>
    </row>
    <row r="3" spans="1:26" x14ac:dyDescent="0.25">
      <c r="A3" t="s">
        <v>211</v>
      </c>
      <c r="B3" t="s">
        <v>211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</v>
      </c>
      <c r="V3">
        <v>0</v>
      </c>
      <c r="W3">
        <v>0</v>
      </c>
      <c r="X3">
        <v>0</v>
      </c>
      <c r="Y3">
        <v>0</v>
      </c>
      <c r="Z3">
        <f>SUM(ElDorado[[#This Row],[American Sign Language Total]:[Other Total]])</f>
        <v>5</v>
      </c>
    </row>
    <row r="4" spans="1:26" ht="45" x14ac:dyDescent="0.25">
      <c r="A4" t="s">
        <v>212</v>
      </c>
      <c r="B4" s="5" t="s">
        <v>214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26</v>
      </c>
      <c r="J4">
        <v>4</v>
      </c>
      <c r="K4">
        <v>0</v>
      </c>
      <c r="L4">
        <v>0</v>
      </c>
      <c r="M4">
        <v>0</v>
      </c>
      <c r="N4">
        <v>4</v>
      </c>
      <c r="O4">
        <v>7</v>
      </c>
      <c r="P4">
        <v>0</v>
      </c>
      <c r="Q4">
        <v>0</v>
      </c>
      <c r="R4">
        <v>0</v>
      </c>
      <c r="S4">
        <v>0</v>
      </c>
      <c r="T4">
        <v>0</v>
      </c>
      <c r="U4">
        <v>96</v>
      </c>
      <c r="V4">
        <v>0</v>
      </c>
      <c r="W4">
        <v>0</v>
      </c>
      <c r="X4">
        <v>0</v>
      </c>
      <c r="Y4">
        <v>0</v>
      </c>
      <c r="Z4">
        <f>SUM(ElDorado[[#This Row],[American Sign Language Total]:[Other Total]])</f>
        <v>137</v>
      </c>
    </row>
    <row r="5" spans="1:26" x14ac:dyDescent="0.25">
      <c r="A5" t="s">
        <v>213</v>
      </c>
      <c r="B5" t="s">
        <v>73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56</v>
      </c>
      <c r="V5">
        <v>0</v>
      </c>
      <c r="W5">
        <v>0</v>
      </c>
      <c r="X5">
        <v>0</v>
      </c>
      <c r="Y5">
        <v>1</v>
      </c>
      <c r="Z5">
        <f>SUM(ElDorado[[#This Row],[American Sign Language Total]:[Other Total]])</f>
        <v>57</v>
      </c>
    </row>
    <row r="6" spans="1:26" x14ac:dyDescent="0.25">
      <c r="A6" s="15" t="s">
        <v>215</v>
      </c>
      <c r="B6" s="26" t="s">
        <v>216</v>
      </c>
      <c r="C6">
        <f>SUBTOTAL(109,ElDorado[American Sign Language Total])</f>
        <v>0</v>
      </c>
      <c r="D6">
        <f>SUBTOTAL(109,ElDorado[Arabic Total])</f>
        <v>0</v>
      </c>
      <c r="E6">
        <f>SUBTOTAL(109,ElDorado[Armenian Total])</f>
        <v>0</v>
      </c>
      <c r="F6">
        <f>SUBTOTAL(109,ElDorado[Bengali Total])</f>
        <v>0</v>
      </c>
      <c r="G6">
        <f>SUBTOTAL(109,ElDorado[Chinese (Mandarin or Cantonese) Total])</f>
        <v>0</v>
      </c>
      <c r="H6">
        <f>SUBTOTAL(109,ElDorado[Farsi (Persian) Total])</f>
        <v>0</v>
      </c>
      <c r="I6">
        <f>SUBTOTAL(109,ElDorado[French Total])</f>
        <v>26</v>
      </c>
      <c r="J6">
        <f>SUBTOTAL(109,ElDorado[German Total])</f>
        <v>5</v>
      </c>
      <c r="K6">
        <f>SUBTOTAL(109,ElDorado[Hebrew Total])</f>
        <v>0</v>
      </c>
      <c r="L6">
        <f>SUBTOTAL(109,ElDorado[Hindi Total])</f>
        <v>0</v>
      </c>
      <c r="M6">
        <f>SUBTOTAL(109,ElDorado[Hmong Total])</f>
        <v>0</v>
      </c>
      <c r="N6">
        <f>SUBTOTAL(109,ElDorado[Italian Total])</f>
        <v>4</v>
      </c>
      <c r="O6">
        <f>SUBTOTAL(109,ElDorado[Japanese Total])</f>
        <v>7</v>
      </c>
      <c r="P6">
        <f>SUBTOTAL(109,ElDorado[Korean Total])</f>
        <v>0</v>
      </c>
      <c r="Q6">
        <f>SUBTOTAL(109,ElDorado[Latin Total])</f>
        <v>0</v>
      </c>
      <c r="R6">
        <f>SUBTOTAL(109,ElDorado[Portuguese Total])</f>
        <v>0</v>
      </c>
      <c r="S6">
        <f>SUBTOTAL(109,ElDorado[Punjabi Total])</f>
        <v>0</v>
      </c>
      <c r="T6">
        <f>SUBTOTAL(109,ElDorado[Russian Total])</f>
        <v>0</v>
      </c>
      <c r="U6">
        <f>SUBTOTAL(109,ElDorado[Spanish Total])</f>
        <v>156</v>
      </c>
      <c r="V6">
        <f>SUBTOTAL(109,ElDorado[Tagalog (Filipino) Total])</f>
        <v>0</v>
      </c>
      <c r="W6">
        <f>SUBTOTAL(109,ElDorado[Urdu Total])</f>
        <v>0</v>
      </c>
      <c r="X6">
        <f>SUBTOTAL(109,ElDorado[Vietnamese Total])</f>
        <v>0</v>
      </c>
      <c r="Y6">
        <f>SUBTOTAL(109,ElDorado[Other Total])</f>
        <v>1</v>
      </c>
      <c r="Z6">
        <f>SUBTOTAL(109,ElDorado[Total Seals per LEA])</f>
        <v>199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8</vt:i4>
      </vt:variant>
    </vt:vector>
  </HeadingPairs>
  <TitlesOfParts>
    <vt:vector size="64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Los Angeles Unified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Sierra</vt:lpstr>
      <vt:lpstr>Siskiyou</vt:lpstr>
      <vt:lpstr>Solano</vt:lpstr>
      <vt:lpstr>Sonoma</vt:lpstr>
      <vt:lpstr>Stanislaus</vt:lpstr>
      <vt:lpstr>Sutter</vt:lpstr>
      <vt:lpstr>Tehama</vt:lpstr>
      <vt:lpstr>Tulare</vt:lpstr>
      <vt:lpstr>Tuolumne</vt:lpstr>
      <vt:lpstr>Ventura</vt:lpstr>
      <vt:lpstr>Yolo</vt:lpstr>
      <vt:lpstr>Yuba</vt:lpstr>
      <vt:lpstr>'County Totals'!Alameda</vt:lpstr>
      <vt:lpstr>Placer!Alameda</vt:lpstr>
      <vt:lpstr>Alameda</vt:lpstr>
      <vt:lpstr>'County Totals'!Placer</vt:lpstr>
      <vt:lpstr>Placer</vt:lpstr>
      <vt:lpstr>'County Totals'!TableAlameda</vt:lpstr>
      <vt:lpstr>Placer!TableAlameda</vt:lpstr>
      <vt:lpstr>TableAlameda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2023-24 - Multilingual Learners (CA Dept of Education)</dc:title>
  <dc:subject>This spreadsheet provides county, district, and school participation information and language totals for the 2023-24 California State Seal of Biliteracy (SSB) program.</dc:subject>
  <dc:creator/>
  <cp:lastModifiedBy/>
  <dcterms:created xsi:type="dcterms:W3CDTF">2024-10-02T21:23:51Z</dcterms:created>
  <dcterms:modified xsi:type="dcterms:W3CDTF">2025-02-26T18:08:16Z</dcterms:modified>
</cp:coreProperties>
</file>