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abreupark\AppData\Local\Adobe\Contribute 6.5\en_US\Sites\Site3\sp\ml\documents\"/>
    </mc:Choice>
  </mc:AlternateContent>
  <xr:revisionPtr revIDLastSave="0" documentId="13_ncr:1_{93C61FEE-58DF-41E6-AB1D-7DD6CD4BB7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unty Totals" sheetId="60" r:id="rId1"/>
    <sheet name="Alameda" sheetId="61" r:id="rId2"/>
    <sheet name="Butte" sheetId="62" r:id="rId3"/>
    <sheet name="Contra Costa" sheetId="63" r:id="rId4"/>
    <sheet name="El Dorado" sheetId="64" r:id="rId5"/>
    <sheet name="Fresno" sheetId="65" r:id="rId6"/>
    <sheet name="Glenn" sheetId="66" r:id="rId7"/>
    <sheet name="Humboldt" sheetId="67" r:id="rId8"/>
    <sheet name="Imperial" sheetId="68" r:id="rId9"/>
    <sheet name="Inyo" sheetId="69" r:id="rId10"/>
    <sheet name="Kern" sheetId="70" r:id="rId11"/>
    <sheet name="Kings" sheetId="71" r:id="rId12"/>
    <sheet name="Lake" sheetId="72" r:id="rId13"/>
    <sheet name="Lassen" sheetId="73" r:id="rId14"/>
    <sheet name="Los Angeles" sheetId="74" r:id="rId15"/>
    <sheet name="Madera" sheetId="43" r:id="rId16"/>
    <sheet name="Marin" sheetId="44" r:id="rId17"/>
    <sheet name="Mendocino" sheetId="46" r:id="rId18"/>
    <sheet name="Mono" sheetId="15" r:id="rId19"/>
    <sheet name="Monterey" sheetId="16" r:id="rId20"/>
    <sheet name="Napa" sheetId="17" r:id="rId21"/>
    <sheet name="Nevada" sheetId="18" r:id="rId22"/>
    <sheet name="Orange" sheetId="19" r:id="rId23"/>
    <sheet name="Placer" sheetId="20" r:id="rId24"/>
    <sheet name="Plumas" sheetId="21" r:id="rId25"/>
    <sheet name="Riverside" sheetId="22" r:id="rId26"/>
    <sheet name="Sacramento" sheetId="23" r:id="rId27"/>
    <sheet name="San Benito" sheetId="89" r:id="rId28"/>
    <sheet name="San Bernardino" sheetId="12" r:id="rId29"/>
    <sheet name="San Diego" sheetId="11" r:id="rId30"/>
    <sheet name="San Francisco" sheetId="10" r:id="rId31"/>
    <sheet name="San Joaquin" sheetId="13" r:id="rId32"/>
    <sheet name="San Luis Obispo" sheetId="7" r:id="rId33"/>
    <sheet name="San Mateo" sheetId="3" r:id="rId34"/>
    <sheet name="Santa Barbara" sheetId="4" r:id="rId35"/>
    <sheet name="Santa Clara" sheetId="77" r:id="rId36"/>
    <sheet name="Santa Cruz" sheetId="90" r:id="rId37"/>
    <sheet name="Shasta" sheetId="78" r:id="rId38"/>
    <sheet name="Solano" sheetId="79" r:id="rId39"/>
    <sheet name="Sonoma" sheetId="80" r:id="rId40"/>
    <sheet name="Stanislaus" sheetId="81" r:id="rId41"/>
    <sheet name="Sutter" sheetId="82" r:id="rId42"/>
    <sheet name="Tehama" sheetId="83" r:id="rId43"/>
    <sheet name="Tulare" sheetId="84" r:id="rId44"/>
    <sheet name="Ventura" sheetId="86" r:id="rId45"/>
    <sheet name="Yolo" sheetId="87" r:id="rId46"/>
    <sheet name="Yuba" sheetId="88" r:id="rId47"/>
  </sheets>
  <definedNames>
    <definedName name="_xlnm._FilterDatabase" localSheetId="1" hidden="1">Alameda!$B$8:$B$8</definedName>
    <definedName name="_GoBack" localSheetId="14">'Los Angeles'!$B$24</definedName>
    <definedName name="_xlnm.Criteria" localSheetId="1">Alameda!$B$8:$B$8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60" l="1"/>
  <c r="E41" i="60"/>
  <c r="F41" i="60"/>
  <c r="G41" i="60"/>
  <c r="H41" i="60"/>
  <c r="I41" i="60"/>
  <c r="J41" i="60"/>
  <c r="K41" i="60"/>
  <c r="L41" i="60"/>
  <c r="M41" i="60"/>
  <c r="N41" i="60"/>
  <c r="D41" i="60"/>
  <c r="O41" i="60" s="1"/>
  <c r="E17" i="60"/>
  <c r="F17" i="60"/>
  <c r="G17" i="60"/>
  <c r="H17" i="60"/>
  <c r="I17" i="60"/>
  <c r="J17" i="60"/>
  <c r="K17" i="60"/>
  <c r="L17" i="60"/>
  <c r="M17" i="60"/>
  <c r="N17" i="60"/>
  <c r="C4" i="73"/>
  <c r="D17" i="60" s="1"/>
  <c r="O17" i="60" s="1"/>
  <c r="E16" i="60"/>
  <c r="F16" i="60"/>
  <c r="G16" i="60"/>
  <c r="H16" i="60"/>
  <c r="I16" i="60"/>
  <c r="J16" i="60"/>
  <c r="K16" i="60"/>
  <c r="L16" i="60"/>
  <c r="M16" i="60"/>
  <c r="N16" i="60"/>
  <c r="D16" i="60"/>
  <c r="O16" i="60" s="1"/>
  <c r="M5" i="90" l="1"/>
  <c r="N40" i="60" s="1"/>
  <c r="L5" i="90"/>
  <c r="M40" i="60" s="1"/>
  <c r="K5" i="90"/>
  <c r="L40" i="60" s="1"/>
  <c r="J5" i="90"/>
  <c r="K40" i="60" s="1"/>
  <c r="I5" i="90"/>
  <c r="J40" i="60" s="1"/>
  <c r="H5" i="90"/>
  <c r="I40" i="60" s="1"/>
  <c r="G5" i="90"/>
  <c r="H40" i="60" s="1"/>
  <c r="F5" i="90"/>
  <c r="G40" i="60" s="1"/>
  <c r="E5" i="90"/>
  <c r="F40" i="60" s="1"/>
  <c r="D5" i="90"/>
  <c r="E40" i="60" s="1"/>
  <c r="C5" i="90"/>
  <c r="D40" i="60" s="1"/>
  <c r="D11" i="77"/>
  <c r="E39" i="60" s="1"/>
  <c r="E11" i="77"/>
  <c r="F39" i="60" s="1"/>
  <c r="F11" i="77"/>
  <c r="G39" i="60" s="1"/>
  <c r="G11" i="77"/>
  <c r="H39" i="60" s="1"/>
  <c r="H11" i="77"/>
  <c r="I39" i="60" s="1"/>
  <c r="I11" i="77"/>
  <c r="J39" i="60" s="1"/>
  <c r="J11" i="77"/>
  <c r="K39" i="60" s="1"/>
  <c r="K11" i="77"/>
  <c r="L39" i="60" s="1"/>
  <c r="L11" i="77"/>
  <c r="M39" i="60" s="1"/>
  <c r="M11" i="77"/>
  <c r="N39" i="60" s="1"/>
  <c r="C11" i="77"/>
  <c r="D39" i="60" s="1"/>
  <c r="O39" i="60" s="1"/>
  <c r="D7" i="4"/>
  <c r="E38" i="60" s="1"/>
  <c r="E7" i="4"/>
  <c r="F38" i="60" s="1"/>
  <c r="F7" i="4"/>
  <c r="G38" i="60" s="1"/>
  <c r="G7" i="4"/>
  <c r="H38" i="60" s="1"/>
  <c r="H7" i="4"/>
  <c r="I38" i="60" s="1"/>
  <c r="I7" i="4"/>
  <c r="J38" i="60" s="1"/>
  <c r="J7" i="4"/>
  <c r="K38" i="60" s="1"/>
  <c r="K7" i="4"/>
  <c r="L38" i="60" s="1"/>
  <c r="L7" i="4"/>
  <c r="M38" i="60" s="1"/>
  <c r="M7" i="4"/>
  <c r="N38" i="60" s="1"/>
  <c r="D8" i="3"/>
  <c r="E37" i="60" s="1"/>
  <c r="E8" i="3"/>
  <c r="F37" i="60" s="1"/>
  <c r="F8" i="3"/>
  <c r="G37" i="60" s="1"/>
  <c r="G8" i="3"/>
  <c r="H37" i="60" s="1"/>
  <c r="H8" i="3"/>
  <c r="I37" i="60" s="1"/>
  <c r="I8" i="3"/>
  <c r="J37" i="60" s="1"/>
  <c r="J8" i="3"/>
  <c r="K37" i="60" s="1"/>
  <c r="K8" i="3"/>
  <c r="L37" i="60" s="1"/>
  <c r="L8" i="3"/>
  <c r="M37" i="60" s="1"/>
  <c r="M8" i="3"/>
  <c r="N37" i="60" s="1"/>
  <c r="C8" i="3"/>
  <c r="D37" i="60" s="1"/>
  <c r="D8" i="7"/>
  <c r="E36" i="60" s="1"/>
  <c r="E8" i="7"/>
  <c r="F36" i="60" s="1"/>
  <c r="F8" i="7"/>
  <c r="G36" i="60" s="1"/>
  <c r="G8" i="7"/>
  <c r="H36" i="60" s="1"/>
  <c r="H8" i="7"/>
  <c r="I36" i="60" s="1"/>
  <c r="I8" i="7"/>
  <c r="J36" i="60" s="1"/>
  <c r="J8" i="7"/>
  <c r="K36" i="60" s="1"/>
  <c r="K8" i="7"/>
  <c r="L36" i="60" s="1"/>
  <c r="L8" i="7"/>
  <c r="M36" i="60" s="1"/>
  <c r="M8" i="7"/>
  <c r="N36" i="60" s="1"/>
  <c r="C8" i="7"/>
  <c r="D36" i="60" s="1"/>
  <c r="O36" i="60" s="1"/>
  <c r="D11" i="13"/>
  <c r="E35" i="60" s="1"/>
  <c r="E11" i="13"/>
  <c r="F35" i="60" s="1"/>
  <c r="F11" i="13"/>
  <c r="G35" i="60" s="1"/>
  <c r="G11" i="13"/>
  <c r="H35" i="60" s="1"/>
  <c r="H11" i="13"/>
  <c r="I35" i="60" s="1"/>
  <c r="I11" i="13"/>
  <c r="J35" i="60" s="1"/>
  <c r="J11" i="13"/>
  <c r="K35" i="60" s="1"/>
  <c r="K11" i="13"/>
  <c r="L35" i="60" s="1"/>
  <c r="L11" i="13"/>
  <c r="M35" i="60" s="1"/>
  <c r="M11" i="13"/>
  <c r="N35" i="60" s="1"/>
  <c r="C11" i="13"/>
  <c r="D35" i="60" s="1"/>
  <c r="D4" i="10"/>
  <c r="E34" i="60" s="1"/>
  <c r="E4" i="10"/>
  <c r="F34" i="60" s="1"/>
  <c r="F4" i="10"/>
  <c r="G34" i="60" s="1"/>
  <c r="G4" i="10"/>
  <c r="H34" i="60" s="1"/>
  <c r="H4" i="10"/>
  <c r="I34" i="60" s="1"/>
  <c r="I4" i="10"/>
  <c r="J34" i="60" s="1"/>
  <c r="J4" i="10"/>
  <c r="K34" i="60" s="1"/>
  <c r="K4" i="10"/>
  <c r="L34" i="60" s="1"/>
  <c r="L4" i="10"/>
  <c r="M34" i="60" s="1"/>
  <c r="M4" i="10"/>
  <c r="N34" i="60" s="1"/>
  <c r="C4" i="10"/>
  <c r="D34" i="60" s="1"/>
  <c r="D12" i="11"/>
  <c r="E33" i="60" s="1"/>
  <c r="E12" i="11"/>
  <c r="F33" i="60" s="1"/>
  <c r="F12" i="11"/>
  <c r="G33" i="60" s="1"/>
  <c r="G12" i="11"/>
  <c r="H33" i="60" s="1"/>
  <c r="H12" i="11"/>
  <c r="I33" i="60" s="1"/>
  <c r="I12" i="11"/>
  <c r="J33" i="60" s="1"/>
  <c r="J12" i="11"/>
  <c r="K33" i="60" s="1"/>
  <c r="K12" i="11"/>
  <c r="L33" i="60" s="1"/>
  <c r="L12" i="11"/>
  <c r="M33" i="60" s="1"/>
  <c r="M12" i="11"/>
  <c r="N33" i="60" s="1"/>
  <c r="C12" i="11"/>
  <c r="D33" i="60" s="1"/>
  <c r="D15" i="12"/>
  <c r="E32" i="60" s="1"/>
  <c r="E15" i="12"/>
  <c r="F32" i="60" s="1"/>
  <c r="F15" i="12"/>
  <c r="G32" i="60" s="1"/>
  <c r="G15" i="12"/>
  <c r="H32" i="60" s="1"/>
  <c r="H15" i="12"/>
  <c r="I32" i="60" s="1"/>
  <c r="I15" i="12"/>
  <c r="J32" i="60" s="1"/>
  <c r="J15" i="12"/>
  <c r="K32" i="60" s="1"/>
  <c r="K15" i="12"/>
  <c r="L32" i="60" s="1"/>
  <c r="L15" i="12"/>
  <c r="M32" i="60" s="1"/>
  <c r="M15" i="12"/>
  <c r="N32" i="60" s="1"/>
  <c r="C15" i="12"/>
  <c r="D32" i="60" s="1"/>
  <c r="D12" i="23"/>
  <c r="E30" i="60" s="1"/>
  <c r="E12" i="23"/>
  <c r="F30" i="60" s="1"/>
  <c r="F12" i="23"/>
  <c r="G30" i="60" s="1"/>
  <c r="G12" i="23"/>
  <c r="H30" i="60" s="1"/>
  <c r="H12" i="23"/>
  <c r="I30" i="60" s="1"/>
  <c r="I12" i="23"/>
  <c r="J30" i="60" s="1"/>
  <c r="J12" i="23"/>
  <c r="K30" i="60" s="1"/>
  <c r="K12" i="23"/>
  <c r="L30" i="60" s="1"/>
  <c r="L12" i="23"/>
  <c r="M30" i="60" s="1"/>
  <c r="M12" i="23"/>
  <c r="N30" i="60" s="1"/>
  <c r="C12" i="23"/>
  <c r="D30" i="60" s="1"/>
  <c r="D18" i="22"/>
  <c r="E29" i="60" s="1"/>
  <c r="E18" i="22"/>
  <c r="F29" i="60" s="1"/>
  <c r="F18" i="22"/>
  <c r="G29" i="60" s="1"/>
  <c r="G18" i="22"/>
  <c r="H29" i="60" s="1"/>
  <c r="H18" i="22"/>
  <c r="I29" i="60" s="1"/>
  <c r="I18" i="22"/>
  <c r="J29" i="60" s="1"/>
  <c r="J18" i="22"/>
  <c r="K29" i="60" s="1"/>
  <c r="K18" i="22"/>
  <c r="L29" i="60" s="1"/>
  <c r="L18" i="22"/>
  <c r="M29" i="60" s="1"/>
  <c r="M18" i="22"/>
  <c r="N29" i="60" s="1"/>
  <c r="C18" i="22"/>
  <c r="D29" i="60" s="1"/>
  <c r="D4" i="21"/>
  <c r="E28" i="60" s="1"/>
  <c r="E4" i="21"/>
  <c r="F28" i="60" s="1"/>
  <c r="F4" i="21"/>
  <c r="G28" i="60" s="1"/>
  <c r="G4" i="21"/>
  <c r="H28" i="60" s="1"/>
  <c r="H4" i="21"/>
  <c r="I28" i="60" s="1"/>
  <c r="I4" i="21"/>
  <c r="J28" i="60" s="1"/>
  <c r="J4" i="21"/>
  <c r="K28" i="60" s="1"/>
  <c r="K4" i="21"/>
  <c r="L28" i="60" s="1"/>
  <c r="L4" i="21"/>
  <c r="M28" i="60" s="1"/>
  <c r="M4" i="21"/>
  <c r="N28" i="60" s="1"/>
  <c r="C4" i="21"/>
  <c r="D28" i="60" s="1"/>
  <c r="D8" i="20"/>
  <c r="E27" i="60" s="1"/>
  <c r="E8" i="20"/>
  <c r="F27" i="60" s="1"/>
  <c r="F8" i="20"/>
  <c r="G27" i="60" s="1"/>
  <c r="G8" i="20"/>
  <c r="H27" i="60" s="1"/>
  <c r="H8" i="20"/>
  <c r="I27" i="60" s="1"/>
  <c r="I8" i="20"/>
  <c r="J27" i="60" s="1"/>
  <c r="J8" i="20"/>
  <c r="K27" i="60" s="1"/>
  <c r="K8" i="20"/>
  <c r="L27" i="60" s="1"/>
  <c r="L8" i="20"/>
  <c r="M27" i="60" s="1"/>
  <c r="M8" i="20"/>
  <c r="N27" i="60" s="1"/>
  <c r="C8" i="20"/>
  <c r="D27" i="60" s="1"/>
  <c r="O27" i="60" s="1"/>
  <c r="D17" i="19"/>
  <c r="E26" i="60" s="1"/>
  <c r="E17" i="19"/>
  <c r="F26" i="60" s="1"/>
  <c r="F17" i="19"/>
  <c r="G26" i="60" s="1"/>
  <c r="G17" i="19"/>
  <c r="H26" i="60" s="1"/>
  <c r="H17" i="19"/>
  <c r="I26" i="60" s="1"/>
  <c r="I17" i="19"/>
  <c r="J26" i="60" s="1"/>
  <c r="J17" i="19"/>
  <c r="K26" i="60" s="1"/>
  <c r="K17" i="19"/>
  <c r="L26" i="60" s="1"/>
  <c r="L17" i="19"/>
  <c r="M26" i="60" s="1"/>
  <c r="M17" i="19"/>
  <c r="N26" i="60" s="1"/>
  <c r="C17" i="19"/>
  <c r="D26" i="60" s="1"/>
  <c r="D5" i="18"/>
  <c r="E25" i="60" s="1"/>
  <c r="E5" i="18"/>
  <c r="F25" i="60" s="1"/>
  <c r="F5" i="18"/>
  <c r="G25" i="60" s="1"/>
  <c r="G5" i="18"/>
  <c r="H25" i="60" s="1"/>
  <c r="H5" i="18"/>
  <c r="I25" i="60" s="1"/>
  <c r="I5" i="18"/>
  <c r="J25" i="60" s="1"/>
  <c r="J5" i="18"/>
  <c r="K25" i="60" s="1"/>
  <c r="K5" i="18"/>
  <c r="L25" i="60" s="1"/>
  <c r="L5" i="18"/>
  <c r="M25" i="60" s="1"/>
  <c r="M5" i="18"/>
  <c r="N25" i="60" s="1"/>
  <c r="C5" i="18"/>
  <c r="D25" i="60" s="1"/>
  <c r="D5" i="17"/>
  <c r="E24" i="60" s="1"/>
  <c r="E5" i="17"/>
  <c r="F24" i="60" s="1"/>
  <c r="F5" i="17"/>
  <c r="G24" i="60" s="1"/>
  <c r="G5" i="17"/>
  <c r="H24" i="60" s="1"/>
  <c r="H5" i="17"/>
  <c r="I24" i="60" s="1"/>
  <c r="I5" i="17"/>
  <c r="J24" i="60" s="1"/>
  <c r="J5" i="17"/>
  <c r="K24" i="60" s="1"/>
  <c r="K5" i="17"/>
  <c r="L24" i="60" s="1"/>
  <c r="L5" i="17"/>
  <c r="M24" i="60" s="1"/>
  <c r="M5" i="17"/>
  <c r="N24" i="60" s="1"/>
  <c r="C5" i="17"/>
  <c r="D24" i="60" s="1"/>
  <c r="D9" i="16"/>
  <c r="E23" i="60" s="1"/>
  <c r="E9" i="16"/>
  <c r="F23" i="60" s="1"/>
  <c r="F9" i="16"/>
  <c r="G23" i="60" s="1"/>
  <c r="G9" i="16"/>
  <c r="H23" i="60" s="1"/>
  <c r="H9" i="16"/>
  <c r="I23" i="60" s="1"/>
  <c r="I9" i="16"/>
  <c r="J23" i="60" s="1"/>
  <c r="J9" i="16"/>
  <c r="K23" i="60" s="1"/>
  <c r="K9" i="16"/>
  <c r="L23" i="60" s="1"/>
  <c r="L9" i="16"/>
  <c r="M23" i="60" s="1"/>
  <c r="M9" i="16"/>
  <c r="N23" i="60" s="1"/>
  <c r="C9" i="16"/>
  <c r="D23" i="60" s="1"/>
  <c r="D8" i="46"/>
  <c r="E21" i="60" s="1"/>
  <c r="E8" i="46"/>
  <c r="F21" i="60" s="1"/>
  <c r="F8" i="46"/>
  <c r="G21" i="60" s="1"/>
  <c r="G8" i="46"/>
  <c r="H21" i="60" s="1"/>
  <c r="H8" i="46"/>
  <c r="I21" i="60" s="1"/>
  <c r="I8" i="46"/>
  <c r="J21" i="60" s="1"/>
  <c r="J8" i="46"/>
  <c r="K21" i="60" s="1"/>
  <c r="K8" i="46"/>
  <c r="L21" i="60" s="1"/>
  <c r="L8" i="46"/>
  <c r="M21" i="60" s="1"/>
  <c r="M8" i="46"/>
  <c r="N21" i="60" s="1"/>
  <c r="C8" i="46"/>
  <c r="D21" i="60" s="1"/>
  <c r="D6" i="44"/>
  <c r="E20" i="60" s="1"/>
  <c r="E6" i="44"/>
  <c r="F20" i="60" s="1"/>
  <c r="F6" i="44"/>
  <c r="G20" i="60" s="1"/>
  <c r="G6" i="44"/>
  <c r="H20" i="60" s="1"/>
  <c r="H6" i="44"/>
  <c r="I20" i="60" s="1"/>
  <c r="I6" i="44"/>
  <c r="J20" i="60" s="1"/>
  <c r="J6" i="44"/>
  <c r="K20" i="60" s="1"/>
  <c r="K6" i="44"/>
  <c r="L20" i="60" s="1"/>
  <c r="L6" i="44"/>
  <c r="M20" i="60" s="1"/>
  <c r="M6" i="44"/>
  <c r="N20" i="60" s="1"/>
  <c r="C6" i="44"/>
  <c r="D20" i="60" s="1"/>
  <c r="C39" i="74"/>
  <c r="D18" i="60" s="1"/>
  <c r="D39" i="74"/>
  <c r="E18" i="60" s="1"/>
  <c r="E39" i="74"/>
  <c r="F18" i="60" s="1"/>
  <c r="F39" i="74"/>
  <c r="G18" i="60" s="1"/>
  <c r="G39" i="74"/>
  <c r="H18" i="60" s="1"/>
  <c r="H39" i="74"/>
  <c r="I18" i="60" s="1"/>
  <c r="I39" i="74"/>
  <c r="J18" i="60" s="1"/>
  <c r="J39" i="74"/>
  <c r="K18" i="60" s="1"/>
  <c r="K39" i="74"/>
  <c r="L18" i="60" s="1"/>
  <c r="L39" i="74"/>
  <c r="M18" i="60" s="1"/>
  <c r="M39" i="74"/>
  <c r="N18" i="60" s="1"/>
  <c r="O21" i="60" l="1"/>
  <c r="O30" i="60"/>
  <c r="O25" i="60"/>
  <c r="O34" i="60"/>
  <c r="O28" i="60"/>
  <c r="O37" i="60"/>
  <c r="O40" i="60"/>
  <c r="O23" i="60"/>
  <c r="O32" i="60"/>
  <c r="O18" i="60"/>
  <c r="O26" i="60"/>
  <c r="O35" i="60"/>
  <c r="O20" i="60"/>
  <c r="O29" i="60"/>
  <c r="O24" i="60"/>
  <c r="O33" i="60"/>
  <c r="D5" i="69"/>
  <c r="E13" i="60" s="1"/>
  <c r="E5" i="69"/>
  <c r="F13" i="60" s="1"/>
  <c r="F5" i="69"/>
  <c r="G13" i="60" s="1"/>
  <c r="G5" i="69"/>
  <c r="H13" i="60" s="1"/>
  <c r="H5" i="69"/>
  <c r="I13" i="60" s="1"/>
  <c r="I5" i="69"/>
  <c r="J13" i="60" s="1"/>
  <c r="J5" i="69"/>
  <c r="K13" i="60" s="1"/>
  <c r="K5" i="69"/>
  <c r="L13" i="60" s="1"/>
  <c r="L5" i="69"/>
  <c r="M13" i="60" s="1"/>
  <c r="M5" i="69"/>
  <c r="N13" i="60" s="1"/>
  <c r="C5" i="69"/>
  <c r="D13" i="60" s="1"/>
  <c r="D4" i="89"/>
  <c r="E4" i="89"/>
  <c r="F31" i="60" s="1"/>
  <c r="F4" i="89"/>
  <c r="G31" i="60" s="1"/>
  <c r="G4" i="89"/>
  <c r="H31" i="60" s="1"/>
  <c r="H4" i="89"/>
  <c r="I31" i="60" s="1"/>
  <c r="I4" i="89"/>
  <c r="J31" i="60" s="1"/>
  <c r="J4" i="89"/>
  <c r="K31" i="60" s="1"/>
  <c r="K4" i="89"/>
  <c r="L31" i="60" s="1"/>
  <c r="L4" i="89"/>
  <c r="M31" i="60" s="1"/>
  <c r="M4" i="89"/>
  <c r="C4" i="89"/>
  <c r="D31" i="60" s="1"/>
  <c r="C11" i="63"/>
  <c r="D7" i="60" s="1"/>
  <c r="N31" i="60" l="1"/>
  <c r="E31" i="60"/>
  <c r="O31" i="60" s="1"/>
  <c r="O13" i="60"/>
  <c r="D6" i="62"/>
  <c r="E6" i="60" s="1"/>
  <c r="E6" i="62"/>
  <c r="F6" i="60" s="1"/>
  <c r="F6" i="62"/>
  <c r="G6" i="60" s="1"/>
  <c r="G6" i="62"/>
  <c r="H6" i="60" s="1"/>
  <c r="H6" i="62"/>
  <c r="I6" i="60" s="1"/>
  <c r="I6" i="62"/>
  <c r="J6" i="60" s="1"/>
  <c r="J6" i="62"/>
  <c r="K6" i="60" s="1"/>
  <c r="K6" i="62"/>
  <c r="L6" i="60" s="1"/>
  <c r="L6" i="62"/>
  <c r="M6" i="60" s="1"/>
  <c r="M6" i="62"/>
  <c r="N6" i="60" s="1"/>
  <c r="C6" i="62"/>
  <c r="D6" i="60" s="1"/>
  <c r="D14" i="61"/>
  <c r="E5" i="60" s="1"/>
  <c r="E14" i="61"/>
  <c r="F5" i="60" s="1"/>
  <c r="F14" i="61"/>
  <c r="G5" i="60" s="1"/>
  <c r="G14" i="61"/>
  <c r="H5" i="60" s="1"/>
  <c r="H14" i="61"/>
  <c r="I5" i="60" s="1"/>
  <c r="I14" i="61"/>
  <c r="J5" i="60" s="1"/>
  <c r="J14" i="61"/>
  <c r="K5" i="60" s="1"/>
  <c r="K14" i="61"/>
  <c r="L5" i="60" s="1"/>
  <c r="L14" i="61"/>
  <c r="M5" i="60" s="1"/>
  <c r="M14" i="61"/>
  <c r="N5" i="60" s="1"/>
  <c r="C14" i="61"/>
  <c r="D5" i="60" s="1"/>
  <c r="O6" i="60" l="1"/>
  <c r="O5" i="60"/>
  <c r="M4" i="88"/>
  <c r="N50" i="60" s="1"/>
  <c r="L4" i="88"/>
  <c r="M50" i="60" s="1"/>
  <c r="J4" i="88"/>
  <c r="K50" i="60" s="1"/>
  <c r="I4" i="88"/>
  <c r="J50" i="60" s="1"/>
  <c r="H4" i="88"/>
  <c r="I50" i="60" s="1"/>
  <c r="G4" i="88"/>
  <c r="H50" i="60" s="1"/>
  <c r="F4" i="88"/>
  <c r="G50" i="60" s="1"/>
  <c r="E4" i="88"/>
  <c r="F50" i="60" s="1"/>
  <c r="D4" i="88"/>
  <c r="E50" i="60" s="1"/>
  <c r="C4" i="88"/>
  <c r="D50" i="60" s="1"/>
  <c r="C6" i="87"/>
  <c r="D49" i="60" s="1"/>
  <c r="D6" i="87"/>
  <c r="E49" i="60" s="1"/>
  <c r="H6" i="87"/>
  <c r="I49" i="60" s="1"/>
  <c r="I6" i="87"/>
  <c r="J49" i="60" s="1"/>
  <c r="L6" i="87"/>
  <c r="M49" i="60" s="1"/>
  <c r="M6" i="87"/>
  <c r="N49" i="60" s="1"/>
  <c r="M7" i="86"/>
  <c r="N48" i="60" s="1"/>
  <c r="L7" i="86"/>
  <c r="M48" i="60" s="1"/>
  <c r="I7" i="86"/>
  <c r="J48" i="60" s="1"/>
  <c r="H7" i="86"/>
  <c r="I48" i="60" s="1"/>
  <c r="G7" i="86"/>
  <c r="H48" i="60" s="1"/>
  <c r="D7" i="86"/>
  <c r="E48" i="60" s="1"/>
  <c r="C7" i="86"/>
  <c r="D48" i="60" s="1"/>
  <c r="L9" i="84"/>
  <c r="M47" i="60" s="1"/>
  <c r="J9" i="84"/>
  <c r="K47" i="60" s="1"/>
  <c r="I9" i="84"/>
  <c r="J47" i="60" s="1"/>
  <c r="H9" i="84"/>
  <c r="I47" i="60" s="1"/>
  <c r="G9" i="84"/>
  <c r="H47" i="60" s="1"/>
  <c r="F9" i="84"/>
  <c r="G47" i="60" s="1"/>
  <c r="D9" i="84"/>
  <c r="E47" i="60" s="1"/>
  <c r="C9" i="84"/>
  <c r="D47" i="60" s="1"/>
  <c r="L5" i="83"/>
  <c r="M46" i="60" s="1"/>
  <c r="J5" i="83"/>
  <c r="K46" i="60" s="1"/>
  <c r="I5" i="83"/>
  <c r="J46" i="60" s="1"/>
  <c r="H5" i="83"/>
  <c r="I46" i="60" s="1"/>
  <c r="G5" i="83"/>
  <c r="H46" i="60" s="1"/>
  <c r="F5" i="83"/>
  <c r="G46" i="60" s="1"/>
  <c r="E5" i="83"/>
  <c r="F46" i="60" s="1"/>
  <c r="D5" i="83"/>
  <c r="E46" i="60" s="1"/>
  <c r="C5" i="83"/>
  <c r="D46" i="60" s="1"/>
  <c r="I6" i="82"/>
  <c r="J45" i="60" s="1"/>
  <c r="H6" i="82"/>
  <c r="I45" i="60" s="1"/>
  <c r="G6" i="82"/>
  <c r="H45" i="60" s="1"/>
  <c r="D6" i="82"/>
  <c r="E45" i="60" s="1"/>
  <c r="C6" i="82"/>
  <c r="D45" i="60" s="1"/>
  <c r="J6" i="82"/>
  <c r="K45" i="60" s="1"/>
  <c r="L6" i="82"/>
  <c r="M45" i="60" s="1"/>
  <c r="M4" i="15"/>
  <c r="N22" i="60" s="1"/>
  <c r="L4" i="15"/>
  <c r="M22" i="60" s="1"/>
  <c r="K4" i="15"/>
  <c r="L22" i="60" s="1"/>
  <c r="J4" i="15"/>
  <c r="K22" i="60" s="1"/>
  <c r="I4" i="15"/>
  <c r="J22" i="60" s="1"/>
  <c r="H4" i="15"/>
  <c r="I22" i="60" s="1"/>
  <c r="G4" i="15"/>
  <c r="H22" i="60" s="1"/>
  <c r="F4" i="15"/>
  <c r="G22" i="60" s="1"/>
  <c r="E4" i="15"/>
  <c r="F22" i="60" s="1"/>
  <c r="D4" i="15"/>
  <c r="E22" i="60" s="1"/>
  <c r="C4" i="15"/>
  <c r="D22" i="60" s="1"/>
  <c r="M5" i="67"/>
  <c r="N11" i="60" s="1"/>
  <c r="L5" i="67"/>
  <c r="M11" i="60" s="1"/>
  <c r="K5" i="67"/>
  <c r="L11" i="60" s="1"/>
  <c r="J5" i="67"/>
  <c r="K11" i="60" s="1"/>
  <c r="I5" i="67"/>
  <c r="J11" i="60" s="1"/>
  <c r="H5" i="67"/>
  <c r="I11" i="60" s="1"/>
  <c r="G5" i="67"/>
  <c r="H11" i="60" s="1"/>
  <c r="F5" i="67"/>
  <c r="G11" i="60" s="1"/>
  <c r="D5" i="67"/>
  <c r="E11" i="60" s="1"/>
  <c r="C5" i="67"/>
  <c r="D11" i="60" s="1"/>
  <c r="E5" i="67"/>
  <c r="F11" i="60" s="1"/>
  <c r="K4" i="88"/>
  <c r="L50" i="60" s="1"/>
  <c r="K6" i="87"/>
  <c r="L49" i="60" s="1"/>
  <c r="J6" i="87"/>
  <c r="K49" i="60" s="1"/>
  <c r="G6" i="87"/>
  <c r="H49" i="60" s="1"/>
  <c r="F6" i="87"/>
  <c r="G49" i="60" s="1"/>
  <c r="E6" i="87"/>
  <c r="F49" i="60" s="1"/>
  <c r="K7" i="86"/>
  <c r="L48" i="60" s="1"/>
  <c r="J7" i="86"/>
  <c r="K48" i="60" s="1"/>
  <c r="F7" i="86"/>
  <c r="G48" i="60" s="1"/>
  <c r="E7" i="86"/>
  <c r="F48" i="60" s="1"/>
  <c r="M9" i="84"/>
  <c r="N47" i="60" s="1"/>
  <c r="K9" i="84"/>
  <c r="L47" i="60" s="1"/>
  <c r="E9" i="84"/>
  <c r="F47" i="60" s="1"/>
  <c r="M5" i="83"/>
  <c r="N46" i="60" s="1"/>
  <c r="K5" i="83"/>
  <c r="L46" i="60" s="1"/>
  <c r="M6" i="82"/>
  <c r="N45" i="60" s="1"/>
  <c r="F6" i="82"/>
  <c r="G45" i="60" s="1"/>
  <c r="E6" i="82"/>
  <c r="F45" i="60" s="1"/>
  <c r="K6" i="82"/>
  <c r="L45" i="60" s="1"/>
  <c r="O45" i="60" l="1"/>
  <c r="O11" i="60"/>
  <c r="O49" i="60"/>
  <c r="O22" i="60"/>
  <c r="O50" i="60"/>
  <c r="O46" i="60"/>
  <c r="O47" i="60"/>
  <c r="O48" i="60"/>
  <c r="C7" i="81"/>
  <c r="D44" i="60" s="1"/>
  <c r="D7" i="81"/>
  <c r="E44" i="60" s="1"/>
  <c r="E7" i="81"/>
  <c r="F44" i="60" s="1"/>
  <c r="F7" i="81"/>
  <c r="G44" i="60" s="1"/>
  <c r="G7" i="81"/>
  <c r="H44" i="60" s="1"/>
  <c r="H7" i="81"/>
  <c r="I44" i="60" s="1"/>
  <c r="I7" i="81"/>
  <c r="J44" i="60" s="1"/>
  <c r="J7" i="81"/>
  <c r="K44" i="60" s="1"/>
  <c r="K7" i="81"/>
  <c r="L44" i="60" s="1"/>
  <c r="L7" i="81"/>
  <c r="M44" i="60" s="1"/>
  <c r="M7" i="81"/>
  <c r="N44" i="60" s="1"/>
  <c r="C11" i="80"/>
  <c r="D43" i="60" s="1"/>
  <c r="D11" i="80"/>
  <c r="E43" i="60" s="1"/>
  <c r="E11" i="80"/>
  <c r="F43" i="60" s="1"/>
  <c r="F11" i="80"/>
  <c r="G43" i="60" s="1"/>
  <c r="G11" i="80"/>
  <c r="H43" i="60" s="1"/>
  <c r="H11" i="80"/>
  <c r="I43" i="60" s="1"/>
  <c r="I11" i="80"/>
  <c r="J43" i="60" s="1"/>
  <c r="J11" i="80"/>
  <c r="K43" i="60" s="1"/>
  <c r="K11" i="80"/>
  <c r="L43" i="60" s="1"/>
  <c r="L11" i="80"/>
  <c r="M43" i="60" s="1"/>
  <c r="M11" i="80"/>
  <c r="N43" i="60" s="1"/>
  <c r="C6" i="79"/>
  <c r="D42" i="60" s="1"/>
  <c r="D6" i="79"/>
  <c r="E42" i="60" s="1"/>
  <c r="E6" i="79"/>
  <c r="F42" i="60" s="1"/>
  <c r="F6" i="79"/>
  <c r="G42" i="60" s="1"/>
  <c r="G6" i="79"/>
  <c r="H42" i="60" s="1"/>
  <c r="H6" i="79"/>
  <c r="I42" i="60" s="1"/>
  <c r="I6" i="79"/>
  <c r="J42" i="60" s="1"/>
  <c r="J6" i="79"/>
  <c r="K42" i="60" s="1"/>
  <c r="K6" i="79"/>
  <c r="L42" i="60" s="1"/>
  <c r="L6" i="79"/>
  <c r="M42" i="60" s="1"/>
  <c r="M6" i="79"/>
  <c r="N42" i="60" s="1"/>
  <c r="O42" i="60" l="1"/>
  <c r="O43" i="60"/>
  <c r="O44" i="60"/>
  <c r="C6" i="71"/>
  <c r="D15" i="60" s="1"/>
  <c r="D6" i="71"/>
  <c r="E15" i="60" s="1"/>
  <c r="E6" i="71"/>
  <c r="F15" i="60" s="1"/>
  <c r="F6" i="71"/>
  <c r="G15" i="60" s="1"/>
  <c r="G6" i="71"/>
  <c r="H15" i="60" s="1"/>
  <c r="H6" i="71"/>
  <c r="I15" i="60" s="1"/>
  <c r="I6" i="71"/>
  <c r="J15" i="60" s="1"/>
  <c r="J6" i="71"/>
  <c r="K15" i="60" s="1"/>
  <c r="K6" i="71"/>
  <c r="L15" i="60" s="1"/>
  <c r="L6" i="71"/>
  <c r="M15" i="60" s="1"/>
  <c r="M6" i="71"/>
  <c r="N15" i="60" s="1"/>
  <c r="C9" i="70"/>
  <c r="D14" i="60" s="1"/>
  <c r="D9" i="70"/>
  <c r="E14" i="60" s="1"/>
  <c r="E9" i="70"/>
  <c r="F14" i="60" s="1"/>
  <c r="F9" i="70"/>
  <c r="G14" i="60" s="1"/>
  <c r="G9" i="70"/>
  <c r="H14" i="60" s="1"/>
  <c r="H9" i="70"/>
  <c r="I14" i="60" s="1"/>
  <c r="I9" i="70"/>
  <c r="J14" i="60" s="1"/>
  <c r="J9" i="70"/>
  <c r="K14" i="60" s="1"/>
  <c r="K9" i="70"/>
  <c r="L14" i="60" s="1"/>
  <c r="L9" i="70"/>
  <c r="M14" i="60" s="1"/>
  <c r="M9" i="70"/>
  <c r="N14" i="60" s="1"/>
  <c r="C7" i="68"/>
  <c r="D12" i="60" s="1"/>
  <c r="D7" i="68"/>
  <c r="E12" i="60" s="1"/>
  <c r="E7" i="68"/>
  <c r="F12" i="60" s="1"/>
  <c r="F7" i="68"/>
  <c r="G12" i="60" s="1"/>
  <c r="G7" i="68"/>
  <c r="H12" i="60" s="1"/>
  <c r="H7" i="68"/>
  <c r="I12" i="60" s="1"/>
  <c r="I7" i="68"/>
  <c r="J12" i="60" s="1"/>
  <c r="J7" i="68"/>
  <c r="K12" i="60" s="1"/>
  <c r="K7" i="68"/>
  <c r="L12" i="60" s="1"/>
  <c r="L7" i="68"/>
  <c r="M12" i="60" s="1"/>
  <c r="M7" i="68"/>
  <c r="N12" i="60" s="1"/>
  <c r="C6" i="66"/>
  <c r="D10" i="60" s="1"/>
  <c r="D6" i="66"/>
  <c r="E10" i="60" s="1"/>
  <c r="E6" i="66"/>
  <c r="F10" i="60" s="1"/>
  <c r="F6" i="66"/>
  <c r="G10" i="60" s="1"/>
  <c r="G6" i="66"/>
  <c r="H10" i="60" s="1"/>
  <c r="H6" i="66"/>
  <c r="I10" i="60" s="1"/>
  <c r="I6" i="66"/>
  <c r="J10" i="60" s="1"/>
  <c r="J6" i="66"/>
  <c r="K10" i="60" s="1"/>
  <c r="K6" i="66"/>
  <c r="L10" i="60" s="1"/>
  <c r="L6" i="66"/>
  <c r="M10" i="60" s="1"/>
  <c r="M6" i="66"/>
  <c r="N10" i="60" s="1"/>
  <c r="C11" i="65"/>
  <c r="D9" i="60" s="1"/>
  <c r="O9" i="60" s="1"/>
  <c r="D11" i="65"/>
  <c r="E9" i="60" s="1"/>
  <c r="E11" i="65"/>
  <c r="F9" i="60" s="1"/>
  <c r="F11" i="65"/>
  <c r="G9" i="60" s="1"/>
  <c r="G11" i="65"/>
  <c r="H9" i="60" s="1"/>
  <c r="H11" i="65"/>
  <c r="I9" i="60" s="1"/>
  <c r="I11" i="65"/>
  <c r="J9" i="60" s="1"/>
  <c r="J11" i="65"/>
  <c r="K9" i="60" s="1"/>
  <c r="K11" i="65"/>
  <c r="L9" i="60" s="1"/>
  <c r="L11" i="65"/>
  <c r="M9" i="60" s="1"/>
  <c r="M11" i="65"/>
  <c r="N9" i="60" s="1"/>
  <c r="C5" i="64"/>
  <c r="D8" i="60" s="1"/>
  <c r="D5" i="64"/>
  <c r="E8" i="60" s="1"/>
  <c r="E5" i="64"/>
  <c r="F8" i="60" s="1"/>
  <c r="F5" i="64"/>
  <c r="G8" i="60" s="1"/>
  <c r="G5" i="64"/>
  <c r="H8" i="60" s="1"/>
  <c r="H5" i="64"/>
  <c r="I8" i="60" s="1"/>
  <c r="I5" i="64"/>
  <c r="J8" i="60" s="1"/>
  <c r="J5" i="64"/>
  <c r="K8" i="60" s="1"/>
  <c r="K5" i="64"/>
  <c r="L8" i="60" s="1"/>
  <c r="L5" i="64"/>
  <c r="M8" i="60" s="1"/>
  <c r="M5" i="64"/>
  <c r="N8" i="60" s="1"/>
  <c r="D11" i="63"/>
  <c r="E7" i="60" s="1"/>
  <c r="E11" i="63"/>
  <c r="F7" i="60" s="1"/>
  <c r="F11" i="63"/>
  <c r="G7" i="60" s="1"/>
  <c r="G11" i="63"/>
  <c r="H7" i="60" s="1"/>
  <c r="H11" i="63"/>
  <c r="I7" i="60" s="1"/>
  <c r="I11" i="63"/>
  <c r="J7" i="60" s="1"/>
  <c r="J11" i="63"/>
  <c r="K7" i="60" s="1"/>
  <c r="K11" i="63"/>
  <c r="L7" i="60" s="1"/>
  <c r="L11" i="63"/>
  <c r="M7" i="60" s="1"/>
  <c r="M11" i="63"/>
  <c r="N7" i="60" s="1"/>
  <c r="O14" i="60" l="1"/>
  <c r="O7" i="60"/>
  <c r="O10" i="60"/>
  <c r="K51" i="60"/>
  <c r="O15" i="60"/>
  <c r="J51" i="60"/>
  <c r="O8" i="60"/>
  <c r="O12" i="60"/>
  <c r="H51" i="60"/>
  <c r="D4" i="43"/>
  <c r="E19" i="60" s="1"/>
  <c r="E51" i="60" s="1"/>
  <c r="E4" i="43"/>
  <c r="F19" i="60" s="1"/>
  <c r="F51" i="60" s="1"/>
  <c r="F4" i="43"/>
  <c r="G19" i="60" s="1"/>
  <c r="G51" i="60" s="1"/>
  <c r="G4" i="43"/>
  <c r="H19" i="60" s="1"/>
  <c r="H4" i="43"/>
  <c r="I19" i="60" s="1"/>
  <c r="I51" i="60" s="1"/>
  <c r="I4" i="43"/>
  <c r="J19" i="60" s="1"/>
  <c r="J4" i="43"/>
  <c r="K19" i="60" s="1"/>
  <c r="K4" i="43"/>
  <c r="L19" i="60" s="1"/>
  <c r="L51" i="60" s="1"/>
  <c r="L4" i="43"/>
  <c r="M19" i="60" s="1"/>
  <c r="M51" i="60" s="1"/>
  <c r="M4" i="43"/>
  <c r="N19" i="60" s="1"/>
  <c r="N51" i="60" s="1"/>
  <c r="C7" i="4" l="1"/>
  <c r="D38" i="60" s="1"/>
  <c r="O38" i="60" s="1"/>
  <c r="C4" i="43" l="1"/>
  <c r="D19" i="60" s="1"/>
  <c r="O19" i="60" l="1"/>
  <c r="D51" i="60"/>
  <c r="O51" i="60" s="1"/>
</calcChain>
</file>

<file path=xl/sharedStrings.xml><?xml version="1.0" encoding="utf-8"?>
<sst xmlns="http://schemas.openxmlformats.org/spreadsheetml/2006/main" count="1324" uniqueCount="625">
  <si>
    <t>Dublin Unified</t>
  </si>
  <si>
    <t>Hayward Unified</t>
  </si>
  <si>
    <t>Alameda Unified</t>
  </si>
  <si>
    <t>Albany Unified</t>
  </si>
  <si>
    <t>Participating Districts</t>
  </si>
  <si>
    <t>Participating Schools</t>
  </si>
  <si>
    <t>American Sign Language Total</t>
  </si>
  <si>
    <t>Cantonese Total</t>
  </si>
  <si>
    <t>French Total</t>
  </si>
  <si>
    <t>Korean Total</t>
  </si>
  <si>
    <t>Latin Total</t>
  </si>
  <si>
    <t>Mandarin Total</t>
  </si>
  <si>
    <t>Spanish Total</t>
  </si>
  <si>
    <t>Vietnamese Total</t>
  </si>
  <si>
    <t>Other Total</t>
  </si>
  <si>
    <t>Dublin High</t>
  </si>
  <si>
    <t>Castro Valley High</t>
  </si>
  <si>
    <t>Berkeley High</t>
  </si>
  <si>
    <t>Albany High</t>
  </si>
  <si>
    <t>Berkeley Unified</t>
  </si>
  <si>
    <t>Castro Valley Unified</t>
  </si>
  <si>
    <t>Fremont Unified</t>
  </si>
  <si>
    <t>Livermore Valley Joint Unified</t>
  </si>
  <si>
    <t>Oakland Unified</t>
  </si>
  <si>
    <t>Piedmont Unified</t>
  </si>
  <si>
    <t>San Lorenzo Unified</t>
  </si>
  <si>
    <t>Piedmont High</t>
  </si>
  <si>
    <t>German Total</t>
  </si>
  <si>
    <t>2</t>
  </si>
  <si>
    <t>Paradise High</t>
  </si>
  <si>
    <t>Durham High</t>
  </si>
  <si>
    <t>Chico Unified</t>
  </si>
  <si>
    <t>Durham Unified</t>
  </si>
  <si>
    <t>Paradise Unified</t>
  </si>
  <si>
    <t>1</t>
  </si>
  <si>
    <t>3</t>
  </si>
  <si>
    <t>Antioch Unified</t>
  </si>
  <si>
    <t>West Contra Costa Unified</t>
  </si>
  <si>
    <t>Pittsburg Senior High</t>
  </si>
  <si>
    <t>John Swett High</t>
  </si>
  <si>
    <t>John Swett Unified</t>
  </si>
  <si>
    <t>Liberty Union High</t>
  </si>
  <si>
    <t>Mt. Diablo Unified</t>
  </si>
  <si>
    <t>Pittsburg Unified</t>
  </si>
  <si>
    <t>San Ramon Valley Unified</t>
  </si>
  <si>
    <t>El Dorado Union High</t>
  </si>
  <si>
    <t>El Dorado Total: 2</t>
  </si>
  <si>
    <t>5</t>
  </si>
  <si>
    <t>South Tahoe High</t>
  </si>
  <si>
    <t>Lake Tahoe Unified</t>
  </si>
  <si>
    <t>Laton Unified</t>
  </si>
  <si>
    <t>Fowler Unified</t>
  </si>
  <si>
    <t>Coalinga-Huron Unified</t>
  </si>
  <si>
    <t>Fresno Unified</t>
  </si>
  <si>
    <t>Kerman Unified</t>
  </si>
  <si>
    <t>Mendota Unified</t>
  </si>
  <si>
    <t>Sanger Unfied</t>
  </si>
  <si>
    <t>Selma Unified</t>
  </si>
  <si>
    <t>Coalinga High</t>
  </si>
  <si>
    <t>Fowler High</t>
  </si>
  <si>
    <t>Kerman High</t>
  </si>
  <si>
    <t>Mendota High</t>
  </si>
  <si>
    <t>Sanger High</t>
  </si>
  <si>
    <t>Selma High</t>
  </si>
  <si>
    <t>33</t>
  </si>
  <si>
    <t>Orland Joint Unified</t>
  </si>
  <si>
    <t>Orland High</t>
  </si>
  <si>
    <t>Eureka City High</t>
  </si>
  <si>
    <t>Northern Humboldt Union High</t>
  </si>
  <si>
    <t>6</t>
  </si>
  <si>
    <t>Holtville Unified</t>
  </si>
  <si>
    <t>Central Union High</t>
  </si>
  <si>
    <t>Brawley Union High</t>
  </si>
  <si>
    <t>Calexico Unified</t>
  </si>
  <si>
    <t>Calexico High</t>
  </si>
  <si>
    <t>Holtville High</t>
  </si>
  <si>
    <t>Sierra Sands Unified</t>
  </si>
  <si>
    <t>Delano Joint Union High</t>
  </si>
  <si>
    <t>Participating Counties</t>
  </si>
  <si>
    <t>Kern High</t>
  </si>
  <si>
    <t>McFarland Unified</t>
  </si>
  <si>
    <t>Tehachapi Unified</t>
  </si>
  <si>
    <t>Wasco Union High</t>
  </si>
  <si>
    <t>McFarland High</t>
  </si>
  <si>
    <t>Sherman E Burroughs High</t>
  </si>
  <si>
    <t>Tehachapi High</t>
  </si>
  <si>
    <t>Kern County Total: 6</t>
  </si>
  <si>
    <t>25</t>
  </si>
  <si>
    <t>Reef-Sunset Unified</t>
  </si>
  <si>
    <t>Lemoore Union High</t>
  </si>
  <si>
    <t>Avenal High</t>
  </si>
  <si>
    <t>Lemoore High</t>
  </si>
  <si>
    <t>Upper Lake Unified</t>
  </si>
  <si>
    <t>Upper Lake High</t>
  </si>
  <si>
    <t>4</t>
  </si>
  <si>
    <t>Lassen Union High</t>
  </si>
  <si>
    <t>Lassen County Total: 1</t>
  </si>
  <si>
    <t>Lassen High</t>
  </si>
  <si>
    <t>Japanese Total</t>
  </si>
  <si>
    <t>Hawthorne Math and Science Academy</t>
  </si>
  <si>
    <t>Lawndale Elementary</t>
  </si>
  <si>
    <t>Lennox</t>
  </si>
  <si>
    <t>Los Angeles Unified</t>
  </si>
  <si>
    <t>Long Beach Unified</t>
  </si>
  <si>
    <t>Norwalk-La Mirada Unified</t>
  </si>
  <si>
    <t>West Covina Unified</t>
  </si>
  <si>
    <t>Granada High; Livermore High</t>
  </si>
  <si>
    <t>Antioch High; Deer Valley High; Dozier Libbey Medical High</t>
  </si>
  <si>
    <t>Freedom High; Heritage High; Liberty High</t>
  </si>
  <si>
    <t>California High; Dougherty Valley High; Monte Vista High; San Ramon Valley High; Venture</t>
  </si>
  <si>
    <t>El Dorado High; Oak Ridge High; Ponderosa High; Union Mine High</t>
  </si>
  <si>
    <t>Central Union High; Southwest High</t>
  </si>
  <si>
    <t>ABC Unified</t>
  </si>
  <si>
    <t>Alhambra Unified</t>
  </si>
  <si>
    <t xml:space="preserve">Antelope Valley Union High </t>
  </si>
  <si>
    <t xml:space="preserve">Azusa Unified </t>
  </si>
  <si>
    <t xml:space="preserve">Bellflower Unified </t>
  </si>
  <si>
    <t xml:space="preserve">Charter Oak Unified </t>
  </si>
  <si>
    <t xml:space="preserve">Claremont Unified </t>
  </si>
  <si>
    <t xml:space="preserve">Compton Unified </t>
  </si>
  <si>
    <t xml:space="preserve">Covina-Valley Unified </t>
  </si>
  <si>
    <t xml:space="preserve">Culver City Unified </t>
  </si>
  <si>
    <t xml:space="preserve">El Monte Union High </t>
  </si>
  <si>
    <t xml:space="preserve">El Rancho Unified </t>
  </si>
  <si>
    <t xml:space="preserve">Glendale Unified </t>
  </si>
  <si>
    <t xml:space="preserve">Hawthorne </t>
  </si>
  <si>
    <t xml:space="preserve">Inglewood Unified </t>
  </si>
  <si>
    <t xml:space="preserve">La Cañada Unified </t>
  </si>
  <si>
    <t xml:space="preserve">Las Virgenes Unified </t>
  </si>
  <si>
    <t xml:space="preserve">Lynwood Unified </t>
  </si>
  <si>
    <t xml:space="preserve">Monrovia Unified </t>
  </si>
  <si>
    <t xml:space="preserve">Montebello Unified </t>
  </si>
  <si>
    <t xml:space="preserve">Palos Verdes Peninsula Unified </t>
  </si>
  <si>
    <t xml:space="preserve">Paramount Unified </t>
  </si>
  <si>
    <t xml:space="preserve">Pasadena Unified </t>
  </si>
  <si>
    <t xml:space="preserve">Pomona Unified </t>
  </si>
  <si>
    <t xml:space="preserve">Redondo Beach Unified </t>
  </si>
  <si>
    <t xml:space="preserve">Santa Monica-Malibu Unified </t>
  </si>
  <si>
    <t xml:space="preserve">Temple City Unified </t>
  </si>
  <si>
    <t xml:space="preserve">Whittier Union High </t>
  </si>
  <si>
    <t xml:space="preserve">William S. Hart Union High </t>
  </si>
  <si>
    <t>Hacienda La Puente Unified</t>
  </si>
  <si>
    <t>Charter Oak High</t>
  </si>
  <si>
    <t>Claremont High</t>
  </si>
  <si>
    <t>Culver City High</t>
  </si>
  <si>
    <t>El Rancho High</t>
  </si>
  <si>
    <t>La Cañada High</t>
  </si>
  <si>
    <t>Environmental Charter High</t>
  </si>
  <si>
    <t>Temple City High</t>
  </si>
  <si>
    <t>Redondo Union High</t>
  </si>
  <si>
    <t>Monrovia High</t>
  </si>
  <si>
    <t>Paramount High</t>
  </si>
  <si>
    <t>Artesia High; Cerritos High; Gahr High; Whitney High</t>
  </si>
  <si>
    <t>Alhambra High; Mark Keppel High; San Gabriel High</t>
  </si>
  <si>
    <t>Azusa High; Gladstone High</t>
  </si>
  <si>
    <t>Agoura High; Calabasas High</t>
  </si>
  <si>
    <t>Firebaugh High; Lynwood High</t>
  </si>
  <si>
    <t>Diamond Ranch High; Fremont Academy of Engineering and Design; Ganesha High; Garey High; Ponoma High; Village Academy High</t>
  </si>
  <si>
    <t>American High; Circle of Independence Learning Irvington High; John F. Kennedy High; Mission San Jose High; Washington High</t>
  </si>
  <si>
    <t>Cesar E. Chavez High; Delano High; Robert F. Kennedy High</t>
  </si>
  <si>
    <t>Centennial High; Compton High; Dominguez High</t>
  </si>
  <si>
    <t>John Glenn High; La Mirada High; Norwalk High</t>
  </si>
  <si>
    <t>Blair High; John Muir High; Marshall Fundamental; Pasadena High</t>
  </si>
  <si>
    <t>Madera Unified</t>
  </si>
  <si>
    <t>Shoreline Unified</t>
  </si>
  <si>
    <t>Madera High; Madera South High</t>
  </si>
  <si>
    <t>Tomales High</t>
  </si>
  <si>
    <t>San Rafael City High</t>
  </si>
  <si>
    <t>San Rafael High; Terra Linda High</t>
  </si>
  <si>
    <t>Novato High; San Marin High</t>
  </si>
  <si>
    <t>Novato Unified</t>
  </si>
  <si>
    <t>Anderson Valley Unified</t>
  </si>
  <si>
    <t>Fort Bragg High</t>
  </si>
  <si>
    <t>Fort Bragg Unified</t>
  </si>
  <si>
    <t>Laytonville Unified</t>
  </si>
  <si>
    <t>Ukiah Unified</t>
  </si>
  <si>
    <t>Mammoth High</t>
  </si>
  <si>
    <t>Mammoth Unified</t>
  </si>
  <si>
    <t>Mono County Total: 1</t>
  </si>
  <si>
    <t>Marina High; Monterey High; Seaside High</t>
  </si>
  <si>
    <t>North Monterey County High</t>
  </si>
  <si>
    <t>Soledad High</t>
  </si>
  <si>
    <t>South Monterey County Joint Union High</t>
  </si>
  <si>
    <t>Greenfield High; King City High</t>
  </si>
  <si>
    <t>Carmel Unified</t>
  </si>
  <si>
    <t>Monterey Peninsula Unified</t>
  </si>
  <si>
    <t>North Monterey County Unified</t>
  </si>
  <si>
    <t>Salinas Union High</t>
  </si>
  <si>
    <t>Soledad Unified</t>
  </si>
  <si>
    <t>12</t>
  </si>
  <si>
    <t>Carmel High</t>
  </si>
  <si>
    <t>St. Helena Unified</t>
  </si>
  <si>
    <t>Napa Valley Unified</t>
  </si>
  <si>
    <t>St. Helena High</t>
  </si>
  <si>
    <t>7</t>
  </si>
  <si>
    <t>Nevada Joint Union High</t>
  </si>
  <si>
    <t>Santa Ana Unified</t>
  </si>
  <si>
    <t>Tustin Unified</t>
  </si>
  <si>
    <t>Capistrano Unified</t>
  </si>
  <si>
    <t>Los Alamitos Unified</t>
  </si>
  <si>
    <t>Buena Park High; Fullerton Union High; La Habra High; Sonora High; Sunny Hills High; Troy High</t>
  </si>
  <si>
    <t>Bolsa Grande High; Garden Grove High; La Quinta High; Los Amigos High; Pacifica High; Rancho Alamitos High; Santiago High</t>
  </si>
  <si>
    <t>Edison High; Fountain Valley High; Huntington Beach High; Marina High; Ocean View High; Westminister High</t>
  </si>
  <si>
    <t>Irvine High; Northwood High; University High; Woodbridge High</t>
  </si>
  <si>
    <t>Canyon High; El Modena High; Orange High; Villa Park High</t>
  </si>
  <si>
    <t>Anaheim Union High</t>
  </si>
  <si>
    <t>Brea Olinda Unified</t>
  </si>
  <si>
    <t>Fullerton Jt. Union High</t>
  </si>
  <si>
    <t>Garden Grove Unified</t>
  </si>
  <si>
    <t>Huntington Beach Union High</t>
  </si>
  <si>
    <t>Irvine Unified</t>
  </si>
  <si>
    <t>Newport-Mesa Unified</t>
  </si>
  <si>
    <t>Orange Unified</t>
  </si>
  <si>
    <t>Placentia-Yorba Linda Unified</t>
  </si>
  <si>
    <t>Saddleback Valley Unified</t>
  </si>
  <si>
    <t>Brea Olinda High</t>
  </si>
  <si>
    <t>Los Alamitos High</t>
  </si>
  <si>
    <t>Rocklin Unified</t>
  </si>
  <si>
    <t>Western Sierra Collegiate Academy</t>
  </si>
  <si>
    <t>Tahoe Truckee High; North Tahoe High</t>
  </si>
  <si>
    <t>Placer Union High</t>
  </si>
  <si>
    <t>Roseville Joint Union High</t>
  </si>
  <si>
    <t>Tahoe Truckee Unified</t>
  </si>
  <si>
    <t>Western Placer Unified</t>
  </si>
  <si>
    <t>Placer County Total: 5</t>
  </si>
  <si>
    <t>15</t>
  </si>
  <si>
    <t>Plumas Unified</t>
  </si>
  <si>
    <t>Plumas County Total: 1</t>
  </si>
  <si>
    <t>Riverside Unified</t>
  </si>
  <si>
    <t>Temecula Valley Unified</t>
  </si>
  <si>
    <t>Banning Unified</t>
  </si>
  <si>
    <t>Beaumont Unified</t>
  </si>
  <si>
    <t>Coachella Valley Unified</t>
  </si>
  <si>
    <t>Hemet Unified</t>
  </si>
  <si>
    <t>Lake Elsinore Unified</t>
  </si>
  <si>
    <t>San Jacinto Unified</t>
  </si>
  <si>
    <t>Val Verde Unified</t>
  </si>
  <si>
    <t>Beaumont Senior High</t>
  </si>
  <si>
    <t>Coachella Valley High; Desert Mirage High; West Shore High</t>
  </si>
  <si>
    <t>Heritage High; Paloma Valley High; Perris High</t>
  </si>
  <si>
    <t>San Jacinto High; San Jacinto Valley Academy</t>
  </si>
  <si>
    <t>Alvord Unified</t>
  </si>
  <si>
    <t>Corona-Norco Unified</t>
  </si>
  <si>
    <t>Jurupa Unified</t>
  </si>
  <si>
    <t>Palm Springs Unified</t>
  </si>
  <si>
    <t>Perris Union High</t>
  </si>
  <si>
    <t>Banning High</t>
  </si>
  <si>
    <t>Murrieta Valley Unified</t>
  </si>
  <si>
    <t>Twin Rivers Unified</t>
  </si>
  <si>
    <t>Natomas Unified</t>
  </si>
  <si>
    <t>Sacramento City Unified</t>
  </si>
  <si>
    <t>Galt High; Liberty Ranch High</t>
  </si>
  <si>
    <t>Delta High; Rio Vista High</t>
  </si>
  <si>
    <t>Center Joint Unified</t>
  </si>
  <si>
    <t>Elk Grove Unified</t>
  </si>
  <si>
    <t>Galt Joint Union High</t>
  </si>
  <si>
    <t>River Delta Unified</t>
  </si>
  <si>
    <t>San Juan Unified</t>
  </si>
  <si>
    <t>Center High</t>
  </si>
  <si>
    <t>San Benito High</t>
  </si>
  <si>
    <t>Oro Grande</t>
  </si>
  <si>
    <t>Chino Valley Unified</t>
  </si>
  <si>
    <t>Apple Valley High; Granite Hills High</t>
  </si>
  <si>
    <t>Riverside Preparatory</t>
  </si>
  <si>
    <t>Apple Valley Unified</t>
  </si>
  <si>
    <t>Chaffey Joint Union High</t>
  </si>
  <si>
    <t>Colton Joint Unified</t>
  </si>
  <si>
    <t>Fontana Unified</t>
  </si>
  <si>
    <t>Redlands Unified</t>
  </si>
  <si>
    <t>Rialto Unified</t>
  </si>
  <si>
    <t>San Bernardino City Unified</t>
  </si>
  <si>
    <t>Snowline Joint Unified</t>
  </si>
  <si>
    <t>Victor Valley Union High</t>
  </si>
  <si>
    <t>Escondido Union High</t>
  </si>
  <si>
    <t>Mountain Empire Unified</t>
  </si>
  <si>
    <t>Bonita Vista High; Castle Park High; Chula Vista High; Eastlake High; Hilltop High; Mar Vista High; Montgomery High; Olympian High; Otay Ranch High; San Ysidro High; Southwest High; Sweetwater High</t>
  </si>
  <si>
    <t>Lincoln Unified</t>
  </si>
  <si>
    <t>Escalon Unified</t>
  </si>
  <si>
    <t>Stockton Unified</t>
  </si>
  <si>
    <t>Lodi Unified</t>
  </si>
  <si>
    <t>Ripon Unified</t>
  </si>
  <si>
    <t>Lincoln High</t>
  </si>
  <si>
    <t>Paso Robles Joint Unified</t>
  </si>
  <si>
    <t>Arroyo Grande High; Nipomo High</t>
  </si>
  <si>
    <t>Morro Bay High; San Luis Obispo High</t>
  </si>
  <si>
    <t>Jefferson Union High</t>
  </si>
  <si>
    <t>Orcutt Union Elementary</t>
  </si>
  <si>
    <t>Cabrillo High; Lompoc High</t>
  </si>
  <si>
    <t>Ernest Righetti High; Pioneer Valley High; Santa Maria High</t>
  </si>
  <si>
    <t>Morgan Hill Unified</t>
  </si>
  <si>
    <t>East Side Union High</t>
  </si>
  <si>
    <t>Santa Clara Unified</t>
  </si>
  <si>
    <t>San Jose Unified</t>
  </si>
  <si>
    <t>Santa Clara County Office of Education</t>
  </si>
  <si>
    <t>Mountain View-Los Altos Union High</t>
  </si>
  <si>
    <t>Mountain View High; Los Altos High</t>
  </si>
  <si>
    <t>Santa Clara High; Adrian Wilcox High</t>
  </si>
  <si>
    <t>Gateway Unified</t>
  </si>
  <si>
    <t>Vallejo City Unified</t>
  </si>
  <si>
    <t>Roseland</t>
  </si>
  <si>
    <t>Santa Rosa High</t>
  </si>
  <si>
    <t>Cotati-Rohnert Park Unified</t>
  </si>
  <si>
    <t>Petaluma Joint Union High</t>
  </si>
  <si>
    <t>Cloverdale Unified</t>
  </si>
  <si>
    <t>Casa Grande High; Petaluma High</t>
  </si>
  <si>
    <t>Roseland Charter</t>
  </si>
  <si>
    <t>Modesto City High</t>
  </si>
  <si>
    <t>Ceres Unified</t>
  </si>
  <si>
    <t>Visalia Unified</t>
  </si>
  <si>
    <t>Moorpark Unified</t>
  </si>
  <si>
    <t>Fillmore Senior High</t>
  </si>
  <si>
    <t>Carlsbad Unified</t>
  </si>
  <si>
    <t>Grossmont Union High</t>
  </si>
  <si>
    <t>Sweetwater Union High</t>
  </si>
  <si>
    <t>Vista Unified</t>
  </si>
  <si>
    <t>Alameda</t>
  </si>
  <si>
    <t>Butte</t>
  </si>
  <si>
    <t>Contra Costa</t>
  </si>
  <si>
    <t>Participating Schools Total</t>
  </si>
  <si>
    <t>El Dorado</t>
  </si>
  <si>
    <t>Fresno</t>
  </si>
  <si>
    <t>Glenn</t>
  </si>
  <si>
    <t>Humboldt</t>
  </si>
  <si>
    <t>Imperial</t>
  </si>
  <si>
    <t>Kern</t>
  </si>
  <si>
    <t>Kings</t>
  </si>
  <si>
    <t>Lake</t>
  </si>
  <si>
    <t>Lassen</t>
  </si>
  <si>
    <t>Los Angeles</t>
  </si>
  <si>
    <t>Madera</t>
  </si>
  <si>
    <t>Marin</t>
  </si>
  <si>
    <t>Mendocino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</si>
  <si>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</si>
  <si>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</si>
  <si>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</si>
  <si>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</si>
  <si>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</si>
  <si>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</si>
  <si>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</si>
  <si>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</si>
  <si>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 xml:space="preserve">Sacramento 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</si>
  <si>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</si>
  <si>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</si>
  <si>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</si>
  <si>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</si>
  <si>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</si>
  <si>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</si>
  <si>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</si>
  <si>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</si>
  <si>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</si>
  <si>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</si>
  <si>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</si>
  <si>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Solano</t>
  </si>
  <si>
    <t>Sonoma</t>
  </si>
  <si>
    <t>Stanislaus</t>
  </si>
  <si>
    <t>Sutter</t>
  </si>
  <si>
    <t>Tehama</t>
  </si>
  <si>
    <t>Tulare</t>
  </si>
  <si>
    <t>Ventura</t>
  </si>
  <si>
    <t>Yolo</t>
  </si>
  <si>
    <t>Yuba</t>
  </si>
  <si>
    <t>Seal Total</t>
  </si>
  <si>
    <t>San Francisco Unified</t>
  </si>
  <si>
    <t>El Dorado High; Esperanza High; Valencia High; Yorba Linda High</t>
  </si>
  <si>
    <t>Arnold O. Beckman High; Foothill High; Hillview High; Tustin High</t>
  </si>
  <si>
    <t>Colfax High; Del Oro High; Foresthill High; Placer High</t>
  </si>
  <si>
    <t>Antelope High; Granite Bay High; Oakmont High; Roseville High; Woodcreek High</t>
  </si>
  <si>
    <t>Fontana A. B. Miller High; Fontana High; Henry J. Kaiser High; Jurupa Hills High; Summit High</t>
  </si>
  <si>
    <t>Citrus Valley High; Redlands East Valley High; Redlands High</t>
  </si>
  <si>
    <t>Eissenhower High; Rialto High; Wilmer Amina Carter High</t>
  </si>
  <si>
    <t>Mission Vista High; Rancho Buena Vista High; Vista High</t>
  </si>
  <si>
    <t>San Francisco County Total: 1</t>
  </si>
  <si>
    <t>Linden Unified</t>
  </si>
  <si>
    <t>Manteca Unified</t>
  </si>
  <si>
    <t>Tracy Joint Unified</t>
  </si>
  <si>
    <t>Escalon High</t>
  </si>
  <si>
    <t>Linden High</t>
  </si>
  <si>
    <t>Atascadero Unified</t>
  </si>
  <si>
    <t>Lucia Mar Unified</t>
  </si>
  <si>
    <t>San Luis Coastal Unified</t>
  </si>
  <si>
    <t>Atascadero High</t>
  </si>
  <si>
    <t>Cabrillo Unified</t>
  </si>
  <si>
    <t>San Mateo Union High</t>
  </si>
  <si>
    <t>Sequoia Union High</t>
  </si>
  <si>
    <t>South San Francisco Unified</t>
  </si>
  <si>
    <t>Half Moon Bay High</t>
  </si>
  <si>
    <t>Lompoc Unified</t>
  </si>
  <si>
    <t>Santa Barbara Unified</t>
  </si>
  <si>
    <t>Santa Maria Joint Union High</t>
  </si>
  <si>
    <t>10</t>
  </si>
  <si>
    <t>Campbell Union High</t>
  </si>
  <si>
    <t>Branham High; Del Mar High; Leigh High; Prospect High; Westmont High</t>
  </si>
  <si>
    <t>Central Valley High</t>
  </si>
  <si>
    <t>Shasta County Total: 1</t>
  </si>
  <si>
    <t>Fairfield-Suisun Unified</t>
  </si>
  <si>
    <t>Vacaville Unified</t>
  </si>
  <si>
    <t>MIT Academy High</t>
  </si>
  <si>
    <t>Sonoma Valley Unified</t>
  </si>
  <si>
    <t>West Sonoma County Union High</t>
  </si>
  <si>
    <t>Cloverdale High</t>
  </si>
  <si>
    <t>Credo High</t>
  </si>
  <si>
    <t>Elsie Allen High; Maria Carrillo High; Montgomery High; Piner High; Santa Rosa High</t>
  </si>
  <si>
    <t>Sonoma Valley High</t>
  </si>
  <si>
    <t>Analy High; El Molino High</t>
  </si>
  <si>
    <t>14</t>
  </si>
  <si>
    <t>Patterson Joint Unified</t>
  </si>
  <si>
    <t>Turlock Unified</t>
  </si>
  <si>
    <t>Central Valley High; Ceres High</t>
  </si>
  <si>
    <t>Patterson High</t>
  </si>
  <si>
    <t>Live Oak Unified</t>
  </si>
  <si>
    <t>Sutter Union High</t>
  </si>
  <si>
    <t>Yuba City Unified</t>
  </si>
  <si>
    <t>Live Oak High</t>
  </si>
  <si>
    <t>Sutter High</t>
  </si>
  <si>
    <t>River Valley High; Yuba City High</t>
  </si>
  <si>
    <t>Los Molinos Unified</t>
  </si>
  <si>
    <t>Red Bluff High</t>
  </si>
  <si>
    <t>Tehama County Total: 2</t>
  </si>
  <si>
    <t>Los Molinos High</t>
  </si>
  <si>
    <t>Dinuba Unified</t>
  </si>
  <si>
    <t>Dinuba High</t>
  </si>
  <si>
    <t>Lindsay Unified</t>
  </si>
  <si>
    <t>Porterville Unified</t>
  </si>
  <si>
    <t>Tulare Joint Union High</t>
  </si>
  <si>
    <t>Lindsay High</t>
  </si>
  <si>
    <t>El Diamante High; Golden West High; Mt. Whitney High; Redwood High</t>
  </si>
  <si>
    <t>Granite HIlls High; Harmony Magnet Academy; Monache High; Porterville High; Strathmore High</t>
  </si>
  <si>
    <t>Mission Oak High; Tulare Union High; Tulare Western High</t>
  </si>
  <si>
    <t>Fillmore Unified</t>
  </si>
  <si>
    <t>Oxnard Union High</t>
  </si>
  <si>
    <t>Ventura Unified</t>
  </si>
  <si>
    <t>Moorpark High</t>
  </si>
  <si>
    <t>Davis Joint Unified</t>
  </si>
  <si>
    <t>Winters Joint Unified</t>
  </si>
  <si>
    <t>Woodland Joint Unified</t>
  </si>
  <si>
    <t>Winters High</t>
  </si>
  <si>
    <t>Pioneer High; Woodland Senior High</t>
  </si>
  <si>
    <t>Wheatland Union High</t>
  </si>
  <si>
    <t>Yuba County Total: 1</t>
  </si>
  <si>
    <t>Sacramento</t>
  </si>
  <si>
    <t>California Department of Education</t>
  </si>
  <si>
    <t>0</t>
  </si>
  <si>
    <t>Main County Total: 3</t>
  </si>
  <si>
    <t>Point Area High</t>
  </si>
  <si>
    <t>Mendocino County Total: 5</t>
  </si>
  <si>
    <t>Alisal High; Everett Alvarez High; North Salinas High; Salinas High</t>
  </si>
  <si>
    <t>Monterey County Total: 6</t>
  </si>
  <si>
    <t>Napa County Total: 2</t>
  </si>
  <si>
    <t xml:space="preserve">Neveda County Office of Education </t>
  </si>
  <si>
    <t>Nevada County Total: 2</t>
  </si>
  <si>
    <t>El Toro High; Laguna Hills High; Mira Monte High; Mission Viejo High; Trabuco Hills High</t>
  </si>
  <si>
    <t>Orange County Total: 14</t>
  </si>
  <si>
    <t>Cathedral City High; Palm Springs High</t>
  </si>
  <si>
    <t xml:space="preserve">Chaparral High; Great Oak High; Temecula Valley High, Temecula Prep </t>
  </si>
  <si>
    <t>Citrus Hill High; Rancho Verde High; Val Verde Academy</t>
  </si>
  <si>
    <t>Folsom Cordova Unified</t>
  </si>
  <si>
    <t>Cordova High; Folsom High; Vista del Lago High</t>
  </si>
  <si>
    <t>Barstow Unified</t>
  </si>
  <si>
    <t>Barstow High</t>
  </si>
  <si>
    <t>Alta Loma High; Chaffey High;  Colony High; Etiwanda High; Los Osos High; Montclair High; Ontario High; Rancho Cucamonga High</t>
  </si>
  <si>
    <t>Bloomington High; Colton High; Grand Terrace High</t>
  </si>
  <si>
    <t>16</t>
  </si>
  <si>
    <t>244</t>
  </si>
  <si>
    <t>49</t>
  </si>
  <si>
    <t>Sacramento County Total: 9</t>
  </si>
  <si>
    <t>13</t>
  </si>
  <si>
    <t>San Bernardino County Total: 12</t>
  </si>
  <si>
    <t xml:space="preserve"> </t>
  </si>
  <si>
    <t>Escondido Charter High; Orange Glen High; San Pasqual High</t>
  </si>
  <si>
    <t>Spencer Valley Elementary</t>
  </si>
  <si>
    <t>California Virtual Academy @ San Diego</t>
  </si>
  <si>
    <t>Bear Creek High; Lodi High;  Tokay High</t>
  </si>
  <si>
    <t>East Union High; Lathrop High; Manteca High; Sierra High; Weston Ranch High</t>
  </si>
  <si>
    <t>San Joaquin County Total: 8</t>
  </si>
  <si>
    <t>Coast Union High</t>
  </si>
  <si>
    <t>San Luis Obispo County Total: 5</t>
  </si>
  <si>
    <t>Aragon High; Burlingame High; Capuchino High; Hillsdale High; Mills High; San Mateo High</t>
  </si>
  <si>
    <t>34</t>
  </si>
  <si>
    <t xml:space="preserve">Arroyo High; San Lorenzo High </t>
  </si>
  <si>
    <t>Butte County Total: 3</t>
  </si>
  <si>
    <t>College Park High; Concord High; Mt. Diablo High; Northgate High; Ygnacio Valley High</t>
  </si>
  <si>
    <t>Acalanes High; Campolindo High; Las Lomas High; Miramonte High</t>
  </si>
  <si>
    <t>Acalances Union High School District</t>
  </si>
  <si>
    <t>Laton High</t>
  </si>
  <si>
    <t>Willows High</t>
  </si>
  <si>
    <t>Humboldt County Total: 2</t>
  </si>
  <si>
    <t>Arcata High; McKinleyville High</t>
  </si>
  <si>
    <t>Bishop Union High</t>
  </si>
  <si>
    <t>Lone Pine High</t>
  </si>
  <si>
    <t>Inyo</t>
  </si>
  <si>
    <t>Lake County Total: 1</t>
  </si>
  <si>
    <t>Los Angeles County Total: 36</t>
  </si>
  <si>
    <t>California Virtual Academy @ Los Angeles</t>
  </si>
  <si>
    <t>Santa Monica High</t>
  </si>
  <si>
    <t>Palos Verdes High; Palos Verdes Peninsula High</t>
  </si>
  <si>
    <t>Bell Gardens High; Montebello High; Schurr High</t>
  </si>
  <si>
    <t>Avalon K-12; Cabrillo High; California Academy of Math and Science; Jordan High; Lakewood High; Millikan High; Polytechnical High; Renaissance High School for the the Arts; Wilson High</t>
  </si>
  <si>
    <t>Animo Leadership Charter High</t>
  </si>
  <si>
    <t>Animo Inglewood Charter High</t>
  </si>
  <si>
    <t>Glen A. Wilson High; La Puente High; Los Altos High; William Workman High</t>
  </si>
  <si>
    <t>Clark Magnet High; Crescenta Valley High; Daily High; Glendale High; Hoover High</t>
  </si>
  <si>
    <t>Arroyo High; El Monte High; Mountain View High; Rosemead High; South El Monte High</t>
  </si>
  <si>
    <t>Covina High; Fairvalley High; Northview High; South Hills High</t>
  </si>
  <si>
    <t>Inyo County Total: 2</t>
  </si>
  <si>
    <t>Gunderson High; Leland High; Lincoln High; Pioneer High; San Jose High; Willow Glen High</t>
  </si>
  <si>
    <t>Latino College Preparatory Academy</t>
  </si>
  <si>
    <t>Solano County Total: 3</t>
  </si>
  <si>
    <t>Armijo High; Fairfield High; Rodriguez High</t>
  </si>
  <si>
    <t>Windsor High</t>
  </si>
  <si>
    <t>Windsor Unified</t>
  </si>
  <si>
    <t>Sutter County Total: 3</t>
  </si>
  <si>
    <t xml:space="preserve">Orosi High School </t>
  </si>
  <si>
    <t>Stanislaus County Total: 4</t>
  </si>
  <si>
    <t>Tulare County Total: 6</t>
  </si>
  <si>
    <t xml:space="preserve">Adolfo Camarillo High; Channel Islands High; Hueneme High; Oxnard High; Pacifica High; Rio Mesa High </t>
  </si>
  <si>
    <t>Buena High; Foothill Technology High; Ventura High</t>
  </si>
  <si>
    <t>11</t>
  </si>
  <si>
    <t>Ventura County Total: 4</t>
  </si>
  <si>
    <t>Yolo County Total: 3</t>
  </si>
  <si>
    <t>Contra Costa Total: 8</t>
  </si>
  <si>
    <t>Madera County Total: 1</t>
  </si>
  <si>
    <t>Ukiah High</t>
  </si>
  <si>
    <t>San Mateo County Total: 5</t>
  </si>
  <si>
    <t xml:space="preserve">Alameda High; Alameda Science and Technology Institute; Encinal Junior/Senior High </t>
  </si>
  <si>
    <t>Hayward High; Mt. Eden High; Tennyson High; Leadership Public Schools - Hayward</t>
  </si>
  <si>
    <t>Castlemont High; Coliseum College Prep Academy; Dewey Academy; Fremont High; LIFE Academy; LPS Oakland R&amp;D Campus; Madison Park Academy; MetWest High; Oakland Charter High; Oakland High; Oakland Technical High; Skyline High; Sojourner Truth</t>
  </si>
  <si>
    <t>Alameda County Total: 11</t>
  </si>
  <si>
    <t>Chico High; Inspire School of Arts and Sciences; Pleasant Valley High</t>
  </si>
  <si>
    <t>De Anza High; El Cerrito High; Hercules High; Kennedy High; Leadership Public Schools: Richmond; Middle College High; Pinole Valley High; Richmond High</t>
  </si>
  <si>
    <t>30</t>
  </si>
  <si>
    <t xml:space="preserve">Bullard High; Design Science High; Duncan Polytechnical High; Edison High; Fresno High; Hoover High; McLane High; Roosevelt High; Sunnyside High </t>
  </si>
  <si>
    <t>Fresno County Total: 8</t>
  </si>
  <si>
    <t>Hamilton Unified</t>
  </si>
  <si>
    <t>Hamilton High</t>
  </si>
  <si>
    <t>Glenn County Total: 3</t>
  </si>
  <si>
    <t>Willows Unified</t>
  </si>
  <si>
    <t>Sacramento County Total: 1</t>
  </si>
  <si>
    <t>Eureka Senior High</t>
  </si>
  <si>
    <t>Imperial County Total: 4</t>
  </si>
  <si>
    <t>Lone Pine Unified</t>
  </si>
  <si>
    <t>Arvin High; Bakersfield High; Centennial High; East Bakersfield High; Foothill High; Frontier High; Highland High; Independence High; Kern Valley High; Liberty High; Mira Monte High; North High; Ridgeview High; Shafter High Stockdale High; West High</t>
  </si>
  <si>
    <t>21</t>
  </si>
  <si>
    <t>Hanford Joint Union High</t>
  </si>
  <si>
    <t>Hanford High; Hanford West High; Sierra Pacific High</t>
  </si>
  <si>
    <t>Kings County Total: 3</t>
  </si>
  <si>
    <t>Antelope Valley High; Eastside High; Highland High; Lancaster High; Littlerock High; Palmdale High; Quartz Hill High; SOAR High; William J. Knight High</t>
  </si>
  <si>
    <t>Bellflower High; Mayfair High</t>
  </si>
  <si>
    <t>Alain Leroy Locke College Preparatory Academy; Alexander Hamilton Senior High; Alliance Judy Ivie Burton Technology Academy High; Alliance Collins Family College-Ready High; Alliance College-Ready Academy High School No. 16; Alliance Environmental Science and Technology High; Alliance Gertz-Ressler/ Richard Merkin 6-12 Complex; Allliance Health Services Academy High; Alliance Renee and Meyer Luskin High; Alliance Media Arts and Entertainment Design High; Alliance Dr. Olga Mohan High; Alliance Patti and Peter Neuwirth Leadership Academy; Alliance Ouchi-O'Donovan 6-12 Complex; Alliance Cindy and Bill Simon Technology Academy High; Alliance Marc and Eva Stern Math and Science School; Alliance Tennenbaum Family Technology High; Animo Jackie Robinson Charter High; Animo Pat Brown Charter High School; Animo Ralph Bunche Charter High; Animo South LA Charter High; Animo Venice Charter High; Animo Watts;  Augustus F. Hawkins High C Responsible Indigenous Social Entrepreneurship; Banning High; Benjamin Franklin Senior High; Birmingham Community Charter High; Cesar E. Chavez Learning Academies- Social Justice Humanitas Academy; College Preparatory Academy; Contreras Learning School of Business and Tourism; Contreras Learning Center- School of Social Justice; David Starr Jordan Senior High; Downtown Business High; Eagle Rock High; Elizabeth Learning Center; Fairfax Senior High; Foshay Learning Center; Harbor Teacher Preparation Academy; Huntington Park Senior High; James Monroe High; John H. Francis Polytechnic; John C. Fremont Senior High; Linda Esperanza Marquez High B LIBRA Academy; Linda Esperanza Marquez High C School of Social Justice; Linda Esperanza Marquez High A Huntington Park Institute of Applied Medicine; Los Angeles Center for Enriched Studies; Los Angeles River at Sonia Sotomayor Learning Academies; Magnolia Science Academy 1; Magnolia Science Academy 2 Valley; Magnolia Science Academy 3; Nathaniel Narbonne Senior High; Norte Dame Academy; North Hollywood Senior High; Oscar De La Hoya Animo Charter High; Phineas Banning Senior High; Port of Los Angeles High; Sherman Oaks Center for Enriched Studies; Sylmar Charter High; Sylmar Elementary; Taft Charter High; Thirty-Second Street USC Performing Arts; UCLA Community K-12 School; University Senior High; Van Nuys Senior High; Venice Senior High; Verdugo Hills Senior High</t>
  </si>
  <si>
    <t>California High; Le Serna High; Pioneer High; Santa Fe High; Whittier High</t>
  </si>
  <si>
    <t xml:space="preserve">Albert Einstein Academy for Letters, Arts, &amp; Sciences; Academy of the Canyons; Bowman High; Canyon High; Golden Valley High; Hart High; Learning Post High; Saugus High; Valencia High; West Ranch High </t>
  </si>
  <si>
    <t>166</t>
  </si>
  <si>
    <t>Point Arena Union High</t>
  </si>
  <si>
    <t>Laytonville High; Fort Bragg High</t>
  </si>
  <si>
    <t>American Canon High; Napa High; New Technology High; Vintage High</t>
  </si>
  <si>
    <t>Nevada Union High; William &amp; Marian Ghidotti High</t>
  </si>
  <si>
    <t>Bitney Prep High</t>
  </si>
  <si>
    <t>Anaheim High; Cypress High; Katella High; John F. Kennedy High; Loara High; Magnolia High; Oxford Academy; Savanna High; Western High</t>
  </si>
  <si>
    <t>Aliso Niguel High; California Prep Academy; Capistrano Valley High; Dana Hills High; San Clemente High; San Juan Hills High; San Tesoro High</t>
  </si>
  <si>
    <t>Corona del Mar High; Costa Mesa High; Estancia High; Newport Harbor High</t>
  </si>
  <si>
    <t>Century High; Cesar E. Chavez High; Community Day High; Hector G. Godinez High; Lorin Griset Academy; Middle College High; Saddleback High; Santa Ana High; Segerstrom High; Valley High; Orange County School of the Arts</t>
  </si>
  <si>
    <t>73</t>
  </si>
  <si>
    <t>Lincoln High; Partnerships for Student-Centered Learning</t>
  </si>
  <si>
    <t>Quincy Junior/Senior High; Portola Junior/Senior High</t>
  </si>
  <si>
    <t>Tahquitz High</t>
  </si>
  <si>
    <t>Jurupa Valley High; Patriot High; Rubidoux High</t>
  </si>
  <si>
    <t>La Sierra High; Norte Vista High</t>
  </si>
  <si>
    <t>Centennial High; Corona High; Kennedy High; Norco High; Pollard High; Roosevelt High; Santiago High</t>
  </si>
  <si>
    <t>Elsinore High; Lakeside High; Oretga High; Southern California Online Academy; Temescal Canyon High</t>
  </si>
  <si>
    <t>Murrieta Mesa High; Murrieta Valley High; Vista Murrieta High</t>
  </si>
  <si>
    <t>Arlington High; John W. North High; Martin Luther King Jr. High; Polytechnic High; Ramona High; Summit View High</t>
  </si>
  <si>
    <t>Riverside County Total: 15</t>
  </si>
  <si>
    <t>46</t>
  </si>
  <si>
    <t>Inderkum High; Natomas High</t>
  </si>
  <si>
    <t>Cosumnes Oaks High; Elk Grove Charter; Elk Grove High; Florin High; Franklin High; Laguna Creek High; Las Flores High; Monterey Trail High; Pleasant Grove High; Sheldon High; Valley High</t>
  </si>
  <si>
    <t>C. K. McClatchy High; Hiram W. Johnson High; John F. Kennedy High; Luther Burbank High; New Technology High; Rosemont High; Sacramento Charter High; The MET; West Campus</t>
  </si>
  <si>
    <t>Bella Vista High; Casa Roble Fundamental High; Del Campo High; El Camino Fundamental High; El Sereno Alternative Education; Encina Preparatory High; Mesa Verde High; Mira Loma High; Rio Americano High; San Juan High; Visions in Education</t>
  </si>
  <si>
    <t>Creative Connections Arts Academy; Foothill High; Futrues High; Grant Union High; Hertiage Peak Charter; Highlands High; Keem High; Rio Linda High</t>
  </si>
  <si>
    <t>Chino High; Chino Hills High; Don Lugo High; Ruben Ayala High</t>
  </si>
  <si>
    <t>Arroyo Valley High; Cajon High; Indian Springs High; Middle College High; Pacific High; Public Safety Academy; San Bernadino High; San Gorgonio High</t>
  </si>
  <si>
    <t>Serrano High</t>
  </si>
  <si>
    <t>Excelsior Charter High</t>
  </si>
  <si>
    <t>40</t>
  </si>
  <si>
    <t>Carlsbad High</t>
  </si>
  <si>
    <t>Mountain Empire High</t>
  </si>
  <si>
    <t>San Diego Unified</t>
  </si>
  <si>
    <t>Preuss School UCSD</t>
  </si>
  <si>
    <t>El Cajon Valley High; El Capitan High; Granite Hills High; Grossmont High; Grossmont Middle College High; Helix High; Mount Miguel High; Monte Vista High; Santana High; Valhalla High; West Hills High</t>
  </si>
  <si>
    <t>Ramona City Unified</t>
  </si>
  <si>
    <t>Mountain Valley Academy; Romana High</t>
  </si>
  <si>
    <t>San Diego County Total: 9</t>
  </si>
  <si>
    <t>Academy of Arts and Science High; Asawa (Ruth) SF School of the Arts; Balboa High; Burton (Phillip and Sala) Academic High; Galileo High; Independence High; Lincoln (Abraham) High; Lowell High; Marshall (Thurgood) High; Mission High; John O'Connell High; Raoul Wallenberg High; George Washington High</t>
  </si>
  <si>
    <t>Coast Unified</t>
  </si>
  <si>
    <t>Paso Robles High</t>
  </si>
  <si>
    <t>John C. Kimball High; Tracy High; Merrill F. West High</t>
  </si>
  <si>
    <t>Ripon High</t>
  </si>
  <si>
    <t>El Camino High; South San Francisco High</t>
  </si>
  <si>
    <t>Jefferson High; Terra Nova High</t>
  </si>
  <si>
    <t>Carlmont High; Menlo-Atherton High; Sequoia High; Woodside High</t>
  </si>
  <si>
    <t>Orcutt Academy Charter</t>
  </si>
  <si>
    <t>Alta Vista Alternative High; Dos Pueblos Senior High; Santa Barbara Senior High; San Marcos Senior High</t>
  </si>
  <si>
    <t>Santa Barbara County Total: 4</t>
  </si>
  <si>
    <t>Gilroy Unified</t>
  </si>
  <si>
    <t>Christopher High; Dr. TJ Owens Early College Academy; Gilroy High</t>
  </si>
  <si>
    <t>Live Oak High; Ann Sobrato High</t>
  </si>
  <si>
    <t>Henry M. Gunn High; Leadership Public Schools San Jose; Palo Alto High; University Preparatory Academy Charter</t>
  </si>
  <si>
    <t>Santa Clara County Total: 8</t>
  </si>
  <si>
    <t>Santa Clara County Total: 2</t>
  </si>
  <si>
    <t>Pajaro Valley Unified</t>
  </si>
  <si>
    <t>Aptos High; Pajaro Valley High; Watsonville High</t>
  </si>
  <si>
    <t>Scotts Valley Unified</t>
  </si>
  <si>
    <t>Scotts Valley High</t>
  </si>
  <si>
    <t>Elise P. Buckingham Charter Magnet High; Vacaville High; Will C. Wood High</t>
  </si>
  <si>
    <t>Sonoma County Total: 8</t>
  </si>
  <si>
    <t>Fred C. Beyer High; Grace M. Davis High; Jace C. Enochs High; Joseph A. Gregori High; Peter Johansen High; Modesto High; Thomas Downey High</t>
  </si>
  <si>
    <t>John H. Pitman High; Turlock High</t>
  </si>
  <si>
    <t>Cutler-Orosi Joint Unified</t>
  </si>
  <si>
    <t>Davis Senior High; DaVinci Charter High</t>
  </si>
  <si>
    <t>Participating Districts Total</t>
  </si>
  <si>
    <t>Grand Total: 46</t>
  </si>
  <si>
    <t>2014-15 State Seal of Biliteracy: List of Participating Counties, Districts, and Schools</t>
  </si>
  <si>
    <t>September, 2019</t>
  </si>
  <si>
    <t>Stockton Collegiate International Secondary</t>
  </si>
  <si>
    <t>Participating District</t>
  </si>
  <si>
    <t>Participating School</t>
  </si>
  <si>
    <t>Anderson Valley Jr-Sr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</si>
</sst>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slantDashDot">
        <color rgb="FF002060"/>
      </left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5" borderId="0" xfId="1" applyFill="1" applyAlignment="1">
      <alignment vertical="center"/>
    </xf>
    <xf numFmtId="0" fontId="1" fillId="4" borderId="0" xfId="2" applyFill="1" applyAlignment="1">
      <alignment vertic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 applyAlignment="1">
      <alignment horizontal="right" wrapText="1"/>
    </xf>
    <xf numFmtId="0" fontId="0" fillId="6" borderId="2" xfId="0" applyFill="1" applyBorder="1"/>
    <xf numFmtId="0" fontId="0" fillId="6" borderId="1" xfId="0" applyFill="1" applyBorder="1"/>
    <xf numFmtId="3" fontId="0" fillId="0" borderId="0" xfId="0" applyNumberFormat="1" applyAlignment="1">
      <alignment vertical="center"/>
    </xf>
    <xf numFmtId="3" fontId="0" fillId="0" borderId="3" xfId="0" applyNumberFormat="1" applyBorder="1"/>
    <xf numFmtId="0" fontId="3" fillId="0" borderId="0" xfId="3"/>
    <xf numFmtId="0" fontId="2" fillId="0" borderId="0" xfId="4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3" fontId="5" fillId="0" borderId="3" xfId="0" applyNumberFormat="1" applyFont="1" applyBorder="1"/>
  </cellXfs>
  <cellStyles count="5">
    <cellStyle name="20% - Accent1" xfId="1" builtinId="30"/>
    <cellStyle name="40% - Accent1" xfId="2" builtinId="31"/>
    <cellStyle name="Heading 1" xfId="3" builtinId="16" customBuiltin="1"/>
    <cellStyle name="Heading 2" xfId="4" builtinId="17" customBuiltin="1"/>
    <cellStyle name="Normal" xfId="0" builtinId="0"/>
  </cellStyles>
  <dxfs count="813"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font>
        <b/>
      </font>
      <numFmt numFmtId="3" formatCode="#,##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0000000}" name="Table30" displayName="Table30" ref="A4:O51" totalsRowCount="1" headerRowDxfId="812">
  <autoFilter ref="A4:O50" xr:uid="{00000000-0009-0000-0100-00001E000000}"/>
  <tableColumns count="15">
    <tableColumn id="1" xr3:uid="{00000000-0010-0000-0000-000001000000}" name="Participating Counties" totalsRowLabel="Grand Total: 46"/>
    <tableColumn id="2" xr3:uid="{00000000-0010-0000-0000-000002000000}" name="Participating Districts Total" totalsRowLabel="244" dataDxfId="811" totalsRowDxfId="810">
      <calculatedColumnFormula>Table1[[#Totals],[Participating Districts]]</calculatedColumnFormula>
    </tableColumn>
    <tableColumn id="14" xr3:uid="{00000000-0010-0000-0000-00000E000000}" name="Participating Schools Total" totalsRowFunction="sum" dataDxfId="809" totalsRowDxfId="808"/>
    <tableColumn id="3" xr3:uid="{00000000-0010-0000-0000-000003000000}" name="American Sign Language Total" totalsRowFunction="sum" dataDxfId="807" totalsRowDxfId="806"/>
    <tableColumn id="4" xr3:uid="{00000000-0010-0000-0000-000004000000}" name="Cantonese Total" totalsRowFunction="sum" dataDxfId="805" totalsRowDxfId="804"/>
    <tableColumn id="5" xr3:uid="{00000000-0010-0000-0000-000005000000}" name="French Total" totalsRowFunction="sum" dataDxfId="803" totalsRowDxfId="802"/>
    <tableColumn id="6" xr3:uid="{00000000-0010-0000-0000-000006000000}" name="German Total" totalsRowFunction="sum" dataDxfId="801" totalsRowDxfId="800"/>
    <tableColumn id="7" xr3:uid="{00000000-0010-0000-0000-000007000000}" name="Japanese Total" totalsRowFunction="sum" dataDxfId="799" totalsRowDxfId="798"/>
    <tableColumn id="8" xr3:uid="{00000000-0010-0000-0000-000008000000}" name="Korean Total" totalsRowFunction="sum" dataDxfId="797" totalsRowDxfId="796"/>
    <tableColumn id="9" xr3:uid="{00000000-0010-0000-0000-000009000000}" name="Latin Total" totalsRowFunction="sum" dataDxfId="795" totalsRowDxfId="794"/>
    <tableColumn id="10" xr3:uid="{00000000-0010-0000-0000-00000A000000}" name="Mandarin Total" totalsRowFunction="sum" dataDxfId="793" totalsRowDxfId="792"/>
    <tableColumn id="11" xr3:uid="{00000000-0010-0000-0000-00000B000000}" name="Spanish Total" totalsRowFunction="sum" dataDxfId="791" totalsRowDxfId="790"/>
    <tableColumn id="12" xr3:uid="{00000000-0010-0000-0000-00000C000000}" name="Vietnamese Total" totalsRowFunction="sum" dataDxfId="789" totalsRowDxfId="788"/>
    <tableColumn id="13" xr3:uid="{00000000-0010-0000-0000-00000D000000}" name="Other Total" totalsRowFunction="sum" dataDxfId="787" totalsRowDxfId="786"/>
    <tableColumn id="15" xr3:uid="{00000000-0010-0000-0000-00000F000000}" name="Seal Total" totalsRowFunction="custom" dataDxfId="785" totalsRowDxfId="784">
      <calculatedColumnFormula>SUM(Table30[[#This Row],[American Sign Language Total]:[Other Total]])</calculatedColumnFormula>
      <totalsRowFormula>SUM(Table30[[#Totals],[American Sign Language Total]:[Other Total]])</totalsRow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State Seal of Biliteracy program by every participating county and also includes language totals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1156" displayName="Table1156" ref="A2:M5" totalsRowCount="1" headerRowDxfId="639" dataDxfId="638" totalsRowDxfId="637">
  <autoFilter ref="A2:M4" xr:uid="{00000000-0009-0000-0100-000009000000}"/>
  <tableColumns count="13">
    <tableColumn id="1" xr3:uid="{00000000-0010-0000-0900-000001000000}" name="Participating Districts" totalsRowLabel="Inyo County Total: 2" dataDxfId="636" totalsRowDxfId="635"/>
    <tableColumn id="2" xr3:uid="{00000000-0010-0000-0900-000002000000}" name="Participating Schools" totalsRowLabel="2" dataDxfId="634" totalsRowDxfId="633"/>
    <tableColumn id="3" xr3:uid="{00000000-0010-0000-0900-000003000000}" name="American Sign Language Total" totalsRowFunction="custom" dataDxfId="632" totalsRowDxfId="631">
      <totalsRowFormula>SUM(Table1156[American Sign Language Total])</totalsRowFormula>
    </tableColumn>
    <tableColumn id="4" xr3:uid="{00000000-0010-0000-0900-000004000000}" name="Cantonese Total" totalsRowFunction="custom" dataDxfId="630" totalsRowDxfId="629">
      <totalsRowFormula>SUM(Table1156[Cantonese Total])</totalsRowFormula>
    </tableColumn>
    <tableColumn id="5" xr3:uid="{00000000-0010-0000-0900-000005000000}" name="French Total" totalsRowFunction="custom" dataDxfId="628" totalsRowDxfId="627">
      <totalsRowFormula>SUM(Table1156[French Total])</totalsRowFormula>
    </tableColumn>
    <tableColumn id="6" xr3:uid="{00000000-0010-0000-0900-000006000000}" name="German Total" totalsRowFunction="custom" dataDxfId="626" totalsRowDxfId="625">
      <totalsRowFormula>SUM(Table1156[German Total])</totalsRowFormula>
    </tableColumn>
    <tableColumn id="7" xr3:uid="{00000000-0010-0000-0900-000007000000}" name="Japanese Total" totalsRowFunction="custom" dataDxfId="624" totalsRowDxfId="623">
      <totalsRowFormula>SUM(Table1156[Japanese Total])</totalsRowFormula>
    </tableColumn>
    <tableColumn id="8" xr3:uid="{00000000-0010-0000-0900-000008000000}" name="Korean Total" totalsRowFunction="custom" dataDxfId="622" totalsRowDxfId="621">
      <totalsRowFormula>SUM(Table1156[Korean Total])</totalsRowFormula>
    </tableColumn>
    <tableColumn id="9" xr3:uid="{00000000-0010-0000-0900-000009000000}" name="Latin Total" totalsRowFunction="custom" dataDxfId="620" totalsRowDxfId="619">
      <totalsRowFormula>SUM(Table1156[Latin Total])</totalsRowFormula>
    </tableColumn>
    <tableColumn id="10" xr3:uid="{00000000-0010-0000-0900-00000A000000}" name="Mandarin Total" totalsRowFunction="custom" dataDxfId="618" totalsRowDxfId="617">
      <totalsRowFormula>SUM(Table1156[Mandarin Total])</totalsRowFormula>
    </tableColumn>
    <tableColumn id="11" xr3:uid="{00000000-0010-0000-0900-00000B000000}" name="Spanish Total" totalsRowFunction="custom" dataDxfId="616" totalsRowDxfId="615">
      <totalsRowFormula>SUM(Table1156[Spanish Total])</totalsRowFormula>
    </tableColumn>
    <tableColumn id="12" xr3:uid="{00000000-0010-0000-0900-00000C000000}" name="Vietnamese Total" totalsRowFunction="custom" dataDxfId="614" totalsRowDxfId="613">
      <totalsRowFormula>SUM(Table1156[Vietnamese Total])</totalsRowFormula>
    </tableColumn>
    <tableColumn id="13" xr3:uid="{00000000-0010-0000-0900-00000D000000}" name="Other Total" totalsRowFunction="custom" dataDxfId="612" totalsRowDxfId="611">
      <totalsRowFormula>SUM(Table1156[Other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Iny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Table13" displayName="Table13" ref="A2:M9" totalsRowCount="1" headerRowDxfId="610">
  <autoFilter ref="A2:M8" xr:uid="{00000000-0009-0000-0100-00000A000000}"/>
  <tableColumns count="13">
    <tableColumn id="1" xr3:uid="{00000000-0010-0000-0A00-000001000000}" name="Participating Districts" totalsRowLabel="Kern County Total: 6" dataDxfId="609"/>
    <tableColumn id="2" xr3:uid="{00000000-0010-0000-0A00-000002000000}" name="Participating Schools" totalsRowLabel="21" dataDxfId="608" totalsRowDxfId="607"/>
    <tableColumn id="3" xr3:uid="{00000000-0010-0000-0A00-000003000000}" name="American Sign Language Total" totalsRowFunction="custom">
      <totalsRowFormula>SUM(Table13[American Sign Language Total])</totalsRowFormula>
    </tableColumn>
    <tableColumn id="4" xr3:uid="{00000000-0010-0000-0A00-000004000000}" name="Cantonese Total" totalsRowFunction="custom">
      <totalsRowFormula>SUM(Table13[Cantonese Total])</totalsRowFormula>
    </tableColumn>
    <tableColumn id="5" xr3:uid="{00000000-0010-0000-0A00-000005000000}" name="French Total" totalsRowFunction="custom">
      <totalsRowFormula>SUM(Table13[French Total])</totalsRowFormula>
    </tableColumn>
    <tableColumn id="6" xr3:uid="{00000000-0010-0000-0A00-000006000000}" name="German Total" totalsRowFunction="custom">
      <totalsRowFormula>SUM(Table13[German Total])</totalsRowFormula>
    </tableColumn>
    <tableColumn id="7" xr3:uid="{00000000-0010-0000-0A00-000007000000}" name="Japanese Total" totalsRowFunction="custom">
      <totalsRowFormula>SUM(Table13[Japanese Total])</totalsRowFormula>
    </tableColumn>
    <tableColumn id="8" xr3:uid="{00000000-0010-0000-0A00-000008000000}" name="Korean Total" totalsRowFunction="custom">
      <totalsRowFormula>SUM(Table13[Korean Total])</totalsRowFormula>
    </tableColumn>
    <tableColumn id="9" xr3:uid="{00000000-0010-0000-0A00-000009000000}" name="Latin Total" totalsRowFunction="custom">
      <totalsRowFormula>SUM(Table13[Latin Total])</totalsRowFormula>
    </tableColumn>
    <tableColumn id="10" xr3:uid="{00000000-0010-0000-0A00-00000A000000}" name="Mandarin Total" totalsRowFunction="custom">
      <totalsRowFormula>SUM(Table13[Mandarin Total])</totalsRowFormula>
    </tableColumn>
    <tableColumn id="11" xr3:uid="{00000000-0010-0000-0A00-00000B000000}" name="Spanish Total" totalsRowFunction="custom">
      <totalsRowFormula>SUM(Table13[Spanish Total])</totalsRowFormula>
    </tableColumn>
    <tableColumn id="12" xr3:uid="{00000000-0010-0000-0A00-00000C000000}" name="Vietnamese Total" totalsRowFunction="custom">
      <totalsRowFormula>SUM(Table13[Vietnamese Total])</totalsRowFormula>
    </tableColumn>
    <tableColumn id="13" xr3:uid="{00000000-0010-0000-0A00-00000D000000}" name="Other Total" totalsRowFunction="custom">
      <totalsRowFormula>SUM(Table13[Other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Ker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Table14" displayName="Table14" ref="A2:M6" totalsRowCount="1" headerRowDxfId="606">
  <autoFilter ref="A2:M5" xr:uid="{00000000-0009-0000-0100-00000B000000}"/>
  <tableColumns count="13">
    <tableColumn id="1" xr3:uid="{00000000-0010-0000-0B00-000001000000}" name="Participating Districts" totalsRowLabel="Kings County Total: 3"/>
    <tableColumn id="2" xr3:uid="{00000000-0010-0000-0B00-000002000000}" name="Participating Schools" totalsRowLabel="5" dataDxfId="605" totalsRowDxfId="604"/>
    <tableColumn id="3" xr3:uid="{00000000-0010-0000-0B00-000003000000}" name="American Sign Language Total" totalsRowFunction="custom">
      <totalsRowFormula>SUM(Table14[American Sign Language Total])</totalsRowFormula>
    </tableColumn>
    <tableColumn id="4" xr3:uid="{00000000-0010-0000-0B00-000004000000}" name="Cantonese Total" totalsRowFunction="custom">
      <totalsRowFormula>SUM(Table14[Cantonese Total])</totalsRowFormula>
    </tableColumn>
    <tableColumn id="5" xr3:uid="{00000000-0010-0000-0B00-000005000000}" name="French Total" totalsRowFunction="custom">
      <totalsRowFormula>SUM(Table14[French Total])</totalsRowFormula>
    </tableColumn>
    <tableColumn id="6" xr3:uid="{00000000-0010-0000-0B00-000006000000}" name="German Total" totalsRowFunction="custom">
      <totalsRowFormula>SUM(Table14[German Total])</totalsRowFormula>
    </tableColumn>
    <tableColumn id="7" xr3:uid="{00000000-0010-0000-0B00-000007000000}" name="Japanese Total" totalsRowFunction="custom">
      <totalsRowFormula>SUM(Table14[Japanese Total])</totalsRowFormula>
    </tableColumn>
    <tableColumn id="8" xr3:uid="{00000000-0010-0000-0B00-000008000000}" name="Korean Total" totalsRowFunction="custom">
      <totalsRowFormula>SUM(Table14[Korean Total])</totalsRowFormula>
    </tableColumn>
    <tableColumn id="9" xr3:uid="{00000000-0010-0000-0B00-000009000000}" name="Latin Total" totalsRowFunction="custom">
      <totalsRowFormula>SUM(Table14[Latin Total])</totalsRowFormula>
    </tableColumn>
    <tableColumn id="10" xr3:uid="{00000000-0010-0000-0B00-00000A000000}" name="Mandarin Total" totalsRowFunction="custom">
      <totalsRowFormula>SUM(Table14[Mandarin Total])</totalsRowFormula>
    </tableColumn>
    <tableColumn id="11" xr3:uid="{00000000-0010-0000-0B00-00000B000000}" name="Spanish Total" totalsRowFunction="custom">
      <totalsRowFormula>SUM(Table14[Spanish Total])</totalsRowFormula>
    </tableColumn>
    <tableColumn id="12" xr3:uid="{00000000-0010-0000-0B00-00000C000000}" name="Vietnamese Total" totalsRowFunction="custom">
      <totalsRowFormula>SUM(Table14[Vietnamese Total])</totalsRowFormula>
    </tableColumn>
    <tableColumn id="13" xr3:uid="{00000000-0010-0000-0B00-00000D000000}" name="Other Total" totalsRowFunction="custom">
      <totalsRowFormula>SUM(Table14[Other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Kings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le15" displayName="Table15" ref="A2:M4" totalsRowCount="1" headerRowDxfId="603" totalsRowDxfId="602">
  <autoFilter ref="A2:M3" xr:uid="{00000000-0009-0000-0100-00000C000000}"/>
  <tableColumns count="13">
    <tableColumn id="1" xr3:uid="{00000000-0010-0000-0C00-000001000000}" name="Participating District" totalsRowLabel="Lake County Total: 1" totalsRowDxfId="601"/>
    <tableColumn id="2" xr3:uid="{00000000-0010-0000-0C00-000002000000}" name="Participating School" totalsRowLabel="1" totalsRowDxfId="600"/>
    <tableColumn id="3" xr3:uid="{00000000-0010-0000-0C00-000003000000}" name="American Sign Language Total" totalsRowLabel="0" totalsRowDxfId="599"/>
    <tableColumn id="4" xr3:uid="{00000000-0010-0000-0C00-000004000000}" name="Cantonese Total" totalsRowLabel="0" totalsRowDxfId="598"/>
    <tableColumn id="5" xr3:uid="{00000000-0010-0000-0C00-000005000000}" name="French Total" totalsRowLabel="0" totalsRowDxfId="597"/>
    <tableColumn id="6" xr3:uid="{00000000-0010-0000-0C00-000006000000}" name="German Total" totalsRowLabel="0" totalsRowDxfId="596"/>
    <tableColumn id="7" xr3:uid="{00000000-0010-0000-0C00-000007000000}" name="Japanese Total" totalsRowLabel="0" totalsRowDxfId="595"/>
    <tableColumn id="8" xr3:uid="{00000000-0010-0000-0C00-000008000000}" name="Korean Total" totalsRowLabel="0" totalsRowDxfId="594"/>
    <tableColumn id="9" xr3:uid="{00000000-0010-0000-0C00-000009000000}" name="Latin Total" totalsRowLabel="0" totalsRowDxfId="593"/>
    <tableColumn id="10" xr3:uid="{00000000-0010-0000-0C00-00000A000000}" name="Mandarin Total" totalsRowLabel="0" totalsRowDxfId="592"/>
    <tableColumn id="11" xr3:uid="{00000000-0010-0000-0C00-00000B000000}" name="Spanish Total" totalsRowLabel="2" totalsRowDxfId="591"/>
    <tableColumn id="12" xr3:uid="{00000000-0010-0000-0C00-00000C000000}" name="Vietnamese Total" totalsRowLabel="0" totalsRowDxfId="590"/>
    <tableColumn id="13" xr3:uid="{00000000-0010-0000-0C00-00000D000000}" name="Other Total" totalsRowLabel="0" totalsRowDxfId="58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Lake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D000000}" name="Table16" displayName="Table16" ref="A2:M4" totalsRowCount="1">
  <autoFilter ref="A2:M3" xr:uid="{00000000-0009-0000-0100-00000D000000}"/>
  <tableColumns count="13">
    <tableColumn id="1" xr3:uid="{00000000-0010-0000-0D00-000001000000}" name="Participating District" totalsRowLabel="Lassen County Total: 1"/>
    <tableColumn id="2" xr3:uid="{00000000-0010-0000-0D00-000002000000}" name="Participating School" totalsRowLabel="1" totalsRowDxfId="588"/>
    <tableColumn id="3" xr3:uid="{00000000-0010-0000-0D00-000003000000}" name="American Sign Language Total" totalsRowFunction="custom" totalsRowDxfId="587">
      <totalsRowFormula>SUM(Table16[American Sign Language Total])</totalsRowFormula>
    </tableColumn>
    <tableColumn id="4" xr3:uid="{00000000-0010-0000-0D00-000004000000}" name="Cantonese Total" totalsRowLabel="0" totalsRowDxfId="586"/>
    <tableColumn id="5" xr3:uid="{00000000-0010-0000-0D00-000005000000}" name="French Total" totalsRowLabel="0" totalsRowDxfId="585"/>
    <tableColumn id="6" xr3:uid="{00000000-0010-0000-0D00-000006000000}" name="German Total" totalsRowLabel="0" totalsRowDxfId="584"/>
    <tableColumn id="7" xr3:uid="{00000000-0010-0000-0D00-000007000000}" name="Japanese Total" totalsRowLabel="0" totalsRowDxfId="583"/>
    <tableColumn id="8" xr3:uid="{00000000-0010-0000-0D00-000008000000}" name="Korean Total" totalsRowLabel="0" totalsRowDxfId="582"/>
    <tableColumn id="9" xr3:uid="{00000000-0010-0000-0D00-000009000000}" name="Latin Total" totalsRowLabel="0" totalsRowDxfId="581"/>
    <tableColumn id="10" xr3:uid="{00000000-0010-0000-0D00-00000A000000}" name="Mandarin Total" totalsRowLabel="0" totalsRowDxfId="580"/>
    <tableColumn id="11" xr3:uid="{00000000-0010-0000-0D00-00000B000000}" name="Spanish Total" totalsRowLabel="5" totalsRowDxfId="579"/>
    <tableColumn id="12" xr3:uid="{00000000-0010-0000-0D00-00000C000000}" name="Vietnamese Total" totalsRowLabel="0" totalsRowDxfId="578"/>
    <tableColumn id="13" xr3:uid="{00000000-0010-0000-0D00-00000D000000}" name="Other Total" totalsRowLabel="0" totalsRowDxfId="577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Lassen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E000000}" name="Table17" displayName="Table17" ref="A2:M39" totalsRowCount="1" headerRowDxfId="576">
  <autoFilter ref="A2:M38" xr:uid="{00000000-0009-0000-0100-00000E000000}"/>
  <tableColumns count="13">
    <tableColumn id="1" xr3:uid="{00000000-0010-0000-0E00-000001000000}" name="Participating Districts" totalsRowLabel="Los Angeles County Total: 36" dataDxfId="575"/>
    <tableColumn id="2" xr3:uid="{00000000-0010-0000-0E00-000002000000}" name="Participating Schools" totalsRowLabel="166" dataDxfId="574" totalsRowDxfId="573"/>
    <tableColumn id="3" xr3:uid="{00000000-0010-0000-0E00-000003000000}" name="American Sign Language Total" totalsRowFunction="custom" dataDxfId="572" totalsRowDxfId="571">
      <totalsRowFormula>SUM(C3:C38)</totalsRowFormula>
    </tableColumn>
    <tableColumn id="4" xr3:uid="{00000000-0010-0000-0E00-000004000000}" name="Cantonese Total" totalsRowFunction="custom" dataDxfId="570" totalsRowDxfId="569">
      <totalsRowFormula>SUM(D3:D38)</totalsRowFormula>
    </tableColumn>
    <tableColumn id="5" xr3:uid="{00000000-0010-0000-0E00-000005000000}" name="French Total" totalsRowFunction="custom" dataDxfId="568" totalsRowDxfId="567">
      <totalsRowFormula>SUM(E3:E38)</totalsRowFormula>
    </tableColumn>
    <tableColumn id="6" xr3:uid="{00000000-0010-0000-0E00-000006000000}" name="German Total" totalsRowFunction="custom" dataDxfId="566" totalsRowDxfId="565">
      <totalsRowFormula>SUM(F3:F38)</totalsRowFormula>
    </tableColumn>
    <tableColumn id="7" xr3:uid="{00000000-0010-0000-0E00-000007000000}" name="Japanese Total" totalsRowFunction="custom" dataDxfId="564" totalsRowDxfId="563">
      <totalsRowFormula>SUM(G3:G38)</totalsRowFormula>
    </tableColumn>
    <tableColumn id="8" xr3:uid="{00000000-0010-0000-0E00-000008000000}" name="Korean Total" totalsRowFunction="custom" dataDxfId="562" totalsRowDxfId="561">
      <totalsRowFormula>SUM(H3:H38)</totalsRowFormula>
    </tableColumn>
    <tableColumn id="9" xr3:uid="{00000000-0010-0000-0E00-000009000000}" name="Latin Total" totalsRowFunction="custom" dataDxfId="560" totalsRowDxfId="559">
      <totalsRowFormula>SUM(I3:I38)</totalsRowFormula>
    </tableColumn>
    <tableColumn id="10" xr3:uid="{00000000-0010-0000-0E00-00000A000000}" name="Mandarin Total" totalsRowFunction="custom" dataDxfId="558" totalsRowDxfId="557">
      <totalsRowFormula>SUM(J3:J38)</totalsRowFormula>
    </tableColumn>
    <tableColumn id="11" xr3:uid="{00000000-0010-0000-0E00-00000B000000}" name="Spanish Total" totalsRowFunction="custom" dataDxfId="556" totalsRowDxfId="555">
      <totalsRowFormula>SUM(K3:K38)</totalsRowFormula>
    </tableColumn>
    <tableColumn id="12" xr3:uid="{00000000-0010-0000-0E00-00000C000000}" name="Vietnamese Total" totalsRowFunction="custom" dataDxfId="554" totalsRowDxfId="553">
      <totalsRowFormula>SUM(L3:L38)</totalsRowFormula>
    </tableColumn>
    <tableColumn id="13" xr3:uid="{00000000-0010-0000-0E00-00000D000000}" name="Other Total" totalsRowFunction="custom" dataDxfId="552" totalsRowDxfId="551">
      <totalsRowFormula>SUM(M3:M38)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Los Angeles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e18" displayName="Table18" ref="A2:M4" totalsRowCount="1">
  <autoFilter ref="A2:M3" xr:uid="{00000000-0009-0000-0100-000012000000}"/>
  <tableColumns count="13">
    <tableColumn id="1" xr3:uid="{00000000-0010-0000-0F00-000001000000}" name="Participating District" totalsRowLabel="Madera County Total: 1"/>
    <tableColumn id="2" xr3:uid="{00000000-0010-0000-0F00-000002000000}" name="Participating Schools" totalsRowLabel="2" totalsRowDxfId="550"/>
    <tableColumn id="3" xr3:uid="{00000000-0010-0000-0F00-000003000000}" name="American Sign Language Total" totalsRowFunction="custom">
      <totalsRowFormula>SUM(Table18[American Sign Language Total])</totalsRowFormula>
    </tableColumn>
    <tableColumn id="4" xr3:uid="{00000000-0010-0000-0F00-000004000000}" name="Cantonese Total" totalsRowFunction="custom">
      <totalsRowFormula>SUM(Table18[Cantonese Total])</totalsRowFormula>
    </tableColumn>
    <tableColumn id="5" xr3:uid="{00000000-0010-0000-0F00-000005000000}" name="French Total" totalsRowFunction="custom">
      <totalsRowFormula>SUM(Table18[French Total])</totalsRowFormula>
    </tableColumn>
    <tableColumn id="6" xr3:uid="{00000000-0010-0000-0F00-000006000000}" name="German Total" totalsRowFunction="custom">
      <totalsRowFormula>SUM(Table18[German Total])</totalsRowFormula>
    </tableColumn>
    <tableColumn id="7" xr3:uid="{00000000-0010-0000-0F00-000007000000}" name="Japanese Total" totalsRowFunction="custom">
      <totalsRowFormula>SUM(Table18[Japanese Total])</totalsRowFormula>
    </tableColumn>
    <tableColumn id="8" xr3:uid="{00000000-0010-0000-0F00-000008000000}" name="Korean Total" totalsRowFunction="custom">
      <totalsRowFormula>SUM(Table18[Korean Total])</totalsRowFormula>
    </tableColumn>
    <tableColumn id="9" xr3:uid="{00000000-0010-0000-0F00-000009000000}" name="Latin Total" totalsRowFunction="custom">
      <totalsRowFormula>SUM(Table18[Latin Total])</totalsRowFormula>
    </tableColumn>
    <tableColumn id="10" xr3:uid="{00000000-0010-0000-0F00-00000A000000}" name="Mandarin Total" totalsRowFunction="custom">
      <totalsRowFormula>SUM(Table18[Mandarin Total])</totalsRowFormula>
    </tableColumn>
    <tableColumn id="11" xr3:uid="{00000000-0010-0000-0F00-00000B000000}" name="Spanish Total" totalsRowFunction="custom">
      <totalsRowFormula>SUM(Table18[Spanish Total])</totalsRowFormula>
    </tableColumn>
    <tableColumn id="12" xr3:uid="{00000000-0010-0000-0F00-00000C000000}" name="Vietnamese Total" totalsRowFunction="custom">
      <totalsRowFormula>SUM(Table18[Vietnamese Total])</totalsRowFormula>
    </tableColumn>
    <tableColumn id="13" xr3:uid="{00000000-0010-0000-0F00-00000D000000}" name="Other Total" totalsRowFunction="custom">
      <totalsRowFormula>SUM(Table18[Other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Madera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le19" displayName="Table19" ref="A2:M6" totalsRowCount="1">
  <autoFilter ref="A2:M5" xr:uid="{00000000-0009-0000-0100-000013000000}"/>
  <tableColumns count="13">
    <tableColumn id="1" xr3:uid="{00000000-0010-0000-1000-000001000000}" name="Participating Districts" totalsRowLabel="Main County Total: 3"/>
    <tableColumn id="2" xr3:uid="{00000000-0010-0000-1000-000002000000}" name="Participating Schools" totalsRowLabel="5" totalsRowDxfId="549"/>
    <tableColumn id="3" xr3:uid="{00000000-0010-0000-1000-000003000000}" name="American Sign Language Total" totalsRowFunction="custom" totalsRowDxfId="548">
      <totalsRowFormula>SUM(Table19[American Sign Language Total])</totalsRowFormula>
    </tableColumn>
    <tableColumn id="4" xr3:uid="{00000000-0010-0000-1000-000004000000}" name="Cantonese Total" totalsRowFunction="custom" totalsRowDxfId="547">
      <totalsRowFormula>SUM(Table19[Cantonese Total])</totalsRowFormula>
    </tableColumn>
    <tableColumn id="5" xr3:uid="{00000000-0010-0000-1000-000005000000}" name="French Total" totalsRowFunction="custom" totalsRowDxfId="546">
      <totalsRowFormula>SUM(Table19[French Total])</totalsRowFormula>
    </tableColumn>
    <tableColumn id="6" xr3:uid="{00000000-0010-0000-1000-000006000000}" name="German Total" totalsRowFunction="custom" totalsRowDxfId="545">
      <totalsRowFormula>SUM(Table19[German Total])</totalsRowFormula>
    </tableColumn>
    <tableColumn id="7" xr3:uid="{00000000-0010-0000-1000-000007000000}" name="Japanese Total" totalsRowFunction="custom" totalsRowDxfId="544">
      <totalsRowFormula>SUM(Table19[Japanese Total])</totalsRowFormula>
    </tableColumn>
    <tableColumn id="8" xr3:uid="{00000000-0010-0000-1000-000008000000}" name="Korean Total" totalsRowFunction="custom" totalsRowDxfId="543">
      <totalsRowFormula>SUM(Table19[Korean Total])</totalsRowFormula>
    </tableColumn>
    <tableColumn id="9" xr3:uid="{00000000-0010-0000-1000-000009000000}" name="Latin Total" totalsRowFunction="custom" totalsRowDxfId="542">
      <totalsRowFormula>SUM(Table19[Latin Total])</totalsRowFormula>
    </tableColumn>
    <tableColumn id="10" xr3:uid="{00000000-0010-0000-1000-00000A000000}" name="Mandarin Total" totalsRowFunction="custom" totalsRowDxfId="541">
      <totalsRowFormula>SUM(Table19[Mandarin Total])</totalsRowFormula>
    </tableColumn>
    <tableColumn id="11" xr3:uid="{00000000-0010-0000-1000-00000B000000}" name="Spanish Total" totalsRowFunction="custom" totalsRowDxfId="540">
      <totalsRowFormula>SUM(Table19[Spanish Total])</totalsRowFormula>
    </tableColumn>
    <tableColumn id="12" xr3:uid="{00000000-0010-0000-1000-00000C000000}" name="Vietnamese Total" totalsRowFunction="custom" totalsRowDxfId="539">
      <totalsRowFormula>SUM(Table19[Vietnamese Total])</totalsRowFormula>
    </tableColumn>
    <tableColumn id="13" xr3:uid="{00000000-0010-0000-1000-00000D000000}" name="Other Total" totalsRowFunction="custom" totalsRowDxfId="538">
      <totalsRowFormula>SUM(Table19[Other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Marin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Table20" displayName="Table20" ref="A2:M8" totalsRowCount="1" headerRowDxfId="537">
  <autoFilter ref="A2:M7" xr:uid="{00000000-0009-0000-0100-000014000000}"/>
  <tableColumns count="13">
    <tableColumn id="1" xr3:uid="{00000000-0010-0000-1100-000001000000}" name="Participating Districts" totalsRowLabel="Mendocino County Total: 5"/>
    <tableColumn id="2" xr3:uid="{00000000-0010-0000-1100-000002000000}" name="Participating Schools" totalsRowLabel="6" totalsRowDxfId="536"/>
    <tableColumn id="3" xr3:uid="{00000000-0010-0000-1100-000003000000}" name="American Sign Language Total" totalsRowFunction="custom" totalsRowDxfId="535">
      <totalsRowFormula>SUM(Table20[American Sign Language Total])</totalsRowFormula>
    </tableColumn>
    <tableColumn id="4" xr3:uid="{00000000-0010-0000-1100-000004000000}" name="Cantonese Total" totalsRowFunction="custom" totalsRowDxfId="534">
      <totalsRowFormula>SUM(Table20[Cantonese Total])</totalsRowFormula>
    </tableColumn>
    <tableColumn id="5" xr3:uid="{00000000-0010-0000-1100-000005000000}" name="French Total" totalsRowFunction="custom" totalsRowDxfId="533">
      <totalsRowFormula>SUM(Table20[French Total])</totalsRowFormula>
    </tableColumn>
    <tableColumn id="6" xr3:uid="{00000000-0010-0000-1100-000006000000}" name="German Total" totalsRowFunction="custom" totalsRowDxfId="532">
      <totalsRowFormula>SUM(Table20[German Total])</totalsRowFormula>
    </tableColumn>
    <tableColumn id="7" xr3:uid="{00000000-0010-0000-1100-000007000000}" name="Japanese Total" totalsRowFunction="custom" totalsRowDxfId="531">
      <totalsRowFormula>SUM(Table20[Japanese Total])</totalsRowFormula>
    </tableColumn>
    <tableColumn id="8" xr3:uid="{00000000-0010-0000-1100-000008000000}" name="Korean Total" totalsRowFunction="custom" totalsRowDxfId="530">
      <totalsRowFormula>SUM(Table20[Korean Total])</totalsRowFormula>
    </tableColumn>
    <tableColumn id="9" xr3:uid="{00000000-0010-0000-1100-000009000000}" name="Latin Total" totalsRowFunction="custom" totalsRowDxfId="529">
      <totalsRowFormula>SUM(Table20[Latin Total])</totalsRowFormula>
    </tableColumn>
    <tableColumn id="10" xr3:uid="{00000000-0010-0000-1100-00000A000000}" name="Mandarin Total" totalsRowFunction="custom" totalsRowDxfId="528">
      <totalsRowFormula>SUM(Table20[Mandarin Total])</totalsRowFormula>
    </tableColumn>
    <tableColumn id="11" xr3:uid="{00000000-0010-0000-1100-00000B000000}" name="Spanish Total" totalsRowFunction="custom" totalsRowDxfId="527">
      <totalsRowFormula>SUM(Table20[Spanish Total])</totalsRowFormula>
    </tableColumn>
    <tableColumn id="12" xr3:uid="{00000000-0010-0000-1100-00000C000000}" name="Vietnamese Total" totalsRowFunction="custom" totalsRowDxfId="526">
      <totalsRowFormula>SUM(Table20[Vietnamese Total])</totalsRowFormula>
    </tableColumn>
    <tableColumn id="13" xr3:uid="{00000000-0010-0000-1100-00000D000000}" name="Other Total" totalsRowFunction="custom" totalsRowDxfId="525">
      <totalsRowFormula>SUM(Table20[Other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Mendocino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2000000}" name="Table23" displayName="Table23" ref="A2:M4" totalsRowCount="1">
  <autoFilter ref="A2:M3" xr:uid="{00000000-0009-0000-0100-000017000000}"/>
  <tableColumns count="13">
    <tableColumn id="1" xr3:uid="{00000000-0010-0000-1200-000001000000}" name="Participating District" totalsRowLabel="Mono County Total: 1"/>
    <tableColumn id="2" xr3:uid="{00000000-0010-0000-1200-000002000000}" name="Participating School" totalsRowLabel="1" totalsRowDxfId="524"/>
    <tableColumn id="3" xr3:uid="{00000000-0010-0000-1200-000003000000}" name="American Sign Language Total" totalsRowFunction="sum"/>
    <tableColumn id="4" xr3:uid="{00000000-0010-0000-1200-000004000000}" name="Cantonese Total" totalsRowFunction="sum"/>
    <tableColumn id="5" xr3:uid="{00000000-0010-0000-1200-000005000000}" name="French Total" totalsRowFunction="sum"/>
    <tableColumn id="6" xr3:uid="{00000000-0010-0000-1200-000006000000}" name="German Total" totalsRowFunction="sum"/>
    <tableColumn id="7" xr3:uid="{00000000-0010-0000-1200-000007000000}" name="Japanese Total" totalsRowFunction="sum"/>
    <tableColumn id="8" xr3:uid="{00000000-0010-0000-1200-000008000000}" name="Korean Total" totalsRowFunction="sum"/>
    <tableColumn id="9" xr3:uid="{00000000-0010-0000-1200-000009000000}" name="Latin Total" totalsRowFunction="sum"/>
    <tableColumn id="10" xr3:uid="{00000000-0010-0000-1200-00000A000000}" name="Mandarin Total" totalsRowFunction="sum"/>
    <tableColumn id="11" xr3:uid="{00000000-0010-0000-1200-00000B000000}" name="Spanish Total" totalsRowFunction="sum"/>
    <tableColumn id="12" xr3:uid="{00000000-0010-0000-1200-00000C000000}" name="Vietnamese Total" totalsRowFunction="sum"/>
    <tableColumn id="13" xr3:uid="{00000000-0010-0000-12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Mono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M14" totalsRowCount="1" headerRowDxfId="783">
  <autoFilter ref="A2:M13" xr:uid="{00000000-0009-0000-0100-000001000000}"/>
  <tableColumns count="13">
    <tableColumn id="1" xr3:uid="{00000000-0010-0000-0100-000001000000}" name="Participating Districts" totalsRowLabel="Alameda County Total: 11" totalsRowDxfId="782"/>
    <tableColumn id="2" xr3:uid="{00000000-0010-0000-0100-000002000000}" name="Participating Schools" totalsRowLabel="33" totalsRowDxfId="781"/>
    <tableColumn id="3" xr3:uid="{00000000-0010-0000-0100-000003000000}" name="American Sign Language Total" totalsRowFunction="custom" dataDxfId="780" totalsRowDxfId="779">
      <totalsRowFormula>SUM(C3:C13)</totalsRowFormula>
    </tableColumn>
    <tableColumn id="4" xr3:uid="{00000000-0010-0000-0100-000004000000}" name="Cantonese Total" totalsRowFunction="custom" dataDxfId="778" totalsRowDxfId="777">
      <totalsRowFormula>SUM(D3:D13)</totalsRowFormula>
    </tableColumn>
    <tableColumn id="5" xr3:uid="{00000000-0010-0000-0100-000005000000}" name="French Total" totalsRowFunction="custom" dataDxfId="776" totalsRowDxfId="775">
      <totalsRowFormula>SUM(E3:E13)</totalsRowFormula>
    </tableColumn>
    <tableColumn id="6" xr3:uid="{00000000-0010-0000-0100-000006000000}" name="German Total" totalsRowFunction="custom" dataDxfId="774" totalsRowDxfId="773">
      <totalsRowFormula>SUM(F3:F13)</totalsRowFormula>
    </tableColumn>
    <tableColumn id="7" xr3:uid="{00000000-0010-0000-0100-000007000000}" name="Japanese Total" totalsRowFunction="custom" dataDxfId="772" totalsRowDxfId="771">
      <totalsRowFormula>SUM(G3:G13)</totalsRowFormula>
    </tableColumn>
    <tableColumn id="8" xr3:uid="{00000000-0010-0000-0100-000008000000}" name="Korean Total" totalsRowFunction="custom" dataDxfId="770" totalsRowDxfId="769">
      <totalsRowFormula>SUM(H3:H13)</totalsRowFormula>
    </tableColumn>
    <tableColumn id="9" xr3:uid="{00000000-0010-0000-0100-000009000000}" name="Latin Total" totalsRowFunction="custom" dataDxfId="768" totalsRowDxfId="767">
      <totalsRowFormula>SUM(I3:I13)</totalsRowFormula>
    </tableColumn>
    <tableColumn id="10" xr3:uid="{00000000-0010-0000-0100-00000A000000}" name="Mandarin Total" totalsRowFunction="custom" dataDxfId="766" totalsRowDxfId="765">
      <totalsRowFormula>SUM(J3:J13)</totalsRowFormula>
    </tableColumn>
    <tableColumn id="11" xr3:uid="{00000000-0010-0000-0100-00000B000000}" name="Spanish Total" totalsRowFunction="custom" dataDxfId="764" totalsRowDxfId="763">
      <totalsRowFormula>SUM(K3:K13)</totalsRowFormula>
    </tableColumn>
    <tableColumn id="12" xr3:uid="{00000000-0010-0000-0100-00000C000000}" name="Vietnamese Total" totalsRowFunction="custom" dataDxfId="762" totalsRowDxfId="761">
      <totalsRowFormula>SUM(L3:L13)</totalsRowFormula>
    </tableColumn>
    <tableColumn id="13" xr3:uid="{00000000-0010-0000-0100-00000D000000}" name="Other Total" totalsRowFunction="custom" dataDxfId="760" totalsRowDxfId="759">
      <totalsRowFormula>SUM(M3:M13)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3000000}" name="Table24" displayName="Table24" ref="A2:M9" totalsRowCount="1">
  <autoFilter ref="A2:M8" xr:uid="{00000000-0009-0000-0100-000018000000}"/>
  <tableColumns count="13">
    <tableColumn id="1" xr3:uid="{00000000-0010-0000-1300-000001000000}" name="Participating Districts" totalsRowLabel="Monterey County Total: 6"/>
    <tableColumn id="2" xr3:uid="{00000000-0010-0000-1300-000002000000}" name="Participating Schools" totalsRowLabel="12" totalsRowDxfId="523"/>
    <tableColumn id="3" xr3:uid="{00000000-0010-0000-1300-000003000000}" name="American Sign Language Total" totalsRowFunction="custom" totalsRowDxfId="522">
      <totalsRowFormula>SUM(Table24[American Sign Language Total])</totalsRowFormula>
    </tableColumn>
    <tableColumn id="4" xr3:uid="{00000000-0010-0000-1300-000004000000}" name="Cantonese Total" totalsRowFunction="custom" totalsRowDxfId="521">
      <totalsRowFormula>SUM(Table24[Cantonese Total])</totalsRowFormula>
    </tableColumn>
    <tableColumn id="5" xr3:uid="{00000000-0010-0000-1300-000005000000}" name="French Total" totalsRowFunction="custom" totalsRowDxfId="520">
      <totalsRowFormula>SUM(Table24[French Total])</totalsRowFormula>
    </tableColumn>
    <tableColumn id="6" xr3:uid="{00000000-0010-0000-1300-000006000000}" name="German Total" totalsRowFunction="custom" totalsRowDxfId="519">
      <totalsRowFormula>SUM(Table24[German Total])</totalsRowFormula>
    </tableColumn>
    <tableColumn id="7" xr3:uid="{00000000-0010-0000-1300-000007000000}" name="Japanese Total" totalsRowFunction="custom" totalsRowDxfId="518">
      <totalsRowFormula>SUM(Table24[Japanese Total])</totalsRowFormula>
    </tableColumn>
    <tableColumn id="8" xr3:uid="{00000000-0010-0000-1300-000008000000}" name="Korean Total" totalsRowFunction="custom" totalsRowDxfId="517">
      <totalsRowFormula>SUM(Table24[Korean Total])</totalsRowFormula>
    </tableColumn>
    <tableColumn id="9" xr3:uid="{00000000-0010-0000-1300-000009000000}" name="Latin Total" totalsRowFunction="custom" totalsRowDxfId="516">
      <totalsRowFormula>SUM(Table24[Latin Total])</totalsRowFormula>
    </tableColumn>
    <tableColumn id="10" xr3:uid="{00000000-0010-0000-1300-00000A000000}" name="Mandarin Total" totalsRowFunction="custom" totalsRowDxfId="515">
      <totalsRowFormula>SUM(Table24[Mandarin Total])</totalsRowFormula>
    </tableColumn>
    <tableColumn id="11" xr3:uid="{00000000-0010-0000-1300-00000B000000}" name="Spanish Total" totalsRowFunction="custom" totalsRowDxfId="514">
      <totalsRowFormula>SUM(Table24[Spanish Total])</totalsRowFormula>
    </tableColumn>
    <tableColumn id="12" xr3:uid="{00000000-0010-0000-1300-00000C000000}" name="Vietnamese Total" totalsRowFunction="custom" totalsRowDxfId="513">
      <totalsRowFormula>SUM(Table24[Vietnamese Total])</totalsRowFormula>
    </tableColumn>
    <tableColumn id="13" xr3:uid="{00000000-0010-0000-1300-00000D000000}" name="Other Total" totalsRowFunction="custom" totalsRowDxfId="512">
      <totalsRowFormula>SUM(Table24[Other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Monterey county and also includes language tota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4000000}" name="Table25" displayName="Table25" ref="A2:M5" totalsRowCount="1">
  <autoFilter ref="A2:M4" xr:uid="{00000000-0009-0000-0100-000019000000}"/>
  <tableColumns count="13">
    <tableColumn id="1" xr3:uid="{00000000-0010-0000-1400-000001000000}" name="Participating Districts" totalsRowLabel="Napa County Total: 2"/>
    <tableColumn id="2" xr3:uid="{00000000-0010-0000-1400-000002000000}" name="Participating Schools" totalsRowLabel="5" totalsRowDxfId="511"/>
    <tableColumn id="3" xr3:uid="{00000000-0010-0000-1400-000003000000}" name="American Sign Language Total" totalsRowFunction="custom" totalsRowDxfId="510">
      <totalsRowFormula>SUM(Table25[American Sign Language Total])</totalsRowFormula>
    </tableColumn>
    <tableColumn id="4" xr3:uid="{00000000-0010-0000-1400-000004000000}" name="Cantonese Total" totalsRowFunction="custom" totalsRowDxfId="509">
      <totalsRowFormula>SUM(Table25[Cantonese Total])</totalsRowFormula>
    </tableColumn>
    <tableColumn id="5" xr3:uid="{00000000-0010-0000-1400-000005000000}" name="French Total" totalsRowFunction="custom" totalsRowDxfId="508">
      <totalsRowFormula>SUM(Table25[French Total])</totalsRowFormula>
    </tableColumn>
    <tableColumn id="6" xr3:uid="{00000000-0010-0000-1400-000006000000}" name="German Total" totalsRowFunction="custom" totalsRowDxfId="507">
      <totalsRowFormula>SUM(Table25[German Total])</totalsRowFormula>
    </tableColumn>
    <tableColumn id="7" xr3:uid="{00000000-0010-0000-1400-000007000000}" name="Japanese Total" totalsRowFunction="custom" totalsRowDxfId="506">
      <totalsRowFormula>SUM(Table25[Japanese Total])</totalsRowFormula>
    </tableColumn>
    <tableColumn id="8" xr3:uid="{00000000-0010-0000-1400-000008000000}" name="Korean Total" totalsRowFunction="custom" totalsRowDxfId="505">
      <totalsRowFormula>SUM(Table25[Korean Total])</totalsRowFormula>
    </tableColumn>
    <tableColumn id="9" xr3:uid="{00000000-0010-0000-1400-000009000000}" name="Latin Total" totalsRowFunction="custom" totalsRowDxfId="504">
      <totalsRowFormula>SUM(Table25[Latin Total])</totalsRowFormula>
    </tableColumn>
    <tableColumn id="10" xr3:uid="{00000000-0010-0000-1400-00000A000000}" name="Mandarin Total" totalsRowFunction="custom" totalsRowDxfId="503">
      <totalsRowFormula>SUM(Table25[Mandarin Total])</totalsRowFormula>
    </tableColumn>
    <tableColumn id="11" xr3:uid="{00000000-0010-0000-1400-00000B000000}" name="Spanish Total" totalsRowFunction="custom" totalsRowDxfId="502">
      <totalsRowFormula>SUM(Table25[Spanish Total])</totalsRowFormula>
    </tableColumn>
    <tableColumn id="12" xr3:uid="{00000000-0010-0000-1400-00000C000000}" name="Vietnamese Total" totalsRowFunction="custom" totalsRowDxfId="501">
      <totalsRowFormula>SUM(Table25[Vietnamese Total])</totalsRowFormula>
    </tableColumn>
    <tableColumn id="13" xr3:uid="{00000000-0010-0000-1400-00000D000000}" name="Other Total" totalsRowFunction="custom" totalsRowDxfId="500">
      <totalsRowFormula>SUM(Table25[Other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Napa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5000000}" name="Table26" displayName="Table26" ref="A2:M5" totalsRowCount="1" headerRowDxfId="499" totalsRowDxfId="498">
  <autoFilter ref="A2:M4" xr:uid="{00000000-0009-0000-0100-00001A000000}"/>
  <tableColumns count="13">
    <tableColumn id="1" xr3:uid="{00000000-0010-0000-1500-000001000000}" name="Participating Districts" totalsRowLabel="Nevada County Total: 2" dataDxfId="497" totalsRowDxfId="496"/>
    <tableColumn id="2" xr3:uid="{00000000-0010-0000-1500-000002000000}" name="Participating Schools" totalsRowLabel="3" dataDxfId="495" totalsRowDxfId="494"/>
    <tableColumn id="3" xr3:uid="{00000000-0010-0000-1500-000003000000}" name="American Sign Language Total" totalsRowFunction="custom" dataDxfId="493" totalsRowDxfId="492">
      <totalsRowFormula>SUM(Table26[American Sign Language Total])</totalsRowFormula>
    </tableColumn>
    <tableColumn id="4" xr3:uid="{00000000-0010-0000-1500-000004000000}" name="Cantonese Total" totalsRowFunction="custom" dataDxfId="491" totalsRowDxfId="490">
      <totalsRowFormula>SUM(Table26[Cantonese Total])</totalsRowFormula>
    </tableColumn>
    <tableColumn id="5" xr3:uid="{00000000-0010-0000-1500-000005000000}" name="French Total" totalsRowFunction="custom" dataDxfId="489" totalsRowDxfId="488">
      <totalsRowFormula>SUM(Table26[French Total])</totalsRowFormula>
    </tableColumn>
    <tableColumn id="6" xr3:uid="{00000000-0010-0000-1500-000006000000}" name="German Total" totalsRowFunction="custom" dataDxfId="487" totalsRowDxfId="486">
      <totalsRowFormula>SUM(Table26[German Total])</totalsRowFormula>
    </tableColumn>
    <tableColumn id="7" xr3:uid="{00000000-0010-0000-1500-000007000000}" name="Japanese Total" totalsRowFunction="custom" dataDxfId="485" totalsRowDxfId="484">
      <totalsRowFormula>SUM(Table26[Japanese Total])</totalsRowFormula>
    </tableColumn>
    <tableColumn id="8" xr3:uid="{00000000-0010-0000-1500-000008000000}" name="Korean Total" totalsRowFunction="custom" dataDxfId="483" totalsRowDxfId="482">
      <totalsRowFormula>SUM(Table26[Korean Total])</totalsRowFormula>
    </tableColumn>
    <tableColumn id="9" xr3:uid="{00000000-0010-0000-1500-000009000000}" name="Latin Total" totalsRowFunction="custom" dataDxfId="481" totalsRowDxfId="480">
      <totalsRowFormula>SUM(Table26[Latin Total])</totalsRowFormula>
    </tableColumn>
    <tableColumn id="10" xr3:uid="{00000000-0010-0000-1500-00000A000000}" name="Mandarin Total" totalsRowFunction="custom" dataDxfId="479" totalsRowDxfId="478">
      <totalsRowFormula>SUM(Table26[Mandarin Total])</totalsRowFormula>
    </tableColumn>
    <tableColumn id="11" xr3:uid="{00000000-0010-0000-1500-00000B000000}" name="Spanish Total" totalsRowFunction="custom" dataDxfId="477" totalsRowDxfId="476">
      <totalsRowFormula>SUM(Table26[Spanish Total])</totalsRowFormula>
    </tableColumn>
    <tableColumn id="12" xr3:uid="{00000000-0010-0000-1500-00000C000000}" name="Vietnamese Total" totalsRowFunction="custom" dataDxfId="475" totalsRowDxfId="474">
      <totalsRowFormula>SUM(Table26[Vietnamese Total])</totalsRowFormula>
    </tableColumn>
    <tableColumn id="13" xr3:uid="{00000000-0010-0000-1500-00000D000000}" name="Other Total" totalsRowFunction="custom" dataDxfId="473" totalsRowDxfId="472">
      <totalsRowFormula>SUM(Table26[Other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Nevada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6000000}" name="Table27" displayName="Table27" ref="A2:M17" totalsRowCount="1" headerRowDxfId="471" dataDxfId="470" totalsRowDxfId="469">
  <autoFilter ref="A2:M16" xr:uid="{00000000-0009-0000-0100-00001B000000}"/>
  <tableColumns count="13">
    <tableColumn id="1" xr3:uid="{00000000-0010-0000-1600-000001000000}" name="Participating Districts" totalsRowLabel="Orange County Total: 14" dataDxfId="468" totalsRowDxfId="467"/>
    <tableColumn id="2" xr3:uid="{00000000-0010-0000-1600-000002000000}" name="Participating Schools" totalsRowLabel="73" dataDxfId="466" totalsRowDxfId="465"/>
    <tableColumn id="3" xr3:uid="{00000000-0010-0000-1600-000003000000}" name="American Sign Language Total" totalsRowFunction="custom" dataDxfId="464" totalsRowDxfId="463">
      <totalsRowFormula>SUM(Table27[American Sign Language Total])</totalsRowFormula>
    </tableColumn>
    <tableColumn id="4" xr3:uid="{00000000-0010-0000-1600-000004000000}" name="Cantonese Total" totalsRowFunction="custom" dataDxfId="462" totalsRowDxfId="461">
      <totalsRowFormula>SUM(Table27[Cantonese Total])</totalsRowFormula>
    </tableColumn>
    <tableColumn id="5" xr3:uid="{00000000-0010-0000-1600-000005000000}" name="French Total" totalsRowFunction="custom" dataDxfId="460" totalsRowDxfId="459">
      <totalsRowFormula>SUM(Table27[French Total])</totalsRowFormula>
    </tableColumn>
    <tableColumn id="6" xr3:uid="{00000000-0010-0000-1600-000006000000}" name="German Total" totalsRowFunction="custom" dataDxfId="458" totalsRowDxfId="457">
      <totalsRowFormula>SUM(Table27[German Total])</totalsRowFormula>
    </tableColumn>
    <tableColumn id="7" xr3:uid="{00000000-0010-0000-1600-000007000000}" name="Japanese Total" totalsRowFunction="custom" dataDxfId="456" totalsRowDxfId="455">
      <totalsRowFormula>SUM(Table27[Japanese Total])</totalsRowFormula>
    </tableColumn>
    <tableColumn id="8" xr3:uid="{00000000-0010-0000-1600-000008000000}" name="Korean Total" totalsRowFunction="custom" dataDxfId="454" totalsRowDxfId="453">
      <totalsRowFormula>SUM(Table27[Korean Total])</totalsRowFormula>
    </tableColumn>
    <tableColumn id="9" xr3:uid="{00000000-0010-0000-1600-000009000000}" name="Latin Total" totalsRowFunction="custom" dataDxfId="452" totalsRowDxfId="451">
      <totalsRowFormula>SUM(Table27[Latin Total])</totalsRowFormula>
    </tableColumn>
    <tableColumn id="10" xr3:uid="{00000000-0010-0000-1600-00000A000000}" name="Mandarin Total" totalsRowFunction="custom" dataDxfId="450" totalsRowDxfId="449">
      <totalsRowFormula>SUM(Table27[Mandarin Total])</totalsRowFormula>
    </tableColumn>
    <tableColumn id="11" xr3:uid="{00000000-0010-0000-1600-00000B000000}" name="Spanish Total" totalsRowFunction="custom" dataDxfId="448" totalsRowDxfId="447">
      <totalsRowFormula>SUM(Table27[Spanish Total])</totalsRowFormula>
    </tableColumn>
    <tableColumn id="12" xr3:uid="{00000000-0010-0000-1600-00000C000000}" name="Vietnamese Total" totalsRowFunction="custom" dataDxfId="446" totalsRowDxfId="445">
      <totalsRowFormula>SUM(Table27[Vietnamese Total])</totalsRowFormula>
    </tableColumn>
    <tableColumn id="13" xr3:uid="{00000000-0010-0000-1600-00000D000000}" name="Other Total" totalsRowFunction="custom" dataDxfId="444" totalsRowDxfId="443">
      <totalsRowFormula>SUM(Table27[Other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Orange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7000000}" name="Table28" displayName="Table28" ref="A2:M8" totalsRowCount="1" dataDxfId="442" totalsRowDxfId="441">
  <autoFilter ref="A2:M7" xr:uid="{00000000-0009-0000-0100-00001C000000}"/>
  <tableColumns count="13">
    <tableColumn id="1" xr3:uid="{00000000-0010-0000-1700-000001000000}" name="Participating Districts" totalsRowLabel="Placer County Total: 5" dataDxfId="440" totalsRowDxfId="439"/>
    <tableColumn id="2" xr3:uid="{00000000-0010-0000-1700-000002000000}" name="Participating Schools" totalsRowLabel="14" dataDxfId="438" totalsRowDxfId="437"/>
    <tableColumn id="3" xr3:uid="{00000000-0010-0000-1700-000003000000}" name="American Sign Language Total" totalsRowFunction="custom" dataDxfId="436" totalsRowDxfId="435">
      <totalsRowFormula>SUM(Table28[American Sign Language Total])</totalsRowFormula>
    </tableColumn>
    <tableColumn id="4" xr3:uid="{00000000-0010-0000-1700-000004000000}" name="Cantonese Total" totalsRowFunction="custom" dataDxfId="434" totalsRowDxfId="433">
      <totalsRowFormula>SUM(Table28[Cantonese Total])</totalsRowFormula>
    </tableColumn>
    <tableColumn id="5" xr3:uid="{00000000-0010-0000-1700-000005000000}" name="French Total" totalsRowFunction="custom" dataDxfId="432" totalsRowDxfId="431">
      <totalsRowFormula>SUM(Table28[French Total])</totalsRowFormula>
    </tableColumn>
    <tableColumn id="6" xr3:uid="{00000000-0010-0000-1700-000006000000}" name="German Total" totalsRowFunction="custom" dataDxfId="430" totalsRowDxfId="429">
      <totalsRowFormula>SUM(Table28[German Total])</totalsRowFormula>
    </tableColumn>
    <tableColumn id="7" xr3:uid="{00000000-0010-0000-1700-000007000000}" name="Japanese Total" totalsRowFunction="custom" dataDxfId="428" totalsRowDxfId="427">
      <totalsRowFormula>SUM(Table28[Japanese Total])</totalsRowFormula>
    </tableColumn>
    <tableColumn id="8" xr3:uid="{00000000-0010-0000-1700-000008000000}" name="Korean Total" totalsRowFunction="custom" dataDxfId="426" totalsRowDxfId="425">
      <totalsRowFormula>SUM(Table28[Korean Total])</totalsRowFormula>
    </tableColumn>
    <tableColumn id="9" xr3:uid="{00000000-0010-0000-1700-000009000000}" name="Latin Total" totalsRowFunction="custom" dataDxfId="424" totalsRowDxfId="423">
      <totalsRowFormula>SUM(Table28[Latin Total])</totalsRowFormula>
    </tableColumn>
    <tableColumn id="10" xr3:uid="{00000000-0010-0000-1700-00000A000000}" name="Mandarin Total" totalsRowFunction="custom" dataDxfId="422" totalsRowDxfId="421">
      <totalsRowFormula>SUM(Table28[Mandarin Total])</totalsRowFormula>
    </tableColumn>
    <tableColumn id="11" xr3:uid="{00000000-0010-0000-1700-00000B000000}" name="Spanish Total" totalsRowFunction="custom" dataDxfId="420" totalsRowDxfId="419">
      <totalsRowFormula>SUM(Table28[Spanish Total])</totalsRowFormula>
    </tableColumn>
    <tableColumn id="12" xr3:uid="{00000000-0010-0000-1700-00000C000000}" name="Vietnamese Total" totalsRowFunction="custom" dataDxfId="418" totalsRowDxfId="417">
      <totalsRowFormula>SUM(Table28[Vietnamese Total])</totalsRowFormula>
    </tableColumn>
    <tableColumn id="13" xr3:uid="{00000000-0010-0000-1700-00000D000000}" name="Other Total" totalsRowFunction="custom" dataDxfId="416" totalsRowDxfId="415">
      <totalsRowFormula>SUM(Table28[Other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Placer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8000000}" name="Table29" displayName="Table29" ref="A2:M4" totalsRowCount="1" headerRowDxfId="414" totalsRowDxfId="413">
  <autoFilter ref="A2:M3" xr:uid="{00000000-0009-0000-0100-00001D000000}"/>
  <tableColumns count="13">
    <tableColumn id="1" xr3:uid="{00000000-0010-0000-1800-000001000000}" name="Participating District" totalsRowLabel="Plumas County Total: 1" dataDxfId="412" totalsRowDxfId="411"/>
    <tableColumn id="2" xr3:uid="{00000000-0010-0000-1800-000002000000}" name="Participating Schools" totalsRowLabel="2" dataDxfId="410" totalsRowDxfId="409"/>
    <tableColumn id="3" xr3:uid="{00000000-0010-0000-1800-000003000000}" name="American Sign Language Total" totalsRowFunction="custom" dataDxfId="408" totalsRowDxfId="407">
      <totalsRowFormula>SUM(Table29[American Sign Language Total])</totalsRowFormula>
    </tableColumn>
    <tableColumn id="4" xr3:uid="{00000000-0010-0000-1800-000004000000}" name="Cantonese Total" totalsRowFunction="custom" dataDxfId="406" totalsRowDxfId="405">
      <totalsRowFormula>SUM(Table29[Cantonese Total])</totalsRowFormula>
    </tableColumn>
    <tableColumn id="5" xr3:uid="{00000000-0010-0000-1800-000005000000}" name="French Total" totalsRowFunction="custom" dataDxfId="404" totalsRowDxfId="403">
      <totalsRowFormula>SUM(Table29[French Total])</totalsRowFormula>
    </tableColumn>
    <tableColumn id="6" xr3:uid="{00000000-0010-0000-1800-000006000000}" name="German Total" totalsRowFunction="custom" dataDxfId="402" totalsRowDxfId="401">
      <totalsRowFormula>SUM(Table29[German Total])</totalsRowFormula>
    </tableColumn>
    <tableColumn id="7" xr3:uid="{00000000-0010-0000-1800-000007000000}" name="Japanese Total" totalsRowFunction="custom" dataDxfId="400" totalsRowDxfId="399">
      <totalsRowFormula>SUM(Table29[Japanese Total])</totalsRowFormula>
    </tableColumn>
    <tableColumn id="8" xr3:uid="{00000000-0010-0000-1800-000008000000}" name="Korean Total" totalsRowFunction="custom" dataDxfId="398" totalsRowDxfId="397">
      <totalsRowFormula>SUM(Table29[Korean Total])</totalsRowFormula>
    </tableColumn>
    <tableColumn id="9" xr3:uid="{00000000-0010-0000-1800-000009000000}" name="Latin Total" totalsRowFunction="custom" dataDxfId="396" totalsRowDxfId="395">
      <totalsRowFormula>SUM(Table29[Latin Total])</totalsRowFormula>
    </tableColumn>
    <tableColumn id="10" xr3:uid="{00000000-0010-0000-1800-00000A000000}" name="Mandarin Total" totalsRowFunction="custom" dataDxfId="394" totalsRowDxfId="393">
      <totalsRowFormula>SUM(Table29[Mandarin Total])</totalsRowFormula>
    </tableColumn>
    <tableColumn id="11" xr3:uid="{00000000-0010-0000-1800-00000B000000}" name="Spanish Total" totalsRowFunction="custom" dataDxfId="392" totalsRowDxfId="391">
      <totalsRowFormula>SUM(Table29[Spanish Total])</totalsRowFormula>
    </tableColumn>
    <tableColumn id="12" xr3:uid="{00000000-0010-0000-1800-00000C000000}" name="Vietnamese Total" totalsRowFunction="custom" dataDxfId="390" totalsRowDxfId="389">
      <totalsRowFormula>SUM(Table29[Vietnamese Total])</totalsRowFormula>
    </tableColumn>
    <tableColumn id="13" xr3:uid="{00000000-0010-0000-1800-00000D000000}" name="Other Total" totalsRowFunction="custom" dataDxfId="388" totalsRowDxfId="387">
      <totalsRowFormula>SUM(Table29[Other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Plumas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9000000}" name="Table31" displayName="Table31" ref="A2:M18" totalsRowCount="1" headerRowDxfId="386" dataDxfId="385" totalsRowDxfId="384">
  <autoFilter ref="A2:M17" xr:uid="{00000000-0009-0000-0100-00001F000000}"/>
  <tableColumns count="13">
    <tableColumn id="1" xr3:uid="{00000000-0010-0000-1900-000001000000}" name="Participating Districts" totalsRowLabel="Riverside County Total: 15" dataDxfId="383" totalsRowDxfId="382"/>
    <tableColumn id="2" xr3:uid="{00000000-0010-0000-1900-000002000000}" name="Participating Schools" totalsRowLabel="46" dataDxfId="381" totalsRowDxfId="380"/>
    <tableColumn id="3" xr3:uid="{00000000-0010-0000-1900-000003000000}" name="American Sign Language Total" totalsRowFunction="custom" dataDxfId="379" totalsRowDxfId="378">
      <totalsRowFormula>SUM(Table31[American Sign Language Total])</totalsRowFormula>
    </tableColumn>
    <tableColumn id="4" xr3:uid="{00000000-0010-0000-1900-000004000000}" name="Cantonese Total" totalsRowFunction="custom" dataDxfId="377" totalsRowDxfId="376">
      <totalsRowFormula>SUM(Table31[Cantonese Total])</totalsRowFormula>
    </tableColumn>
    <tableColumn id="5" xr3:uid="{00000000-0010-0000-1900-000005000000}" name="French Total" totalsRowFunction="custom" dataDxfId="375" totalsRowDxfId="374">
      <totalsRowFormula>SUM(Table31[French Total])</totalsRowFormula>
    </tableColumn>
    <tableColumn id="6" xr3:uid="{00000000-0010-0000-1900-000006000000}" name="German Total" totalsRowFunction="custom" dataDxfId="373" totalsRowDxfId="372">
      <totalsRowFormula>SUM(Table31[German Total])</totalsRowFormula>
    </tableColumn>
    <tableColumn id="7" xr3:uid="{00000000-0010-0000-1900-000007000000}" name="Japanese Total" totalsRowFunction="custom" dataDxfId="371" totalsRowDxfId="370">
      <totalsRowFormula>SUM(Table31[Japanese Total])</totalsRowFormula>
    </tableColumn>
    <tableColumn id="8" xr3:uid="{00000000-0010-0000-1900-000008000000}" name="Korean Total" totalsRowFunction="custom" dataDxfId="369" totalsRowDxfId="368">
      <totalsRowFormula>SUM(Table31[Korean Total])</totalsRowFormula>
    </tableColumn>
    <tableColumn id="9" xr3:uid="{00000000-0010-0000-1900-000009000000}" name="Latin Total" totalsRowFunction="custom" dataDxfId="367" totalsRowDxfId="366">
      <totalsRowFormula>SUM(Table31[Latin Total])</totalsRowFormula>
    </tableColumn>
    <tableColumn id="10" xr3:uid="{00000000-0010-0000-1900-00000A000000}" name="Mandarin Total" totalsRowFunction="custom" dataDxfId="365" totalsRowDxfId="364">
      <totalsRowFormula>SUM(Table31[Mandarin Total])</totalsRowFormula>
    </tableColumn>
    <tableColumn id="11" xr3:uid="{00000000-0010-0000-1900-00000B000000}" name="Spanish Total" totalsRowFunction="custom" dataDxfId="363" totalsRowDxfId="362">
      <totalsRowFormula>SUM(Table31[Spanish Total])</totalsRowFormula>
    </tableColumn>
    <tableColumn id="12" xr3:uid="{00000000-0010-0000-1900-00000C000000}" name="Vietnamese Total" totalsRowFunction="custom" dataDxfId="361" totalsRowDxfId="360">
      <totalsRowFormula>SUM(Table31[Vietnamese Total])</totalsRowFormula>
    </tableColumn>
    <tableColumn id="13" xr3:uid="{00000000-0010-0000-1900-00000D000000}" name="Other Total" totalsRowFunction="custom" dataDxfId="359" totalsRowDxfId="358">
      <totalsRowFormula>SUM(Table31[Other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Riverside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A000000}" name="Table32" displayName="Table32" ref="A2:M12" totalsRowCount="1" headerRowDxfId="357" totalsRowDxfId="356">
  <autoFilter ref="A2:M11" xr:uid="{00000000-0009-0000-0100-000020000000}"/>
  <tableColumns count="13">
    <tableColumn id="1" xr3:uid="{00000000-0010-0000-1A00-000001000000}" name="Participating Districts" totalsRowLabel="Sacramento County Total: 9" totalsRowDxfId="355"/>
    <tableColumn id="2" xr3:uid="{00000000-0010-0000-1A00-000002000000}" name="Participating Schools" totalsRowLabel="49" totalsRowDxfId="354"/>
    <tableColumn id="3" xr3:uid="{00000000-0010-0000-1A00-000003000000}" name="American Sign Language Total" totalsRowFunction="custom" totalsRowDxfId="353">
      <totalsRowFormula>SUM(Table32[American Sign Language Total])</totalsRowFormula>
    </tableColumn>
    <tableColumn id="4" xr3:uid="{00000000-0010-0000-1A00-000004000000}" name="Cantonese Total" totalsRowFunction="custom" totalsRowDxfId="352">
      <totalsRowFormula>SUM(Table32[Cantonese Total])</totalsRowFormula>
    </tableColumn>
    <tableColumn id="5" xr3:uid="{00000000-0010-0000-1A00-000005000000}" name="French Total" totalsRowFunction="custom" totalsRowDxfId="351">
      <totalsRowFormula>SUM(Table32[French Total])</totalsRowFormula>
    </tableColumn>
    <tableColumn id="6" xr3:uid="{00000000-0010-0000-1A00-000006000000}" name="German Total" totalsRowFunction="custom" totalsRowDxfId="350">
      <totalsRowFormula>SUM(Table32[German Total])</totalsRowFormula>
    </tableColumn>
    <tableColumn id="7" xr3:uid="{00000000-0010-0000-1A00-000007000000}" name="Japanese Total" totalsRowFunction="custom" totalsRowDxfId="349">
      <totalsRowFormula>SUM(Table32[Japanese Total])</totalsRowFormula>
    </tableColumn>
    <tableColumn id="8" xr3:uid="{00000000-0010-0000-1A00-000008000000}" name="Korean Total" totalsRowFunction="custom" totalsRowDxfId="348">
      <totalsRowFormula>SUM(Table32[Korean Total])</totalsRowFormula>
    </tableColumn>
    <tableColumn id="9" xr3:uid="{00000000-0010-0000-1A00-000009000000}" name="Latin Total" totalsRowFunction="custom" totalsRowDxfId="347">
      <totalsRowFormula>SUM(Table32[Latin Total])</totalsRowFormula>
    </tableColumn>
    <tableColumn id="10" xr3:uid="{00000000-0010-0000-1A00-00000A000000}" name="Mandarin Total" totalsRowFunction="custom" totalsRowDxfId="346">
      <totalsRowFormula>SUM(Table32[Mandarin Total])</totalsRowFormula>
    </tableColumn>
    <tableColumn id="11" xr3:uid="{00000000-0010-0000-1A00-00000B000000}" name="Spanish Total" totalsRowFunction="custom" totalsRowDxfId="345">
      <totalsRowFormula>SUM(Table32[Spanish Total])</totalsRowFormula>
    </tableColumn>
    <tableColumn id="12" xr3:uid="{00000000-0010-0000-1A00-00000C000000}" name="Vietnamese Total" totalsRowFunction="custom" totalsRowDxfId="344">
      <totalsRowFormula>SUM(Table32[Vietnamese Total])</totalsRowFormula>
    </tableColumn>
    <tableColumn id="13" xr3:uid="{00000000-0010-0000-1A00-00000D000000}" name="Other Total" totalsRowFunction="custom" totalsRowDxfId="343">
      <totalsRowFormula>SUM(Table32[Other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acramento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B000000}" name="Table3216" displayName="Table3216" ref="A2:M4" totalsRowCount="1" headerRowDxfId="342" totalsRowDxfId="341">
  <autoFilter ref="A2:M3" xr:uid="{00000000-0009-0000-0100-00000F000000}"/>
  <tableColumns count="13">
    <tableColumn id="1" xr3:uid="{00000000-0010-0000-1B00-000001000000}" name="Participating District" totalsRowLabel="Sacramento County Total: 1" totalsRowDxfId="340"/>
    <tableColumn id="2" xr3:uid="{00000000-0010-0000-1B00-000002000000}" name="Participating School" totalsRowLabel="1" totalsRowDxfId="339"/>
    <tableColumn id="3" xr3:uid="{00000000-0010-0000-1B00-000003000000}" name="American Sign Language Total" totalsRowFunction="custom" totalsRowDxfId="338">
      <totalsRowFormula>SUM(Table3216[American Sign Language Total])</totalsRowFormula>
    </tableColumn>
    <tableColumn id="4" xr3:uid="{00000000-0010-0000-1B00-000004000000}" name="Cantonese Total" totalsRowFunction="custom" totalsRowDxfId="337">
      <totalsRowFormula>SUM(Table3216[Cantonese Total])</totalsRowFormula>
    </tableColumn>
    <tableColumn id="5" xr3:uid="{00000000-0010-0000-1B00-000005000000}" name="French Total" totalsRowFunction="custom" totalsRowDxfId="336">
      <totalsRowFormula>SUM(Table3216[French Total])</totalsRowFormula>
    </tableColumn>
    <tableColumn id="6" xr3:uid="{00000000-0010-0000-1B00-000006000000}" name="German Total" totalsRowFunction="custom" totalsRowDxfId="335">
      <totalsRowFormula>SUM(Table3216[German Total])</totalsRowFormula>
    </tableColumn>
    <tableColumn id="7" xr3:uid="{00000000-0010-0000-1B00-000007000000}" name="Japanese Total" totalsRowFunction="custom" totalsRowDxfId="334">
      <totalsRowFormula>SUM(Table3216[Japanese Total])</totalsRowFormula>
    </tableColumn>
    <tableColumn id="8" xr3:uid="{00000000-0010-0000-1B00-000008000000}" name="Korean Total" totalsRowFunction="custom" totalsRowDxfId="333">
      <totalsRowFormula>SUM(Table3216[Korean Total])</totalsRowFormula>
    </tableColumn>
    <tableColumn id="9" xr3:uid="{00000000-0010-0000-1B00-000009000000}" name="Latin Total" totalsRowFunction="custom" totalsRowDxfId="332">
      <totalsRowFormula>SUM(Table3216[Latin Total])</totalsRowFormula>
    </tableColumn>
    <tableColumn id="10" xr3:uid="{00000000-0010-0000-1B00-00000A000000}" name="Mandarin Total" totalsRowFunction="custom" totalsRowDxfId="331">
      <totalsRowFormula>SUM(Table3216[Mandarin Total])</totalsRowFormula>
    </tableColumn>
    <tableColumn id="11" xr3:uid="{00000000-0010-0000-1B00-00000B000000}" name="Spanish Total" totalsRowFunction="custom" totalsRowDxfId="330">
      <totalsRowFormula>SUM(Table3216[Spanish Total])</totalsRowFormula>
    </tableColumn>
    <tableColumn id="12" xr3:uid="{00000000-0010-0000-1B00-00000C000000}" name="Vietnamese Total" totalsRowFunction="custom" totalsRowDxfId="329">
      <totalsRowFormula>SUM(Table3216[Vietnamese Total])</totalsRowFormula>
    </tableColumn>
    <tableColumn id="13" xr3:uid="{00000000-0010-0000-1B00-00000D000000}" name="Other Total" totalsRowFunction="custom" totalsRowDxfId="328">
      <totalsRowFormula>SUM(Table3216[Other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an Benito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1C000000}" name="Table3458" displayName="Table3458" ref="A2:M15" totalsRowCount="1" dataDxfId="327">
  <autoFilter ref="A2:M14" xr:uid="{00000000-0009-0000-0100-000039000000}"/>
  <tableColumns count="13">
    <tableColumn id="1" xr3:uid="{00000000-0010-0000-1C00-000001000000}" name="Participating Districts" totalsRowLabel="San Bernardino County Total: 12" dataDxfId="326"/>
    <tableColumn id="2" xr3:uid="{00000000-0010-0000-1C00-000002000000}" name="Participating Schools" totalsRowLabel="40" dataDxfId="325" totalsRowDxfId="324"/>
    <tableColumn id="3" xr3:uid="{00000000-0010-0000-1C00-000003000000}" name="American Sign Language Total" totalsRowFunction="custom" dataDxfId="323" totalsRowDxfId="322">
      <totalsRowFormula>SUM(Table3458[American Sign Language Total])</totalsRowFormula>
    </tableColumn>
    <tableColumn id="4" xr3:uid="{00000000-0010-0000-1C00-000004000000}" name="Cantonese Total" totalsRowFunction="custom" dataDxfId="321" totalsRowDxfId="320">
      <totalsRowFormula>SUM(Table3458[Cantonese Total])</totalsRowFormula>
    </tableColumn>
    <tableColumn id="5" xr3:uid="{00000000-0010-0000-1C00-000005000000}" name="French Total" totalsRowFunction="custom" dataDxfId="319" totalsRowDxfId="318">
      <totalsRowFormula>SUM(Table3458[French Total])</totalsRowFormula>
    </tableColumn>
    <tableColumn id="6" xr3:uid="{00000000-0010-0000-1C00-000006000000}" name="German Total" totalsRowFunction="custom" dataDxfId="317" totalsRowDxfId="316">
      <totalsRowFormula>SUM(Table3458[German Total])</totalsRowFormula>
    </tableColumn>
    <tableColumn id="7" xr3:uid="{00000000-0010-0000-1C00-000007000000}" name="Japanese Total" totalsRowFunction="custom" dataDxfId="315" totalsRowDxfId="314">
      <totalsRowFormula>SUM(Table3458[Japanese Total])</totalsRowFormula>
    </tableColumn>
    <tableColumn id="8" xr3:uid="{00000000-0010-0000-1C00-000008000000}" name="Korean Total" totalsRowFunction="custom" dataDxfId="313" totalsRowDxfId="312">
      <totalsRowFormula>SUM(Table3458[Korean Total])</totalsRowFormula>
    </tableColumn>
    <tableColumn id="9" xr3:uid="{00000000-0010-0000-1C00-000009000000}" name="Latin Total" totalsRowFunction="custom" dataDxfId="311" totalsRowDxfId="310">
      <totalsRowFormula>SUM(Table3458[Latin Total])</totalsRowFormula>
    </tableColumn>
    <tableColumn id="10" xr3:uid="{00000000-0010-0000-1C00-00000A000000}" name="Mandarin Total" totalsRowFunction="custom" dataDxfId="309" totalsRowDxfId="308">
      <totalsRowFormula>SUM(Table3458[Mandarin Total])</totalsRowFormula>
    </tableColumn>
    <tableColumn id="11" xr3:uid="{00000000-0010-0000-1C00-00000B000000}" name="Spanish Total" totalsRowFunction="custom" dataDxfId="307" totalsRowDxfId="306">
      <totalsRowFormula>SUM(Table3458[Spanish Total])</totalsRowFormula>
    </tableColumn>
    <tableColumn id="12" xr3:uid="{00000000-0010-0000-1C00-00000C000000}" name="Vietnamese Total" totalsRowFunction="custom" dataDxfId="305" totalsRowDxfId="304">
      <totalsRowFormula>SUM(Table3458[Vietnamese Total])</totalsRowFormula>
    </tableColumn>
    <tableColumn id="13" xr3:uid="{00000000-0010-0000-1C00-00000D000000}" name="Other Total" totalsRowFunction="custom" dataDxfId="303" totalsRowDxfId="302">
      <totalsRowFormula>SUM(Table3458[Other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an Bernardino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4" displayName="Table4" ref="A2:M6" totalsRowCount="1" headerRowDxfId="758">
  <autoFilter ref="A2:M5" xr:uid="{00000000-0009-0000-0100-000002000000}"/>
  <tableColumns count="13">
    <tableColumn id="1" xr3:uid="{00000000-0010-0000-0200-000001000000}" name="Participating Districts" totalsRowLabel="Butte County Total: 3" totalsRowDxfId="757"/>
    <tableColumn id="2" xr3:uid="{00000000-0010-0000-0200-000002000000}" name="Participating Schools" totalsRowLabel="5" totalsRowDxfId="756"/>
    <tableColumn id="3" xr3:uid="{00000000-0010-0000-0200-000003000000}" name="American Sign Language Total" totalsRowFunction="custom" dataDxfId="755" totalsRowDxfId="754">
      <totalsRowFormula>SUM(C3:C5)</totalsRowFormula>
    </tableColumn>
    <tableColumn id="4" xr3:uid="{00000000-0010-0000-0200-000004000000}" name="Cantonese Total" totalsRowFunction="custom" dataDxfId="753" totalsRowDxfId="752">
      <totalsRowFormula>SUM(D3:D5)</totalsRowFormula>
    </tableColumn>
    <tableColumn id="5" xr3:uid="{00000000-0010-0000-0200-000005000000}" name="French Total" totalsRowFunction="custom" dataDxfId="751" totalsRowDxfId="750">
      <totalsRowFormula>SUM(E3:E5)</totalsRowFormula>
    </tableColumn>
    <tableColumn id="6" xr3:uid="{00000000-0010-0000-0200-000006000000}" name="German Total" totalsRowFunction="custom" dataDxfId="749" totalsRowDxfId="748">
      <totalsRowFormula>SUM(F3:F5)</totalsRowFormula>
    </tableColumn>
    <tableColumn id="7" xr3:uid="{00000000-0010-0000-0200-000007000000}" name="Japanese Total" totalsRowFunction="custom" dataDxfId="747" totalsRowDxfId="746">
      <totalsRowFormula>SUM(G3:G5)</totalsRowFormula>
    </tableColumn>
    <tableColumn id="8" xr3:uid="{00000000-0010-0000-0200-000008000000}" name="Korean Total" totalsRowFunction="custom" dataDxfId="745" totalsRowDxfId="744">
      <totalsRowFormula>SUM(H3:H5)</totalsRowFormula>
    </tableColumn>
    <tableColumn id="9" xr3:uid="{00000000-0010-0000-0200-000009000000}" name="Latin Total" totalsRowFunction="custom" dataDxfId="743" totalsRowDxfId="742">
      <totalsRowFormula>SUM(I3:I5)</totalsRowFormula>
    </tableColumn>
    <tableColumn id="10" xr3:uid="{00000000-0010-0000-0200-00000A000000}" name="Mandarin Total" totalsRowFunction="custom" dataDxfId="741" totalsRowDxfId="740">
      <totalsRowFormula>SUM(J3:J5)</totalsRowFormula>
    </tableColumn>
    <tableColumn id="11" xr3:uid="{00000000-0010-0000-0200-00000B000000}" name="Spanish Total" totalsRowFunction="custom" dataDxfId="739" totalsRowDxfId="738">
      <totalsRowFormula>SUM(K3:K5)</totalsRowFormula>
    </tableColumn>
    <tableColumn id="12" xr3:uid="{00000000-0010-0000-0200-00000C000000}" name="Vietnamese Total" totalsRowFunction="custom" dataDxfId="737" totalsRowDxfId="736">
      <totalsRowFormula>SUM(L3:L5)</totalsRowFormula>
    </tableColumn>
    <tableColumn id="13" xr3:uid="{00000000-0010-0000-0200-00000D000000}" name="Other Total" totalsRowFunction="custom" dataDxfId="735" totalsRowDxfId="734">
      <totalsRowFormula>SUM(M3:M5)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Butte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D000000}" name="Table35" displayName="Table35" ref="A2:M12" totalsRowCount="1" dataDxfId="301">
  <autoFilter ref="A2:M11" xr:uid="{00000000-0009-0000-0100-000023000000}"/>
  <tableColumns count="13">
    <tableColumn id="1" xr3:uid="{00000000-0010-0000-1D00-000001000000}" name="Participating Districts" totalsRowLabel="San Diego County Total: 9" dataDxfId="300"/>
    <tableColumn id="2" xr3:uid="{00000000-0010-0000-1D00-000002000000}" name="Participating Schools" totalsRowLabel="34" dataDxfId="299" totalsRowDxfId="298"/>
    <tableColumn id="3" xr3:uid="{00000000-0010-0000-1D00-000003000000}" name="American Sign Language Total" totalsRowFunction="custom" dataDxfId="297" totalsRowDxfId="296">
      <totalsRowFormula>SUM(Table35[American Sign Language Total])</totalsRowFormula>
    </tableColumn>
    <tableColumn id="4" xr3:uid="{00000000-0010-0000-1D00-000004000000}" name="Cantonese Total" totalsRowFunction="custom" dataDxfId="295" totalsRowDxfId="294">
      <totalsRowFormula>SUM(Table35[Cantonese Total])</totalsRowFormula>
    </tableColumn>
    <tableColumn id="5" xr3:uid="{00000000-0010-0000-1D00-000005000000}" name="French Total" totalsRowFunction="custom" dataDxfId="293" totalsRowDxfId="292">
      <totalsRowFormula>SUM(Table35[French Total])</totalsRowFormula>
    </tableColumn>
    <tableColumn id="6" xr3:uid="{00000000-0010-0000-1D00-000006000000}" name="German Total" totalsRowFunction="custom" dataDxfId="291" totalsRowDxfId="290">
      <totalsRowFormula>SUM(Table35[German Total])</totalsRowFormula>
    </tableColumn>
    <tableColumn id="7" xr3:uid="{00000000-0010-0000-1D00-000007000000}" name="Japanese Total" totalsRowFunction="custom" dataDxfId="289" totalsRowDxfId="288">
      <totalsRowFormula>SUM(Table35[Japanese Total])</totalsRowFormula>
    </tableColumn>
    <tableColumn id="8" xr3:uid="{00000000-0010-0000-1D00-000008000000}" name="Korean Total" totalsRowFunction="custom" dataDxfId="287" totalsRowDxfId="286">
      <totalsRowFormula>SUM(Table35[Korean Total])</totalsRowFormula>
    </tableColumn>
    <tableColumn id="9" xr3:uid="{00000000-0010-0000-1D00-000009000000}" name="Latin Total" totalsRowFunction="custom" dataDxfId="285" totalsRowDxfId="284">
      <totalsRowFormula>SUM(Table35[Latin Total])</totalsRowFormula>
    </tableColumn>
    <tableColumn id="10" xr3:uid="{00000000-0010-0000-1D00-00000A000000}" name="Mandarin Total" totalsRowFunction="custom" dataDxfId="283" totalsRowDxfId="282">
      <totalsRowFormula>SUM(Table35[Mandarin Total])</totalsRowFormula>
    </tableColumn>
    <tableColumn id="11" xr3:uid="{00000000-0010-0000-1D00-00000B000000}" name="Spanish Total" totalsRowFunction="custom" dataDxfId="281" totalsRowDxfId="280">
      <totalsRowFormula>SUM(Table35[Spanish Total])</totalsRowFormula>
    </tableColumn>
    <tableColumn id="12" xr3:uid="{00000000-0010-0000-1D00-00000C000000}" name="Vietnamese Total" totalsRowFunction="custom" dataDxfId="279" totalsRowDxfId="278">
      <totalsRowFormula>SUM(Table35[Vietnamese Total])</totalsRowFormula>
    </tableColumn>
    <tableColumn id="13" xr3:uid="{00000000-0010-0000-1D00-00000D000000}" name="Other Total" totalsRowFunction="custom" dataDxfId="277" totalsRowDxfId="276">
      <totalsRowFormula>SUM(Table35[Other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an Diego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E000000}" name="Table36" displayName="Table36" ref="A2:M4" totalsRowCount="1" dataDxfId="275" totalsRowDxfId="274">
  <autoFilter ref="A2:M3" xr:uid="{00000000-0009-0000-0100-000024000000}"/>
  <tableColumns count="13">
    <tableColumn id="1" xr3:uid="{00000000-0010-0000-1E00-000001000000}" name="Participating District" totalsRowLabel="San Francisco County Total: 1" dataDxfId="273" totalsRowDxfId="272"/>
    <tableColumn id="2" xr3:uid="{00000000-0010-0000-1E00-000002000000}" name="Participating Schools" totalsRowLabel="13" dataDxfId="271" totalsRowDxfId="270"/>
    <tableColumn id="3" xr3:uid="{00000000-0010-0000-1E00-000003000000}" name="American Sign Language Total" totalsRowFunction="custom" dataDxfId="269" totalsRowDxfId="268">
      <totalsRowFormula>SUM(Table36[American Sign Language Total])</totalsRowFormula>
    </tableColumn>
    <tableColumn id="4" xr3:uid="{00000000-0010-0000-1E00-000004000000}" name="Cantonese Total" totalsRowFunction="custom" dataDxfId="267" totalsRowDxfId="266">
      <totalsRowFormula>SUM(Table36[Cantonese Total])</totalsRowFormula>
    </tableColumn>
    <tableColumn id="5" xr3:uid="{00000000-0010-0000-1E00-000005000000}" name="French Total" totalsRowFunction="custom" dataDxfId="265" totalsRowDxfId="264">
      <totalsRowFormula>SUM(Table36[French Total])</totalsRowFormula>
    </tableColumn>
    <tableColumn id="6" xr3:uid="{00000000-0010-0000-1E00-000006000000}" name="German Total" totalsRowFunction="custom" dataDxfId="263" totalsRowDxfId="262">
      <totalsRowFormula>SUM(Table36[German Total])</totalsRowFormula>
    </tableColumn>
    <tableColumn id="7" xr3:uid="{00000000-0010-0000-1E00-000007000000}" name="Japanese Total" totalsRowFunction="custom" dataDxfId="261" totalsRowDxfId="260">
      <totalsRowFormula>SUM(Table36[Japanese Total])</totalsRowFormula>
    </tableColumn>
    <tableColumn id="8" xr3:uid="{00000000-0010-0000-1E00-000008000000}" name="Korean Total" totalsRowFunction="custom" dataDxfId="259" totalsRowDxfId="258">
      <totalsRowFormula>SUM(Table36[Korean Total])</totalsRowFormula>
    </tableColumn>
    <tableColumn id="9" xr3:uid="{00000000-0010-0000-1E00-000009000000}" name="Latin Total" totalsRowFunction="custom" dataDxfId="257" totalsRowDxfId="256">
      <totalsRowFormula>SUM(Table36[Latin Total])</totalsRowFormula>
    </tableColumn>
    <tableColumn id="10" xr3:uid="{00000000-0010-0000-1E00-00000A000000}" name="Mandarin Total" totalsRowFunction="custom" dataDxfId="255" totalsRowDxfId="254">
      <totalsRowFormula>SUM(Table36[Mandarin Total])</totalsRowFormula>
    </tableColumn>
    <tableColumn id="11" xr3:uid="{00000000-0010-0000-1E00-00000B000000}" name="Spanish Total" totalsRowFunction="custom" dataDxfId="253" totalsRowDxfId="252">
      <totalsRowFormula>SUM(Table36[Spanish Total])</totalsRowFormula>
    </tableColumn>
    <tableColumn id="12" xr3:uid="{00000000-0010-0000-1E00-00000C000000}" name="Vietnamese Total" totalsRowFunction="custom" dataDxfId="251" totalsRowDxfId="250">
      <totalsRowFormula>SUM(Table36[Vietnamese Total])</totalsRowFormula>
    </tableColumn>
    <tableColumn id="13" xr3:uid="{00000000-0010-0000-1E00-00000D000000}" name="Other Total" totalsRowFunction="custom" dataDxfId="249" totalsRowDxfId="248">
      <totalsRowFormula>SUM(Table36[Other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an Francisco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F000000}" name="Table37" displayName="Table37" ref="A2:M11" totalsRowCount="1" dataDxfId="247">
  <autoFilter ref="A2:M10" xr:uid="{00000000-0009-0000-0100-000025000000}"/>
  <tableColumns count="13">
    <tableColumn id="1" xr3:uid="{00000000-0010-0000-1F00-000001000000}" name="Participating Districts" totalsRowLabel="San Joaquin County Total: 8" dataDxfId="246"/>
    <tableColumn id="2" xr3:uid="{00000000-0010-0000-1F00-000002000000}" name="Participating Schools" totalsRowLabel="16" dataDxfId="245" totalsRowDxfId="244"/>
    <tableColumn id="3" xr3:uid="{00000000-0010-0000-1F00-000003000000}" name="American Sign Language Total" totalsRowFunction="custom" dataDxfId="243" totalsRowDxfId="242">
      <totalsRowFormula>SUM(Table37[American Sign Language Total])</totalsRowFormula>
    </tableColumn>
    <tableColumn id="4" xr3:uid="{00000000-0010-0000-1F00-000004000000}" name="Cantonese Total" totalsRowFunction="custom" dataDxfId="241" totalsRowDxfId="240">
      <totalsRowFormula>SUM(Table37[Cantonese Total])</totalsRowFormula>
    </tableColumn>
    <tableColumn id="5" xr3:uid="{00000000-0010-0000-1F00-000005000000}" name="French Total" totalsRowFunction="custom" dataDxfId="239" totalsRowDxfId="238">
      <totalsRowFormula>SUM(Table37[French Total])</totalsRowFormula>
    </tableColumn>
    <tableColumn id="6" xr3:uid="{00000000-0010-0000-1F00-000006000000}" name="German Total" totalsRowFunction="custom" dataDxfId="237" totalsRowDxfId="236">
      <totalsRowFormula>SUM(Table37[German Total])</totalsRowFormula>
    </tableColumn>
    <tableColumn id="7" xr3:uid="{00000000-0010-0000-1F00-000007000000}" name="Japanese Total" totalsRowFunction="custom" dataDxfId="235" totalsRowDxfId="234">
      <totalsRowFormula>SUM(Table37[Japanese Total])</totalsRowFormula>
    </tableColumn>
    <tableColumn id="8" xr3:uid="{00000000-0010-0000-1F00-000008000000}" name="Korean Total" totalsRowFunction="custom" dataDxfId="233" totalsRowDxfId="232">
      <totalsRowFormula>SUM(Table37[Korean Total])</totalsRowFormula>
    </tableColumn>
    <tableColumn id="9" xr3:uid="{00000000-0010-0000-1F00-000009000000}" name="Latin Total" totalsRowFunction="custom" dataDxfId="231" totalsRowDxfId="230">
      <totalsRowFormula>SUM(Table37[Latin Total])</totalsRowFormula>
    </tableColumn>
    <tableColumn id="10" xr3:uid="{00000000-0010-0000-1F00-00000A000000}" name="Mandarin Total" totalsRowFunction="custom" dataDxfId="229" totalsRowDxfId="228">
      <totalsRowFormula>SUM(Table37[Mandarin Total])</totalsRowFormula>
    </tableColumn>
    <tableColumn id="11" xr3:uid="{00000000-0010-0000-1F00-00000B000000}" name="Spanish Total" totalsRowFunction="custom" dataDxfId="227" totalsRowDxfId="226">
      <totalsRowFormula>SUM(Table37[Spanish Total])</totalsRowFormula>
    </tableColumn>
    <tableColumn id="12" xr3:uid="{00000000-0010-0000-1F00-00000C000000}" name="Vietnamese Total" totalsRowFunction="custom" dataDxfId="225" totalsRowDxfId="224">
      <totalsRowFormula>SUM(Table37[Vietnamese Total])</totalsRowFormula>
    </tableColumn>
    <tableColumn id="13" xr3:uid="{00000000-0010-0000-1F00-00000D000000}" name="Other Total" totalsRowFunction="custom" dataDxfId="223" totalsRowDxfId="222">
      <totalsRowFormula>SUM(Table37[Other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an Joaquin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0000000}" name="Table38" displayName="Table38" ref="A2:M8" totalsRowCount="1">
  <autoFilter ref="A2:M7" xr:uid="{00000000-0009-0000-0100-000026000000}"/>
  <tableColumns count="13">
    <tableColumn id="1" xr3:uid="{00000000-0010-0000-2000-000001000000}" name="Participating Districts" totalsRowLabel="San Luis Obispo County Total: 5"/>
    <tableColumn id="2" xr3:uid="{00000000-0010-0000-2000-000002000000}" name="Participating Schools" totalsRowLabel="7" totalsRowDxfId="221"/>
    <tableColumn id="3" xr3:uid="{00000000-0010-0000-2000-000003000000}" name="American Sign Language Total" totalsRowFunction="custom" totalsRowDxfId="220">
      <totalsRowFormula>SUM(Table38[American Sign Language Total])</totalsRowFormula>
    </tableColumn>
    <tableColumn id="4" xr3:uid="{00000000-0010-0000-2000-000004000000}" name="Cantonese Total" totalsRowFunction="custom" totalsRowDxfId="219">
      <totalsRowFormula>SUM(Table38[Cantonese Total])</totalsRowFormula>
    </tableColumn>
    <tableColumn id="5" xr3:uid="{00000000-0010-0000-2000-000005000000}" name="French Total" totalsRowFunction="custom" totalsRowDxfId="218">
      <totalsRowFormula>SUM(Table38[French Total])</totalsRowFormula>
    </tableColumn>
    <tableColumn id="6" xr3:uid="{00000000-0010-0000-2000-000006000000}" name="German Total" totalsRowFunction="custom" totalsRowDxfId="217">
      <totalsRowFormula>SUM(Table38[German Total])</totalsRowFormula>
    </tableColumn>
    <tableColumn id="7" xr3:uid="{00000000-0010-0000-2000-000007000000}" name="Japanese Total" totalsRowFunction="custom" totalsRowDxfId="216">
      <totalsRowFormula>SUM(Table38[Japanese Total])</totalsRowFormula>
    </tableColumn>
    <tableColumn id="8" xr3:uid="{00000000-0010-0000-2000-000008000000}" name="Korean Total" totalsRowFunction="custom" totalsRowDxfId="215">
      <totalsRowFormula>SUM(Table38[Korean Total])</totalsRowFormula>
    </tableColumn>
    <tableColumn id="9" xr3:uid="{00000000-0010-0000-2000-000009000000}" name="Latin Total" totalsRowFunction="custom" totalsRowDxfId="214">
      <totalsRowFormula>SUM(Table38[Latin Total])</totalsRowFormula>
    </tableColumn>
    <tableColumn id="10" xr3:uid="{00000000-0010-0000-2000-00000A000000}" name="Mandarin Total" totalsRowFunction="custom" totalsRowDxfId="213">
      <totalsRowFormula>SUM(Table38[Mandarin Total])</totalsRowFormula>
    </tableColumn>
    <tableColumn id="11" xr3:uid="{00000000-0010-0000-2000-00000B000000}" name="Spanish Total" totalsRowFunction="custom" totalsRowDxfId="212">
      <totalsRowFormula>SUM(Table38[Spanish Total])</totalsRowFormula>
    </tableColumn>
    <tableColumn id="12" xr3:uid="{00000000-0010-0000-2000-00000C000000}" name="Vietnamese Total" totalsRowFunction="custom" totalsRowDxfId="211">
      <totalsRowFormula>SUM(Table38[Vietnamese Total])</totalsRowFormula>
    </tableColumn>
    <tableColumn id="13" xr3:uid="{00000000-0010-0000-2000-00000D000000}" name="Other Total" totalsRowFunction="custom" totalsRowDxfId="210">
      <totalsRowFormula>SUM(Table38[Other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an Luis Obispo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1000000}" name="Table39" displayName="Table39" ref="A2:M8" totalsRowCount="1" dataDxfId="209">
  <autoFilter ref="A2:M7" xr:uid="{00000000-0009-0000-0100-000027000000}"/>
  <tableColumns count="13">
    <tableColumn id="1" xr3:uid="{00000000-0010-0000-2100-000001000000}" name="Participating Districts" totalsRowLabel="San Mateo County Total: 5" dataDxfId="208"/>
    <tableColumn id="2" xr3:uid="{00000000-0010-0000-2100-000002000000}" name="Participating Schools" totalsRowLabel="15" dataDxfId="207" totalsRowDxfId="206"/>
    <tableColumn id="3" xr3:uid="{00000000-0010-0000-2100-000003000000}" name="American Sign Language Total" totalsRowFunction="custom" dataDxfId="205" totalsRowDxfId="204">
      <totalsRowFormula>SUM(Table39[American Sign Language Total])</totalsRowFormula>
    </tableColumn>
    <tableColumn id="4" xr3:uid="{00000000-0010-0000-2100-000004000000}" name="Cantonese Total" totalsRowFunction="custom" dataDxfId="203" totalsRowDxfId="202">
      <totalsRowFormula>SUM(Table39[Cantonese Total])</totalsRowFormula>
    </tableColumn>
    <tableColumn id="5" xr3:uid="{00000000-0010-0000-2100-000005000000}" name="French Total" totalsRowFunction="custom" dataDxfId="201" totalsRowDxfId="200">
      <totalsRowFormula>SUM(Table39[French Total])</totalsRowFormula>
    </tableColumn>
    <tableColumn id="6" xr3:uid="{00000000-0010-0000-2100-000006000000}" name="German Total" totalsRowFunction="custom" dataDxfId="199" totalsRowDxfId="198">
      <totalsRowFormula>SUM(Table39[German Total])</totalsRowFormula>
    </tableColumn>
    <tableColumn id="7" xr3:uid="{00000000-0010-0000-2100-000007000000}" name="Japanese Total" totalsRowFunction="custom" dataDxfId="197" totalsRowDxfId="196">
      <totalsRowFormula>SUM(Table39[Japanese Total])</totalsRowFormula>
    </tableColumn>
    <tableColumn id="8" xr3:uid="{00000000-0010-0000-2100-000008000000}" name="Korean Total" totalsRowFunction="custom" dataDxfId="195" totalsRowDxfId="194">
      <totalsRowFormula>SUM(Table39[Korean Total])</totalsRowFormula>
    </tableColumn>
    <tableColumn id="9" xr3:uid="{00000000-0010-0000-2100-000009000000}" name="Latin Total" totalsRowFunction="custom" dataDxfId="193" totalsRowDxfId="192">
      <totalsRowFormula>SUM(Table39[Latin Total])</totalsRowFormula>
    </tableColumn>
    <tableColumn id="10" xr3:uid="{00000000-0010-0000-2100-00000A000000}" name="Mandarin Total" totalsRowFunction="custom" dataDxfId="191" totalsRowDxfId="190">
      <totalsRowFormula>SUM(Table39[Mandarin Total])</totalsRowFormula>
    </tableColumn>
    <tableColumn id="11" xr3:uid="{00000000-0010-0000-2100-00000B000000}" name="Spanish Total" totalsRowFunction="custom" dataDxfId="189" totalsRowDxfId="188">
      <totalsRowFormula>SUM(Table39[Spanish Total])</totalsRowFormula>
    </tableColumn>
    <tableColumn id="12" xr3:uid="{00000000-0010-0000-2100-00000C000000}" name="Vietnamese Total" totalsRowFunction="custom" dataDxfId="187" totalsRowDxfId="186">
      <totalsRowFormula>SUM(Table39[Vietnamese Total])</totalsRowFormula>
    </tableColumn>
    <tableColumn id="13" xr3:uid="{00000000-0010-0000-2100-00000D000000}" name="Other Total" totalsRowFunction="custom" dataDxfId="185" totalsRowDxfId="184">
      <totalsRowFormula>SUM(Table39[Other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an Mateo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2000000}" name="Table40" displayName="Table40" ref="A2:M7" totalsRowCount="1" dataDxfId="183">
  <autoFilter ref="A2:M6" xr:uid="{00000000-0009-0000-0100-000028000000}"/>
  <tableColumns count="13">
    <tableColumn id="1" xr3:uid="{00000000-0010-0000-2200-000001000000}" name="Participating Districts" totalsRowLabel="Santa Barbara County Total: 4" dataDxfId="182"/>
    <tableColumn id="2" xr3:uid="{00000000-0010-0000-2200-000002000000}" name="Participating Schools" totalsRowLabel="10" dataDxfId="181" totalsRowDxfId="180"/>
    <tableColumn id="3" xr3:uid="{00000000-0010-0000-2200-000003000000}" name="American Sign Language Total" totalsRowFunction="custom" dataDxfId="179" totalsRowDxfId="178">
      <totalsRowFormula>SUM(Table40[American Sign Language Total])</totalsRowFormula>
    </tableColumn>
    <tableColumn id="4" xr3:uid="{00000000-0010-0000-2200-000004000000}" name="Cantonese Total" totalsRowFunction="custom" dataDxfId="177" totalsRowDxfId="176">
      <totalsRowFormula>SUM(Table40[Cantonese Total])</totalsRowFormula>
    </tableColumn>
    <tableColumn id="5" xr3:uid="{00000000-0010-0000-2200-000005000000}" name="French Total" totalsRowFunction="custom" dataDxfId="175" totalsRowDxfId="174">
      <totalsRowFormula>SUM(Table40[French Total])</totalsRowFormula>
    </tableColumn>
    <tableColumn id="6" xr3:uid="{00000000-0010-0000-2200-000006000000}" name="German Total" totalsRowFunction="custom" dataDxfId="173" totalsRowDxfId="172">
      <totalsRowFormula>SUM(Table40[German Total])</totalsRowFormula>
    </tableColumn>
    <tableColumn id="7" xr3:uid="{00000000-0010-0000-2200-000007000000}" name="Japanese Total" totalsRowFunction="custom" dataDxfId="171" totalsRowDxfId="170">
      <totalsRowFormula>SUM(Table40[Japanese Total])</totalsRowFormula>
    </tableColumn>
    <tableColumn id="8" xr3:uid="{00000000-0010-0000-2200-000008000000}" name="Korean Total" totalsRowFunction="custom" dataDxfId="169" totalsRowDxfId="168">
      <totalsRowFormula>SUM(Table40[Korean Total])</totalsRowFormula>
    </tableColumn>
    <tableColumn id="9" xr3:uid="{00000000-0010-0000-2200-000009000000}" name="Latin Total" totalsRowFunction="custom" dataDxfId="167" totalsRowDxfId="166">
      <totalsRowFormula>SUM(Table40[Latin Total])</totalsRowFormula>
    </tableColumn>
    <tableColumn id="10" xr3:uid="{00000000-0010-0000-2200-00000A000000}" name="Mandarin Total" totalsRowFunction="custom" dataDxfId="165" totalsRowDxfId="164">
      <totalsRowFormula>SUM(Table40[Mandarin Total])</totalsRowFormula>
    </tableColumn>
    <tableColumn id="11" xr3:uid="{00000000-0010-0000-2200-00000B000000}" name="Spanish Total" totalsRowFunction="custom" dataDxfId="163" totalsRowDxfId="162">
      <totalsRowFormula>SUM(Table40[Spanish Total])</totalsRowFormula>
    </tableColumn>
    <tableColumn id="12" xr3:uid="{00000000-0010-0000-2200-00000C000000}" name="Vietnamese Total" totalsRowFunction="custom" dataDxfId="161" totalsRowDxfId="160">
      <totalsRowFormula>SUM(Table40[Vietnamese Total])</totalsRowFormula>
    </tableColumn>
    <tableColumn id="13" xr3:uid="{00000000-0010-0000-2200-00000D000000}" name="Other Total" totalsRowFunction="custom" dataDxfId="159" totalsRowDxfId="158">
      <totalsRowFormula>SUM(Table40[Other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anta Barbara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23000000}" name="Table41" displayName="Table41" ref="A2:M11" totalsRowCount="1" dataDxfId="157">
  <autoFilter ref="A2:M10" xr:uid="{00000000-0009-0000-0100-000010000000}"/>
  <tableColumns count="13">
    <tableColumn id="1" xr3:uid="{00000000-0010-0000-2300-000001000000}" name="Participating Districts" totalsRowLabel="Santa Clara County Total: 8" dataDxfId="156"/>
    <tableColumn id="2" xr3:uid="{00000000-0010-0000-2300-000002000000}" name="Participating Schools" totalsRowLabel="25" dataDxfId="155" totalsRowDxfId="154"/>
    <tableColumn id="3" xr3:uid="{00000000-0010-0000-2300-000003000000}" name="American Sign Language Total" totalsRowFunction="custom" dataDxfId="153" totalsRowDxfId="152">
      <totalsRowFormula>SUM(Table41[American Sign Language Total])</totalsRowFormula>
    </tableColumn>
    <tableColumn id="4" xr3:uid="{00000000-0010-0000-2300-000004000000}" name="Cantonese Total" totalsRowFunction="custom" dataDxfId="151" totalsRowDxfId="150">
      <totalsRowFormula>SUM(Table41[Cantonese Total])</totalsRowFormula>
    </tableColumn>
    <tableColumn id="5" xr3:uid="{00000000-0010-0000-2300-000005000000}" name="French Total" totalsRowFunction="custom" dataDxfId="149" totalsRowDxfId="148">
      <totalsRowFormula>SUM(Table41[French Total])</totalsRowFormula>
    </tableColumn>
    <tableColumn id="6" xr3:uid="{00000000-0010-0000-2300-000006000000}" name="German Total" totalsRowFunction="custom" dataDxfId="147" totalsRowDxfId="146">
      <totalsRowFormula>SUM(Table41[German Total])</totalsRowFormula>
    </tableColumn>
    <tableColumn id="7" xr3:uid="{00000000-0010-0000-2300-000007000000}" name="Japanese Total" totalsRowFunction="custom" dataDxfId="145" totalsRowDxfId="144">
      <totalsRowFormula>SUM(Table41[Japanese Total])</totalsRowFormula>
    </tableColumn>
    <tableColumn id="8" xr3:uid="{00000000-0010-0000-2300-000008000000}" name="Korean Total" totalsRowFunction="custom" dataDxfId="143" totalsRowDxfId="142">
      <totalsRowFormula>SUM(Table41[Korean Total])</totalsRowFormula>
    </tableColumn>
    <tableColumn id="9" xr3:uid="{00000000-0010-0000-2300-000009000000}" name="Latin Total" totalsRowFunction="custom" dataDxfId="141" totalsRowDxfId="140">
      <totalsRowFormula>SUM(Table41[Latin Total])</totalsRowFormula>
    </tableColumn>
    <tableColumn id="10" xr3:uid="{00000000-0010-0000-2300-00000A000000}" name="Mandarin Total" totalsRowFunction="custom" dataDxfId="139" totalsRowDxfId="138">
      <totalsRowFormula>SUM(Table41[Mandarin Total])</totalsRowFormula>
    </tableColumn>
    <tableColumn id="11" xr3:uid="{00000000-0010-0000-2300-00000B000000}" name="Spanish Total" totalsRowFunction="custom" dataDxfId="137" totalsRowDxfId="136">
      <totalsRowFormula>SUM(Table41[Spanish Total])</totalsRowFormula>
    </tableColumn>
    <tableColumn id="12" xr3:uid="{00000000-0010-0000-2300-00000C000000}" name="Vietnamese Total" totalsRowFunction="custom" dataDxfId="135" totalsRowDxfId="134">
      <totalsRowFormula>SUM(Table41[Vietnamese Total])</totalsRowFormula>
    </tableColumn>
    <tableColumn id="13" xr3:uid="{00000000-0010-0000-2300-00000D000000}" name="Other Total" totalsRowFunction="custom" dataDxfId="133" totalsRowDxfId="132">
      <totalsRowFormula>SUM(Table41[Other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anta Clara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4000000}" name="Table4144" displayName="Table4144" ref="A2:M5" totalsRowCount="1" dataDxfId="131">
  <autoFilter ref="A2:M4" xr:uid="{00000000-0009-0000-0100-00002B000000}"/>
  <tableColumns count="13">
    <tableColumn id="1" xr3:uid="{00000000-0010-0000-2400-000001000000}" name="Participating Districts" totalsRowLabel="Santa Clara County Total: 2" dataDxfId="130"/>
    <tableColumn id="2" xr3:uid="{00000000-0010-0000-2400-000002000000}" name="Participating Schools" totalsRowLabel="4" dataDxfId="129" totalsRowDxfId="128"/>
    <tableColumn id="3" xr3:uid="{00000000-0010-0000-2400-000003000000}" name="American Sign Language Total" totalsRowFunction="custom" dataDxfId="127" totalsRowDxfId="126">
      <totalsRowFormula>SUM(Table4144[American Sign Language Total])</totalsRowFormula>
    </tableColumn>
    <tableColumn id="4" xr3:uid="{00000000-0010-0000-2400-000004000000}" name="Cantonese Total" totalsRowFunction="custom" dataDxfId="125" totalsRowDxfId="124">
      <totalsRowFormula>SUM(Table4144[Cantonese Total])</totalsRowFormula>
    </tableColumn>
    <tableColumn id="5" xr3:uid="{00000000-0010-0000-2400-000005000000}" name="French Total" totalsRowFunction="custom" dataDxfId="123" totalsRowDxfId="122">
      <totalsRowFormula>SUM(Table4144[French Total])</totalsRowFormula>
    </tableColumn>
    <tableColumn id="6" xr3:uid="{00000000-0010-0000-2400-000006000000}" name="German Total" totalsRowFunction="custom" dataDxfId="121" totalsRowDxfId="120">
      <totalsRowFormula>SUM(Table4144[German Total])</totalsRowFormula>
    </tableColumn>
    <tableColumn id="7" xr3:uid="{00000000-0010-0000-2400-000007000000}" name="Japanese Total" totalsRowFunction="custom" dataDxfId="119" totalsRowDxfId="118">
      <totalsRowFormula>SUM(Table4144[Japanese Total])</totalsRowFormula>
    </tableColumn>
    <tableColumn id="8" xr3:uid="{00000000-0010-0000-2400-000008000000}" name="Korean Total" totalsRowFunction="custom" dataDxfId="117" totalsRowDxfId="116">
      <totalsRowFormula>SUM(Table4144[Korean Total])</totalsRowFormula>
    </tableColumn>
    <tableColumn id="9" xr3:uid="{00000000-0010-0000-2400-000009000000}" name="Latin Total" totalsRowFunction="custom" dataDxfId="115" totalsRowDxfId="114">
      <totalsRowFormula>SUM(Table4144[Latin Total])</totalsRowFormula>
    </tableColumn>
    <tableColumn id="10" xr3:uid="{00000000-0010-0000-2400-00000A000000}" name="Mandarin Total" totalsRowFunction="custom" dataDxfId="113" totalsRowDxfId="112">
      <totalsRowFormula>SUM(Table4144[Mandarin Total])</totalsRowFormula>
    </tableColumn>
    <tableColumn id="11" xr3:uid="{00000000-0010-0000-2400-00000B000000}" name="Spanish Total" totalsRowFunction="custom" dataDxfId="111" totalsRowDxfId="110">
      <totalsRowFormula>SUM(Table4144[Spanish Total])</totalsRowFormula>
    </tableColumn>
    <tableColumn id="12" xr3:uid="{00000000-0010-0000-2400-00000C000000}" name="Vietnamese Total" totalsRowFunction="custom" dataDxfId="109" totalsRowDxfId="108">
      <totalsRowFormula>SUM(Table4144[Vietnamese Total])</totalsRowFormula>
    </tableColumn>
    <tableColumn id="13" xr3:uid="{00000000-0010-0000-2400-00000D000000}" name="Other Total" totalsRowFunction="custom" dataDxfId="107" totalsRowDxfId="106">
      <totalsRowFormula>SUM(Table4144[Other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anta Cruz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25000000}" name="Table43" displayName="Table43" ref="A2:M4" totalsRowCount="1" totalsRowDxfId="105">
  <autoFilter ref="A2:M3" xr:uid="{00000000-0009-0000-0100-000011000000}"/>
  <tableColumns count="13">
    <tableColumn id="1" xr3:uid="{00000000-0010-0000-2500-000001000000}" name="Participating Districts" totalsRowLabel="Shasta County Total: 1" totalsRowDxfId="104"/>
    <tableColumn id="2" xr3:uid="{00000000-0010-0000-2500-000002000000}" name="Participating Schools" totalsRowLabel="1" totalsRowDxfId="103"/>
    <tableColumn id="3" xr3:uid="{00000000-0010-0000-2500-000003000000}" name="American Sign Language Total" totalsRowLabel="0" totalsRowDxfId="102"/>
    <tableColumn id="4" xr3:uid="{00000000-0010-0000-2500-000004000000}" name="Cantonese Total" totalsRowLabel="0" totalsRowDxfId="101"/>
    <tableColumn id="5" xr3:uid="{00000000-0010-0000-2500-000005000000}" name="French Total" totalsRowLabel="0" totalsRowDxfId="100"/>
    <tableColumn id="6" xr3:uid="{00000000-0010-0000-2500-000006000000}" name="German Total" totalsRowLabel="0" totalsRowDxfId="99"/>
    <tableColumn id="7" xr3:uid="{00000000-0010-0000-2500-000007000000}" name="Japanese Total" totalsRowLabel="0" totalsRowDxfId="98"/>
    <tableColumn id="8" xr3:uid="{00000000-0010-0000-2500-000008000000}" name="Korean Total" totalsRowLabel="0" totalsRowDxfId="97"/>
    <tableColumn id="9" xr3:uid="{00000000-0010-0000-2500-000009000000}" name="Latin Total" totalsRowLabel="0" totalsRowDxfId="96"/>
    <tableColumn id="10" xr3:uid="{00000000-0010-0000-2500-00000A000000}" name="Mandarin Total" totalsRowLabel="0" totalsRowDxfId="95"/>
    <tableColumn id="11" xr3:uid="{00000000-0010-0000-2500-00000B000000}" name="Spanish Total" totalsRowLabel="7" totalsRowDxfId="94"/>
    <tableColumn id="12" xr3:uid="{00000000-0010-0000-2500-00000C000000}" name="Vietnamese Total" totalsRowLabel="0" totalsRowDxfId="93"/>
    <tableColumn id="13" xr3:uid="{00000000-0010-0000-2500-00000D000000}" name="Other Total" totalsRowLabel="0" totalsRowDxfId="9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hasta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26000000}" name="Table44" displayName="Table44" ref="A2:M6" totalsRowCount="1" dataDxfId="91" totalsRowDxfId="90">
  <autoFilter ref="A2:M5" xr:uid="{00000000-0009-0000-0100-000015000000}"/>
  <tableColumns count="13">
    <tableColumn id="1" xr3:uid="{00000000-0010-0000-2600-000001000000}" name="Participating Districts" totalsRowLabel="Solano County Total: 3" dataDxfId="89" totalsRowDxfId="88"/>
    <tableColumn id="2" xr3:uid="{00000000-0010-0000-2600-000002000000}" name="Participating Schools" totalsRowLabel="7" dataDxfId="87" totalsRowDxfId="86"/>
    <tableColumn id="3" xr3:uid="{00000000-0010-0000-2600-000003000000}" name="American Sign Language Total" totalsRowFunction="custom" dataDxfId="85" totalsRowDxfId="84">
      <totalsRowFormula>SUM(Table44[American Sign Language Total])</totalsRowFormula>
    </tableColumn>
    <tableColumn id="4" xr3:uid="{00000000-0010-0000-2600-000004000000}" name="Cantonese Total" totalsRowFunction="custom" dataDxfId="83" totalsRowDxfId="82">
      <totalsRowFormula>SUM(Table44[Cantonese Total])</totalsRowFormula>
    </tableColumn>
    <tableColumn id="5" xr3:uid="{00000000-0010-0000-2600-000005000000}" name="French Total" totalsRowFunction="custom" dataDxfId="81" totalsRowDxfId="80">
      <totalsRowFormula>SUM(Table44[French Total])</totalsRowFormula>
    </tableColumn>
    <tableColumn id="6" xr3:uid="{00000000-0010-0000-2600-000006000000}" name="German Total" totalsRowFunction="custom" dataDxfId="79" totalsRowDxfId="78">
      <totalsRowFormula>SUM(Table44[German Total])</totalsRowFormula>
    </tableColumn>
    <tableColumn id="7" xr3:uid="{00000000-0010-0000-2600-000007000000}" name="Japanese Total" totalsRowFunction="custom" dataDxfId="77" totalsRowDxfId="76">
      <totalsRowFormula>SUM(Table44[Japanese Total])</totalsRowFormula>
    </tableColumn>
    <tableColumn id="8" xr3:uid="{00000000-0010-0000-2600-000008000000}" name="Korean Total" totalsRowFunction="custom" dataDxfId="75" totalsRowDxfId="74">
      <totalsRowFormula>SUM(Table44[Korean Total])</totalsRowFormula>
    </tableColumn>
    <tableColumn id="9" xr3:uid="{00000000-0010-0000-2600-000009000000}" name="Latin Total" totalsRowFunction="custom" dataDxfId="73" totalsRowDxfId="72">
      <totalsRowFormula>SUM(Table44[Latin Total])</totalsRowFormula>
    </tableColumn>
    <tableColumn id="10" xr3:uid="{00000000-0010-0000-2600-00000A000000}" name="Mandarin Total" totalsRowFunction="custom" dataDxfId="71" totalsRowDxfId="70">
      <totalsRowFormula>SUM(Table44[Mandarin Total])</totalsRowFormula>
    </tableColumn>
    <tableColumn id="11" xr3:uid="{00000000-0010-0000-2600-00000B000000}" name="Spanish Total" totalsRowFunction="custom" dataDxfId="69" totalsRowDxfId="68">
      <totalsRowFormula>SUM(Table44[Spanish Total])</totalsRowFormula>
    </tableColumn>
    <tableColumn id="12" xr3:uid="{00000000-0010-0000-2600-00000C000000}" name="Vietnamese Total" totalsRowFunction="custom" dataDxfId="67" totalsRowDxfId="66">
      <totalsRowFormula>SUM(Table44[Vietnamese Total])</totalsRowFormula>
    </tableColumn>
    <tableColumn id="13" xr3:uid="{00000000-0010-0000-2600-00000D000000}" name="Other Total" totalsRowFunction="custom" dataDxfId="65" totalsRowDxfId="64">
      <totalsRowFormula>SUM(Table44[Other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olano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7" displayName="Table7" ref="A2:M11" totalsRowCount="1" headerRowDxfId="733">
  <autoFilter ref="A2:M10" xr:uid="{00000000-0009-0000-0100-000003000000}"/>
  <tableColumns count="13">
    <tableColumn id="1" xr3:uid="{00000000-0010-0000-0300-000001000000}" name="Participating Districts" totalsRowLabel="Contra Costa Total: 8" dataDxfId="732" totalsRowDxfId="731"/>
    <tableColumn id="2" xr3:uid="{00000000-0010-0000-0300-000002000000}" name="Participating Schools" totalsRowLabel="30" dataDxfId="730" totalsRowDxfId="729"/>
    <tableColumn id="3" xr3:uid="{00000000-0010-0000-0300-000003000000}" name="American Sign Language Total" totalsRowFunction="custom" dataDxfId="728" totalsRowDxfId="727">
      <totalsRowFormula>SUM(Table7[American Sign Language Total])</totalsRowFormula>
    </tableColumn>
    <tableColumn id="4" xr3:uid="{00000000-0010-0000-0300-000004000000}" name="Cantonese Total" totalsRowFunction="custom" dataDxfId="726" totalsRowDxfId="725">
      <totalsRowFormula>SUM(Table7[Cantonese Total])</totalsRowFormula>
    </tableColumn>
    <tableColumn id="5" xr3:uid="{00000000-0010-0000-0300-000005000000}" name="French Total" totalsRowFunction="custom" dataDxfId="724" totalsRowDxfId="723">
      <totalsRowFormula>SUM(Table7[French Total])</totalsRowFormula>
    </tableColumn>
    <tableColumn id="6" xr3:uid="{00000000-0010-0000-0300-000006000000}" name="German Total" totalsRowFunction="custom" dataDxfId="722" totalsRowDxfId="721">
      <totalsRowFormula>SUM(Table7[German Total])</totalsRowFormula>
    </tableColumn>
    <tableColumn id="7" xr3:uid="{00000000-0010-0000-0300-000007000000}" name="Japanese Total" totalsRowFunction="custom" dataDxfId="720" totalsRowDxfId="719">
      <totalsRowFormula>SUM(Table7[Japanese Total])</totalsRowFormula>
    </tableColumn>
    <tableColumn id="8" xr3:uid="{00000000-0010-0000-0300-000008000000}" name="Korean Total" totalsRowFunction="custom" dataDxfId="718" totalsRowDxfId="717">
      <totalsRowFormula>SUM(Table7[Korean Total])</totalsRowFormula>
    </tableColumn>
    <tableColumn id="9" xr3:uid="{00000000-0010-0000-0300-000009000000}" name="Latin Total" totalsRowFunction="custom" dataDxfId="716" totalsRowDxfId="715">
      <totalsRowFormula>SUM(Table7[Latin Total])</totalsRowFormula>
    </tableColumn>
    <tableColumn id="10" xr3:uid="{00000000-0010-0000-0300-00000A000000}" name="Mandarin Total" totalsRowFunction="custom" dataDxfId="714" totalsRowDxfId="713">
      <totalsRowFormula>SUM(Table7[Mandarin Total])</totalsRowFormula>
    </tableColumn>
    <tableColumn id="11" xr3:uid="{00000000-0010-0000-0300-00000B000000}" name="Spanish Total" totalsRowFunction="custom" dataDxfId="712" totalsRowDxfId="711">
      <totalsRowFormula>SUM(Table7[Spanish Total])</totalsRowFormula>
    </tableColumn>
    <tableColumn id="12" xr3:uid="{00000000-0010-0000-0300-00000C000000}" name="Vietnamese Total" totalsRowFunction="custom" dataDxfId="710" totalsRowDxfId="709">
      <totalsRowFormula>SUM(Table7[Vietnamese Total])</totalsRowFormula>
    </tableColumn>
    <tableColumn id="13" xr3:uid="{00000000-0010-0000-0300-00000D000000}" name="Other Total" totalsRowFunction="custom" dataDxfId="708" totalsRowDxfId="707">
      <totalsRowFormula>SUM(Table7[Other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Contra Costa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27000000}" name="Table45" displayName="Table45" ref="A2:M11" totalsRowCount="1" dataDxfId="63">
  <autoFilter ref="A2:M10" xr:uid="{00000000-0009-0000-0100-000016000000}"/>
  <tableColumns count="13">
    <tableColumn id="1" xr3:uid="{00000000-0010-0000-2700-000001000000}" name="Participating Districts" totalsRowLabel="Sonoma County Total: 8" dataDxfId="62"/>
    <tableColumn id="2" xr3:uid="{00000000-0010-0000-2700-000002000000}" name="Participating Schools" totalsRowLabel="14" dataDxfId="61" totalsRowDxfId="60"/>
    <tableColumn id="3" xr3:uid="{00000000-0010-0000-2700-000003000000}" name="American Sign Language Total" totalsRowFunction="custom" dataDxfId="59">
      <totalsRowFormula>SUM(Table45[American Sign Language Total])</totalsRowFormula>
    </tableColumn>
    <tableColumn id="4" xr3:uid="{00000000-0010-0000-2700-000004000000}" name="Cantonese Total" totalsRowFunction="custom" dataDxfId="58">
      <totalsRowFormula>SUM(Table45[Cantonese Total])</totalsRowFormula>
    </tableColumn>
    <tableColumn id="5" xr3:uid="{00000000-0010-0000-2700-000005000000}" name="French Total" totalsRowFunction="custom" dataDxfId="57">
      <totalsRowFormula>SUM(Table45[French Total])</totalsRowFormula>
    </tableColumn>
    <tableColumn id="6" xr3:uid="{00000000-0010-0000-2700-000006000000}" name="German Total" totalsRowFunction="custom" dataDxfId="56">
      <totalsRowFormula>SUM(Table45[German Total])</totalsRowFormula>
    </tableColumn>
    <tableColumn id="7" xr3:uid="{00000000-0010-0000-2700-000007000000}" name="Japanese Total" totalsRowFunction="custom" dataDxfId="55">
      <totalsRowFormula>SUM(Table45[Japanese Total])</totalsRowFormula>
    </tableColumn>
    <tableColumn id="8" xr3:uid="{00000000-0010-0000-2700-000008000000}" name="Korean Total" totalsRowFunction="custom" dataDxfId="54">
      <totalsRowFormula>SUM(Table45[Korean Total])</totalsRowFormula>
    </tableColumn>
    <tableColumn id="9" xr3:uid="{00000000-0010-0000-2700-000009000000}" name="Latin Total" totalsRowFunction="custom" dataDxfId="53">
      <totalsRowFormula>SUM(Table45[Latin Total])</totalsRowFormula>
    </tableColumn>
    <tableColumn id="10" xr3:uid="{00000000-0010-0000-2700-00000A000000}" name="Mandarin Total" totalsRowFunction="custom" dataDxfId="52">
      <totalsRowFormula>SUM(Table45[Mandarin Total])</totalsRowFormula>
    </tableColumn>
    <tableColumn id="11" xr3:uid="{00000000-0010-0000-2700-00000B000000}" name="Spanish Total" totalsRowFunction="custom" dataDxfId="51">
      <totalsRowFormula>SUM(Table45[Spanish Total])</totalsRowFormula>
    </tableColumn>
    <tableColumn id="12" xr3:uid="{00000000-0010-0000-2700-00000C000000}" name="Vietnamese Total" totalsRowFunction="custom" dataDxfId="50">
      <totalsRowFormula>SUM(Table45[Vietnamese Total])</totalsRowFormula>
    </tableColumn>
    <tableColumn id="13" xr3:uid="{00000000-0010-0000-2700-00000D000000}" name="Other Total" totalsRowFunction="custom" dataDxfId="49">
      <totalsRowFormula>SUM(Table45[Other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onoma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8000000}" name="Table46" displayName="Table46" ref="A2:M7" totalsRowCount="1">
  <autoFilter ref="A2:M6" xr:uid="{00000000-0009-0000-0100-000021000000}"/>
  <tableColumns count="13">
    <tableColumn id="1" xr3:uid="{00000000-0010-0000-2800-000001000000}" name="Participating Districts" totalsRowLabel="Stanislaus County Total: 4"/>
    <tableColumn id="2" xr3:uid="{00000000-0010-0000-2800-000002000000}" name="Participating Schools" totalsRowLabel="12" totalsRowDxfId="48"/>
    <tableColumn id="3" xr3:uid="{00000000-0010-0000-2800-000003000000}" name="American Sign Language Total" totalsRowFunction="custom">
      <totalsRowFormula>SUM(Table46[American Sign Language Total])</totalsRowFormula>
    </tableColumn>
    <tableColumn id="4" xr3:uid="{00000000-0010-0000-2800-000004000000}" name="Cantonese Total" totalsRowFunction="custom">
      <totalsRowFormula>SUM(Table46[Cantonese Total])</totalsRowFormula>
    </tableColumn>
    <tableColumn id="5" xr3:uid="{00000000-0010-0000-2800-000005000000}" name="French Total" totalsRowFunction="custom">
      <totalsRowFormula>SUM(Table46[French Total])</totalsRowFormula>
    </tableColumn>
    <tableColumn id="6" xr3:uid="{00000000-0010-0000-2800-000006000000}" name="German Total" totalsRowFunction="custom">
      <totalsRowFormula>SUM(Table46[German Total])</totalsRowFormula>
    </tableColumn>
    <tableColumn id="7" xr3:uid="{00000000-0010-0000-2800-000007000000}" name="Japanese Total" totalsRowFunction="custom">
      <totalsRowFormula>SUM(Table46[Japanese Total])</totalsRowFormula>
    </tableColumn>
    <tableColumn id="8" xr3:uid="{00000000-0010-0000-2800-000008000000}" name="Korean Total" totalsRowFunction="custom">
      <totalsRowFormula>SUM(Table46[Korean Total])</totalsRowFormula>
    </tableColumn>
    <tableColumn id="9" xr3:uid="{00000000-0010-0000-2800-000009000000}" name="Latin Total" totalsRowFunction="custom">
      <totalsRowFormula>SUM(Table46[Latin Total])</totalsRowFormula>
    </tableColumn>
    <tableColumn id="10" xr3:uid="{00000000-0010-0000-2800-00000A000000}" name="Mandarin Total" totalsRowFunction="custom">
      <totalsRowFormula>SUM(Table46[Mandarin Total])</totalsRowFormula>
    </tableColumn>
    <tableColumn id="11" xr3:uid="{00000000-0010-0000-2800-00000B000000}" name="Spanish Total" totalsRowFunction="custom">
      <totalsRowFormula>SUM(Table46[Spanish Total])</totalsRowFormula>
    </tableColumn>
    <tableColumn id="12" xr3:uid="{00000000-0010-0000-2800-00000C000000}" name="Vietnamese Total" totalsRowFunction="custom">
      <totalsRowFormula>SUM(Table46[Vietnamese Total])</totalsRowFormula>
    </tableColumn>
    <tableColumn id="13" xr3:uid="{00000000-0010-0000-2800-00000D000000}" name="Other Total" totalsRowFunction="custom">
      <totalsRowFormula>SUM(Table46[Other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tanislaus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9000000}" name="Table47" displayName="Table47" ref="A2:M6" totalsRowCount="1">
  <autoFilter ref="A2:M5" xr:uid="{00000000-0009-0000-0100-000022000000}"/>
  <tableColumns count="13">
    <tableColumn id="1" xr3:uid="{00000000-0010-0000-2900-000001000000}" name="Participating Districts" totalsRowLabel="Sutter County Total: 3"/>
    <tableColumn id="2" xr3:uid="{00000000-0010-0000-2900-000002000000}" name="Participating Schools" totalsRowLabel="4" totalsRowDxfId="47"/>
    <tableColumn id="3" xr3:uid="{00000000-0010-0000-2900-000003000000}" name="American Sign Language Total" totalsRowFunction="sum"/>
    <tableColumn id="4" xr3:uid="{00000000-0010-0000-2900-000004000000}" name="Cantonese Total" totalsRowFunction="sum"/>
    <tableColumn id="5" xr3:uid="{00000000-0010-0000-2900-000005000000}" name="French Total" totalsRowFunction="sum"/>
    <tableColumn id="6" xr3:uid="{00000000-0010-0000-2900-000006000000}" name="German Total" totalsRowFunction="sum"/>
    <tableColumn id="7" xr3:uid="{00000000-0010-0000-2900-000007000000}" name="Japanese Total" totalsRowFunction="sum"/>
    <tableColumn id="8" xr3:uid="{00000000-0010-0000-2900-000008000000}" name="Korean Total" totalsRowFunction="sum"/>
    <tableColumn id="9" xr3:uid="{00000000-0010-0000-2900-000009000000}" name="Latin Total" totalsRowFunction="sum"/>
    <tableColumn id="10" xr3:uid="{00000000-0010-0000-2900-00000A000000}" name="Mandarin Total" totalsRowFunction="sum"/>
    <tableColumn id="11" xr3:uid="{00000000-0010-0000-2900-00000B000000}" name="Spanish Total" totalsRowFunction="sum"/>
    <tableColumn id="12" xr3:uid="{00000000-0010-0000-2900-00000C000000}" name="Vietnamese Total" totalsRowFunction="sum"/>
    <tableColumn id="13" xr3:uid="{00000000-0010-0000-29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Sutter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A000000}" name="Table48" displayName="Table48" ref="A2:M5" totalsRowCount="1">
  <autoFilter ref="A2:M4" xr:uid="{00000000-0009-0000-0100-000029000000}"/>
  <tableColumns count="13">
    <tableColumn id="1" xr3:uid="{00000000-0010-0000-2A00-000001000000}" name="Participating Districts" totalsRowLabel="Tehama County Total: 2"/>
    <tableColumn id="2" xr3:uid="{00000000-0010-0000-2A00-000002000000}" name="Participating Schools" totalsRowLabel="2" totalsRowDxfId="46"/>
    <tableColumn id="3" xr3:uid="{00000000-0010-0000-2A00-000003000000}" name="American Sign Language Total" totalsRowFunction="sum"/>
    <tableColumn id="4" xr3:uid="{00000000-0010-0000-2A00-000004000000}" name="Cantonese Total" totalsRowFunction="min"/>
    <tableColumn id="5" xr3:uid="{00000000-0010-0000-2A00-000005000000}" name="French Total" totalsRowFunction="sum"/>
    <tableColumn id="6" xr3:uid="{00000000-0010-0000-2A00-000006000000}" name="German Total" totalsRowFunction="sum"/>
    <tableColumn id="7" xr3:uid="{00000000-0010-0000-2A00-000007000000}" name="Japanese Total" totalsRowFunction="sum"/>
    <tableColumn id="8" xr3:uid="{00000000-0010-0000-2A00-000008000000}" name="Korean Total" totalsRowFunction="sum"/>
    <tableColumn id="9" xr3:uid="{00000000-0010-0000-2A00-000009000000}" name="Latin Total" totalsRowFunction="sum"/>
    <tableColumn id="10" xr3:uid="{00000000-0010-0000-2A00-00000A000000}" name="Mandarin Total" totalsRowFunction="sum"/>
    <tableColumn id="11" xr3:uid="{00000000-0010-0000-2A00-00000B000000}" name="Spanish Total" totalsRowFunction="sum"/>
    <tableColumn id="12" xr3:uid="{00000000-0010-0000-2A00-00000C000000}" name="Vietnamese Total" totalsRowFunction="sum"/>
    <tableColumn id="13" xr3:uid="{00000000-0010-0000-2A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Tehama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B000000}" name="Table50" displayName="Table50" ref="A2:M9" totalsRowCount="1" dataDxfId="45">
  <autoFilter ref="A2:M8" xr:uid="{00000000-0009-0000-0100-00002A000000}"/>
  <tableColumns count="13">
    <tableColumn id="1" xr3:uid="{00000000-0010-0000-2B00-000001000000}" name="Participating Districts" totalsRowLabel="Tulare County Total: 6" dataDxfId="44"/>
    <tableColumn id="2" xr3:uid="{00000000-0010-0000-2B00-000002000000}" name="Participating Schools" totalsRowLabel="15" dataDxfId="43" totalsRowDxfId="42"/>
    <tableColumn id="3" xr3:uid="{00000000-0010-0000-2B00-000003000000}" name="American Sign Language Total" totalsRowFunction="sum" dataDxfId="41"/>
    <tableColumn id="4" xr3:uid="{00000000-0010-0000-2B00-000004000000}" name="Cantonese Total" totalsRowFunction="sum" dataDxfId="40"/>
    <tableColumn id="5" xr3:uid="{00000000-0010-0000-2B00-000005000000}" name="French Total" totalsRowFunction="sum" dataDxfId="39"/>
    <tableColumn id="6" xr3:uid="{00000000-0010-0000-2B00-000006000000}" name="German Total" totalsRowFunction="sum" dataDxfId="38"/>
    <tableColumn id="7" xr3:uid="{00000000-0010-0000-2B00-000007000000}" name="Japanese Total" totalsRowFunction="sum" dataDxfId="37"/>
    <tableColumn id="8" xr3:uid="{00000000-0010-0000-2B00-000008000000}" name="Korean Total" totalsRowFunction="sum" dataDxfId="36"/>
    <tableColumn id="9" xr3:uid="{00000000-0010-0000-2B00-000009000000}" name="Latin Total" totalsRowFunction="sum" dataDxfId="35"/>
    <tableColumn id="10" xr3:uid="{00000000-0010-0000-2B00-00000A000000}" name="Mandarin Total" totalsRowFunction="sum" dataDxfId="34"/>
    <tableColumn id="11" xr3:uid="{00000000-0010-0000-2B00-00000B000000}" name="Spanish Total" totalsRowFunction="sum" dataDxfId="33"/>
    <tableColumn id="12" xr3:uid="{00000000-0010-0000-2B00-00000C000000}" name="Vietnamese Total" totalsRowFunction="sum" dataDxfId="32"/>
    <tableColumn id="13" xr3:uid="{00000000-0010-0000-2B00-00000D000000}" name="Other Total" totalsRowFunction="sum" dataDxfId="3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Tulare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C000000}" name="Table51" displayName="Table51" ref="A2:M7" totalsRowCount="1" dataDxfId="30">
  <autoFilter ref="A2:M6" xr:uid="{00000000-0009-0000-0100-00002C000000}"/>
  <tableColumns count="13">
    <tableColumn id="1" xr3:uid="{00000000-0010-0000-2C00-000001000000}" name="Participating Districts" totalsRowLabel="Ventura County Total: 4" dataDxfId="29"/>
    <tableColumn id="2" xr3:uid="{00000000-0010-0000-2C00-000002000000}" name="Participating Schools" totalsRowLabel="11" dataDxfId="28" totalsRowDxfId="27"/>
    <tableColumn id="3" xr3:uid="{00000000-0010-0000-2C00-000003000000}" name="American Sign Language Total" totalsRowFunction="sum" dataDxfId="26"/>
    <tableColumn id="4" xr3:uid="{00000000-0010-0000-2C00-000004000000}" name="Cantonese Total" totalsRowFunction="sum" dataDxfId="25"/>
    <tableColumn id="5" xr3:uid="{00000000-0010-0000-2C00-000005000000}" name="French Total" totalsRowFunction="sum" dataDxfId="24"/>
    <tableColumn id="6" xr3:uid="{00000000-0010-0000-2C00-000006000000}" name="German Total" totalsRowFunction="sum" dataDxfId="23"/>
    <tableColumn id="7" xr3:uid="{00000000-0010-0000-2C00-000007000000}" name="Japanese Total" totalsRowFunction="sum" dataDxfId="22"/>
    <tableColumn id="8" xr3:uid="{00000000-0010-0000-2C00-000008000000}" name="Korean Total" totalsRowFunction="sum" dataDxfId="21"/>
    <tableColumn id="9" xr3:uid="{00000000-0010-0000-2C00-000009000000}" name="Latin Total" totalsRowFunction="sum" dataDxfId="20"/>
    <tableColumn id="10" xr3:uid="{00000000-0010-0000-2C00-00000A000000}" name="Mandarin Total" totalsRowFunction="sum" dataDxfId="19"/>
    <tableColumn id="11" xr3:uid="{00000000-0010-0000-2C00-00000B000000}" name="Spanish Total" totalsRowFunction="sum" dataDxfId="18"/>
    <tableColumn id="12" xr3:uid="{00000000-0010-0000-2C00-00000C000000}" name="Vietnamese Total" totalsRowFunction="sum" dataDxfId="17"/>
    <tableColumn id="13" xr3:uid="{00000000-0010-0000-2C00-00000D000000}" name="Other Total" totalsRowFunction="sum" dataDxfId="1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Ventura county and also includes language totals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D000000}" name="Table53" displayName="Table53" ref="A2:M6" totalsRowCount="1" dataDxfId="15">
  <autoFilter ref="A2:M5" xr:uid="{00000000-0009-0000-0100-00002D000000}"/>
  <tableColumns count="13">
    <tableColumn id="1" xr3:uid="{00000000-0010-0000-2D00-000001000000}" name="Participating Districts" totalsRowLabel="Yolo County Total: 3" dataDxfId="14"/>
    <tableColumn id="2" xr3:uid="{00000000-0010-0000-2D00-000002000000}" name="Participating Schools" totalsRowLabel="5" dataDxfId="13" totalsRowDxfId="12"/>
    <tableColumn id="3" xr3:uid="{00000000-0010-0000-2D00-000003000000}" name="American Sign Language Total" totalsRowFunction="sum" dataDxfId="11"/>
    <tableColumn id="4" xr3:uid="{00000000-0010-0000-2D00-000004000000}" name="Cantonese Total" totalsRowFunction="sum" dataDxfId="10"/>
    <tableColumn id="5" xr3:uid="{00000000-0010-0000-2D00-000005000000}" name="French Total" totalsRowFunction="sum" dataDxfId="9"/>
    <tableColumn id="6" xr3:uid="{00000000-0010-0000-2D00-000006000000}" name="German Total" totalsRowFunction="sum" dataDxfId="8"/>
    <tableColumn id="7" xr3:uid="{00000000-0010-0000-2D00-000007000000}" name="Japanese Total" totalsRowFunction="sum" dataDxfId="7"/>
    <tableColumn id="8" xr3:uid="{00000000-0010-0000-2D00-000008000000}" name="Korean Total" totalsRowFunction="sum" dataDxfId="6"/>
    <tableColumn id="9" xr3:uid="{00000000-0010-0000-2D00-000009000000}" name="Latin Total" totalsRowFunction="sum" dataDxfId="5"/>
    <tableColumn id="10" xr3:uid="{00000000-0010-0000-2D00-00000A000000}" name="Mandarin Total" totalsRowFunction="sum" dataDxfId="4"/>
    <tableColumn id="11" xr3:uid="{00000000-0010-0000-2D00-00000B000000}" name="Spanish Total" totalsRowFunction="sum" dataDxfId="3"/>
    <tableColumn id="12" xr3:uid="{00000000-0010-0000-2D00-00000C000000}" name="Vietnamese Total" totalsRowFunction="sum" dataDxfId="2"/>
    <tableColumn id="13" xr3:uid="{00000000-0010-0000-2D00-00000D000000}" name="Other Total" totalsRowFunction="sum" dataDxfId="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Yolo county and also includes language totals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E000000}" name="Table52" displayName="Table52" ref="A2:M4" totalsRowCount="1">
  <autoFilter ref="A2:M3" xr:uid="{00000000-0009-0000-0100-00002E000000}"/>
  <tableColumns count="13">
    <tableColumn id="1" xr3:uid="{00000000-0010-0000-2E00-000001000000}" name="Participating Districts" totalsRowLabel="Yuba County Total: 1"/>
    <tableColumn id="2" xr3:uid="{00000000-0010-0000-2E00-000002000000}" name="Participating Schools" totalsRowLabel="1" totalsRowDxfId="0"/>
    <tableColumn id="3" xr3:uid="{00000000-0010-0000-2E00-000003000000}" name="American Sign Language Total" totalsRowFunction="sum"/>
    <tableColumn id="4" xr3:uid="{00000000-0010-0000-2E00-000004000000}" name="Cantonese Total" totalsRowFunction="sum"/>
    <tableColumn id="5" xr3:uid="{00000000-0010-0000-2E00-000005000000}" name="French Total" totalsRowFunction="sum"/>
    <tableColumn id="6" xr3:uid="{00000000-0010-0000-2E00-000006000000}" name="German Total" totalsRowFunction="sum"/>
    <tableColumn id="7" xr3:uid="{00000000-0010-0000-2E00-000007000000}" name="Japanese Total" totalsRowFunction="sum"/>
    <tableColumn id="8" xr3:uid="{00000000-0010-0000-2E00-000008000000}" name="Korean Total" totalsRowFunction="sum"/>
    <tableColumn id="9" xr3:uid="{00000000-0010-0000-2E00-000009000000}" name="Latin Total" totalsRowFunction="sum"/>
    <tableColumn id="10" xr3:uid="{00000000-0010-0000-2E00-00000A000000}" name="Mandarin Total" totalsRowFunction="sum"/>
    <tableColumn id="11" xr3:uid="{00000000-0010-0000-2E00-00000B000000}" name="Spanish Total" totalsRowFunction="min"/>
    <tableColumn id="12" xr3:uid="{00000000-0010-0000-2E00-00000C000000}" name="Vietnamese Total" totalsRowFunction="sum"/>
    <tableColumn id="13" xr3:uid="{00000000-0010-0000-2E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Yuba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9" displayName="Table9" ref="A2:M5" totalsRowCount="1" headerRowDxfId="706">
  <autoFilter ref="A2:M4" xr:uid="{00000000-0009-0000-0100-000004000000}"/>
  <tableColumns count="13">
    <tableColumn id="1" xr3:uid="{00000000-0010-0000-0400-000001000000}" name="Participating Districts" totalsRowLabel="El Dorado Total: 2"/>
    <tableColumn id="2" xr3:uid="{00000000-0010-0000-0400-000002000000}" name="Participating Schools" totalsRowLabel="5" totalsRowDxfId="705"/>
    <tableColumn id="3" xr3:uid="{00000000-0010-0000-0400-000003000000}" name="American Sign Language Total" totalsRowFunction="custom" dataDxfId="704" totalsRowDxfId="703">
      <totalsRowFormula>SUM(Table9[American Sign Language Total])</totalsRowFormula>
    </tableColumn>
    <tableColumn id="4" xr3:uid="{00000000-0010-0000-0400-000004000000}" name="Cantonese Total" totalsRowFunction="custom" dataDxfId="702" totalsRowDxfId="701">
      <totalsRowFormula>SUM(Table9[Cantonese Total])</totalsRowFormula>
    </tableColumn>
    <tableColumn id="5" xr3:uid="{00000000-0010-0000-0400-000005000000}" name="French Total" totalsRowFunction="custom" dataDxfId="700" totalsRowDxfId="699">
      <totalsRowFormula>SUM(Table9[French Total])</totalsRowFormula>
    </tableColumn>
    <tableColumn id="6" xr3:uid="{00000000-0010-0000-0400-000006000000}" name="German Total" totalsRowFunction="custom" dataDxfId="698" totalsRowDxfId="697">
      <totalsRowFormula>SUM(Table9[German Total])</totalsRowFormula>
    </tableColumn>
    <tableColumn id="7" xr3:uid="{00000000-0010-0000-0400-000007000000}" name="Japanese Total" totalsRowFunction="custom" dataDxfId="696" totalsRowDxfId="695">
      <totalsRowFormula>SUM(Table9[Japanese Total])</totalsRowFormula>
    </tableColumn>
    <tableColumn id="8" xr3:uid="{00000000-0010-0000-0400-000008000000}" name="Korean Total" totalsRowFunction="custom" dataDxfId="694" totalsRowDxfId="693">
      <totalsRowFormula>SUM(Table9[Korean Total])</totalsRowFormula>
    </tableColumn>
    <tableColumn id="9" xr3:uid="{00000000-0010-0000-0400-000009000000}" name="Latin Total" totalsRowFunction="custom" dataDxfId="692" totalsRowDxfId="691">
      <totalsRowFormula>SUM(Table9[Latin Total])</totalsRowFormula>
    </tableColumn>
    <tableColumn id="10" xr3:uid="{00000000-0010-0000-0400-00000A000000}" name="Mandarin Total" totalsRowFunction="custom" dataDxfId="690" totalsRowDxfId="689">
      <totalsRowFormula>SUM(Table9[Mandarin Total])</totalsRowFormula>
    </tableColumn>
    <tableColumn id="11" xr3:uid="{00000000-0010-0000-0400-00000B000000}" name="Spanish Total" totalsRowFunction="custom" dataDxfId="688" totalsRowDxfId="687">
      <totalsRowFormula>SUM(Table9[Spanish Total])</totalsRowFormula>
    </tableColumn>
    <tableColumn id="12" xr3:uid="{00000000-0010-0000-0400-00000C000000}" name="Vietnamese Total" totalsRowFunction="custom" dataDxfId="686" totalsRowDxfId="685">
      <totalsRowFormula>SUM(Table9[Vietnamese Total])</totalsRowFormula>
    </tableColumn>
    <tableColumn id="13" xr3:uid="{00000000-0010-0000-0400-00000D000000}" name="Other Total" totalsRowFunction="custom" dataDxfId="684" totalsRowDxfId="683">
      <totalsRowFormula>SUM(Table9[Other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El Dorado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10" displayName="Table10" ref="A2:M11" totalsRowCount="1" headerRowDxfId="682">
  <autoFilter ref="A2:M10" xr:uid="{00000000-0009-0000-0100-000005000000}"/>
  <tableColumns count="13">
    <tableColumn id="1" xr3:uid="{00000000-0010-0000-0500-000001000000}" name="Participating Districts" totalsRowLabel="Fresno County Total: 8" dataDxfId="681"/>
    <tableColumn id="2" xr3:uid="{00000000-0010-0000-0500-000002000000}" name="Participating Schools" totalsRowLabel="16" totalsRowDxfId="680"/>
    <tableColumn id="3" xr3:uid="{00000000-0010-0000-0500-000003000000}" name="American Sign Language Total" totalsRowFunction="custom" totalsRowDxfId="679">
      <totalsRowFormula>SUM(Table10[American Sign Language Total])</totalsRowFormula>
    </tableColumn>
    <tableColumn id="4" xr3:uid="{00000000-0010-0000-0500-000004000000}" name="Cantonese Total" totalsRowFunction="custom" totalsRowDxfId="678">
      <totalsRowFormula>SUM(Table10[Cantonese Total])</totalsRowFormula>
    </tableColumn>
    <tableColumn id="5" xr3:uid="{00000000-0010-0000-0500-000005000000}" name="French Total" totalsRowFunction="custom" totalsRowDxfId="677">
      <totalsRowFormula>SUM(Table10[French Total])</totalsRowFormula>
    </tableColumn>
    <tableColumn id="6" xr3:uid="{00000000-0010-0000-0500-000006000000}" name="German Total" totalsRowFunction="custom" totalsRowDxfId="676">
      <totalsRowFormula>SUM(Table10[German Total])</totalsRowFormula>
    </tableColumn>
    <tableColumn id="7" xr3:uid="{00000000-0010-0000-0500-000007000000}" name="Japanese Total" totalsRowFunction="custom" totalsRowDxfId="675">
      <totalsRowFormula>SUM(Table10[Japanese Total])</totalsRowFormula>
    </tableColumn>
    <tableColumn id="8" xr3:uid="{00000000-0010-0000-0500-000008000000}" name="Korean Total" totalsRowFunction="custom" totalsRowDxfId="674">
      <totalsRowFormula>SUM(Table10[Korean Total])</totalsRowFormula>
    </tableColumn>
    <tableColumn id="9" xr3:uid="{00000000-0010-0000-0500-000009000000}" name="Latin Total" totalsRowFunction="custom" totalsRowDxfId="673">
      <totalsRowFormula>SUM(Table10[Latin Total])</totalsRowFormula>
    </tableColumn>
    <tableColumn id="10" xr3:uid="{00000000-0010-0000-0500-00000A000000}" name="Mandarin Total" totalsRowFunction="custom" totalsRowDxfId="672">
      <totalsRowFormula>SUM(Table10[Mandarin Total])</totalsRowFormula>
    </tableColumn>
    <tableColumn id="11" xr3:uid="{00000000-0010-0000-0500-00000B000000}" name="Spanish Total" totalsRowFunction="custom" totalsRowDxfId="671">
      <totalsRowFormula>SUM(Table10[Spanish Total])</totalsRowFormula>
    </tableColumn>
    <tableColumn id="12" xr3:uid="{00000000-0010-0000-0500-00000C000000}" name="Vietnamese Total" totalsRowFunction="custom" totalsRowDxfId="670">
      <totalsRowFormula>SUM(Table10[Vietnamese Total])</totalsRowFormula>
    </tableColumn>
    <tableColumn id="13" xr3:uid="{00000000-0010-0000-0500-00000D000000}" name="Other Total" totalsRowFunction="custom" totalsRowDxfId="669">
      <totalsRowFormula>SUM(Table10[Other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Fresno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2" displayName="Table2" ref="A2:M6" totalsRowCount="1" headerRowDxfId="668">
  <autoFilter ref="A2:M5" xr:uid="{00000000-0009-0000-0100-000006000000}"/>
  <tableColumns count="13">
    <tableColumn id="1" xr3:uid="{00000000-0010-0000-0600-000001000000}" name="Participating Districts" totalsRowLabel="Glenn County Total: 3"/>
    <tableColumn id="2" xr3:uid="{00000000-0010-0000-0600-000002000000}" name="Participating Schools" totalsRowLabel="3" totalsRowDxfId="667"/>
    <tableColumn id="3" xr3:uid="{00000000-0010-0000-0600-000003000000}" name="American Sign Language Total" totalsRowFunction="custom" dataDxfId="666">
      <totalsRowFormula>SUM(Table2[American Sign Language Total])</totalsRowFormula>
    </tableColumn>
    <tableColumn id="4" xr3:uid="{00000000-0010-0000-0600-000004000000}" name="Cantonese Total" totalsRowFunction="custom" dataDxfId="665">
      <totalsRowFormula>SUM(Table2[Cantonese Total])</totalsRowFormula>
    </tableColumn>
    <tableColumn id="5" xr3:uid="{00000000-0010-0000-0600-000005000000}" name="French Total" totalsRowFunction="custom" dataDxfId="664">
      <totalsRowFormula>SUM(Table2[French Total])</totalsRowFormula>
    </tableColumn>
    <tableColumn id="6" xr3:uid="{00000000-0010-0000-0600-000006000000}" name="German Total" totalsRowFunction="custom" dataDxfId="663">
      <totalsRowFormula>SUM(Table2[German Total])</totalsRowFormula>
    </tableColumn>
    <tableColumn id="7" xr3:uid="{00000000-0010-0000-0600-000007000000}" name="Japanese Total" totalsRowFunction="custom" dataDxfId="662">
      <totalsRowFormula>SUM(Table2[Japanese Total])</totalsRowFormula>
    </tableColumn>
    <tableColumn id="8" xr3:uid="{00000000-0010-0000-0600-000008000000}" name="Korean Total" totalsRowFunction="custom" dataDxfId="661">
      <totalsRowFormula>SUM(Table2[Korean Total])</totalsRowFormula>
    </tableColumn>
    <tableColumn id="9" xr3:uid="{00000000-0010-0000-0600-000009000000}" name="Latin Total" totalsRowFunction="custom" dataDxfId="660">
      <totalsRowFormula>SUM(Table2[Latin Total])</totalsRowFormula>
    </tableColumn>
    <tableColumn id="10" xr3:uid="{00000000-0010-0000-0600-00000A000000}" name="Mandarin Total" totalsRowFunction="custom" dataDxfId="659">
      <totalsRowFormula>SUM(Table2[Mandarin Total])</totalsRowFormula>
    </tableColumn>
    <tableColumn id="11" xr3:uid="{00000000-0010-0000-0600-00000B000000}" name="Spanish Total" totalsRowFunction="custom" dataDxfId="658">
      <totalsRowFormula>SUM(Table2[Spanish Total])</totalsRowFormula>
    </tableColumn>
    <tableColumn id="12" xr3:uid="{00000000-0010-0000-0600-00000C000000}" name="Vietnamese Total" totalsRowFunction="custom" dataDxfId="657">
      <totalsRowFormula>SUM(Table2[Vietnamese Total])</totalsRowFormula>
    </tableColumn>
    <tableColumn id="13" xr3:uid="{00000000-0010-0000-0600-00000D000000}" name="Other Total" totalsRowFunction="custom" dataDxfId="656">
      <totalsRowFormula>SUM(Table2[Other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Glenn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11" displayName="Table11" ref="A2:M5" totalsRowCount="1" headerRowDxfId="655">
  <autoFilter ref="A2:M4" xr:uid="{00000000-0009-0000-0100-000007000000}"/>
  <tableColumns count="13">
    <tableColumn id="1" xr3:uid="{00000000-0010-0000-0700-000001000000}" name="Participating Districts" totalsRowLabel="Humboldt County Total: 2"/>
    <tableColumn id="2" xr3:uid="{00000000-0010-0000-0700-000002000000}" name="Participating Schools" totalsRowLabel="3" totalsRowDxfId="654"/>
    <tableColumn id="3" xr3:uid="{00000000-0010-0000-0700-000003000000}" name="American Sign Language Total" totalsRowFunction="sum"/>
    <tableColumn id="4" xr3:uid="{00000000-0010-0000-0700-000004000000}" name="Cantonese Total" totalsRowFunction="sum"/>
    <tableColumn id="5" xr3:uid="{00000000-0010-0000-0700-000005000000}" name="French Total" totalsRowFunction="sum"/>
    <tableColumn id="6" xr3:uid="{00000000-0010-0000-0700-000006000000}" name="German Total" totalsRowFunction="sum"/>
    <tableColumn id="7" xr3:uid="{00000000-0010-0000-0700-000007000000}" name="Japanese Total" totalsRowFunction="sum"/>
    <tableColumn id="8" xr3:uid="{00000000-0010-0000-0700-000008000000}" name="Korean Total" totalsRowFunction="sum"/>
    <tableColumn id="9" xr3:uid="{00000000-0010-0000-0700-000009000000}" name="Latin Total" totalsRowFunction="sum"/>
    <tableColumn id="10" xr3:uid="{00000000-0010-0000-0700-00000A000000}" name="Mandarin Total" totalsRowFunction="sum"/>
    <tableColumn id="11" xr3:uid="{00000000-0010-0000-0700-00000B000000}" name="Spanish Total" totalsRowFunction="sum"/>
    <tableColumn id="12" xr3:uid="{00000000-0010-0000-0700-00000C000000}" name="Vietnamese Total" totalsRowFunction="sum"/>
    <tableColumn id="13" xr3:uid="{00000000-0010-0000-07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Humboldt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12" displayName="Table12" ref="A2:M7" totalsRowCount="1" headerRowDxfId="653">
  <autoFilter ref="A2:M6" xr:uid="{00000000-0009-0000-0100-000008000000}"/>
  <tableColumns count="13">
    <tableColumn id="1" xr3:uid="{00000000-0010-0000-0800-000001000000}" name="Participating Districts" totalsRowLabel="Imperial County Total: 4" dataDxfId="652"/>
    <tableColumn id="2" xr3:uid="{00000000-0010-0000-0800-000002000000}" name="Participating Schools" totalsRowLabel="5" totalsRowDxfId="651"/>
    <tableColumn id="3" xr3:uid="{00000000-0010-0000-0800-000003000000}" name="American Sign Language Total" totalsRowFunction="custom" dataDxfId="650">
      <totalsRowFormula>SUM(Table12[American Sign Language Total])</totalsRowFormula>
    </tableColumn>
    <tableColumn id="4" xr3:uid="{00000000-0010-0000-0800-000004000000}" name="Cantonese Total" totalsRowFunction="custom" dataDxfId="649">
      <totalsRowFormula>SUM(Table12[Cantonese Total])</totalsRowFormula>
    </tableColumn>
    <tableColumn id="5" xr3:uid="{00000000-0010-0000-0800-000005000000}" name="French Total" totalsRowFunction="custom" dataDxfId="648">
      <totalsRowFormula>SUM(Table12[French Total])</totalsRowFormula>
    </tableColumn>
    <tableColumn id="6" xr3:uid="{00000000-0010-0000-0800-000006000000}" name="German Total" totalsRowFunction="custom" dataDxfId="647">
      <totalsRowFormula>SUM(Table12[German Total])</totalsRowFormula>
    </tableColumn>
    <tableColumn id="7" xr3:uid="{00000000-0010-0000-0800-000007000000}" name="Japanese Total" totalsRowFunction="custom" dataDxfId="646">
      <totalsRowFormula>SUM(Table12[Japanese Total])</totalsRowFormula>
    </tableColumn>
    <tableColumn id="8" xr3:uid="{00000000-0010-0000-0800-000008000000}" name="Korean Total" totalsRowFunction="custom" dataDxfId="645">
      <totalsRowFormula>SUM(Table12[Korean Total])</totalsRowFormula>
    </tableColumn>
    <tableColumn id="9" xr3:uid="{00000000-0010-0000-0800-000009000000}" name="Latin Total" totalsRowFunction="custom" dataDxfId="644">
      <totalsRowFormula>SUM(Table12[Latin Total])</totalsRowFormula>
    </tableColumn>
    <tableColumn id="10" xr3:uid="{00000000-0010-0000-0800-00000A000000}" name="Mandarin Total" totalsRowFunction="custom" dataDxfId="643">
      <totalsRowFormula>SUM(Table12[Mandarin Total])</totalsRowFormula>
    </tableColumn>
    <tableColumn id="11" xr3:uid="{00000000-0010-0000-0800-00000B000000}" name="Spanish Total" totalsRowFunction="custom" dataDxfId="642">
      <totalsRowFormula>SUM(Table12[Spanish Total])</totalsRowFormula>
    </tableColumn>
    <tableColumn id="12" xr3:uid="{00000000-0010-0000-0800-00000C000000}" name="Vietnamese Total" totalsRowFunction="custom" dataDxfId="641">
      <totalsRowFormula>SUM(Table12[Vietnamese Total])</totalsRowFormula>
    </tableColumn>
    <tableColumn id="13" xr3:uid="{00000000-0010-0000-0800-00000D000000}" name="Other Total" totalsRowFunction="custom" dataDxfId="640">
      <totalsRowFormula>SUM(Table12[Other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4-15 California State Seal of Biliteracy program in Imperial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.5" x14ac:dyDescent="0.35"/>
  <cols>
    <col min="1" max="1" width="14.07421875" customWidth="1"/>
    <col min="2" max="3" width="14.84375" customWidth="1"/>
    <col min="4" max="4" width="16.23046875" customWidth="1"/>
    <col min="5" max="5" width="10.23046875" customWidth="1"/>
    <col min="6" max="6" width="7.3046875" customWidth="1"/>
    <col min="7" max="7" width="7.69140625" customWidth="1"/>
    <col min="8" max="8" width="9.07421875" customWidth="1"/>
    <col min="9" max="9" width="7.4609375" customWidth="1"/>
    <col min="10" max="10" width="7.07421875" customWidth="1"/>
    <col min="11" max="11" width="9.3046875" customWidth="1"/>
    <col min="12" max="12" width="8.07421875" customWidth="1"/>
    <col min="13" max="13" width="11.07421875" customWidth="1"/>
    <col min="14" max="14" width="7.23046875" customWidth="1"/>
    <col min="15" max="15" width="7.3046875" customWidth="1"/>
  </cols>
  <sheetData>
    <row r="1" spans="1:15" ht="23" x14ac:dyDescent="0.5">
      <c r="A1" s="14" t="s">
        <v>619</v>
      </c>
    </row>
    <row r="2" spans="1:15" x14ac:dyDescent="0.35">
      <c r="A2" t="s">
        <v>440</v>
      </c>
    </row>
    <row r="3" spans="1:15" x14ac:dyDescent="0.35">
      <c r="A3" t="s">
        <v>620</v>
      </c>
    </row>
    <row r="4" spans="1:15" ht="35.15" customHeight="1" x14ac:dyDescent="0.35">
      <c r="A4" s="21" t="s">
        <v>78</v>
      </c>
      <c r="B4" s="21" t="s">
        <v>617</v>
      </c>
      <c r="C4" s="21" t="s">
        <v>318</v>
      </c>
      <c r="D4" s="21" t="s">
        <v>6</v>
      </c>
      <c r="E4" s="21" t="s">
        <v>7</v>
      </c>
      <c r="F4" s="21" t="s">
        <v>8</v>
      </c>
      <c r="G4" s="21" t="s">
        <v>27</v>
      </c>
      <c r="H4" s="21" t="s">
        <v>98</v>
      </c>
      <c r="I4" s="21" t="s">
        <v>9</v>
      </c>
      <c r="J4" s="21" t="s">
        <v>10</v>
      </c>
      <c r="K4" s="21" t="s">
        <v>11</v>
      </c>
      <c r="L4" s="21" t="s">
        <v>12</v>
      </c>
      <c r="M4" s="21" t="s">
        <v>13</v>
      </c>
      <c r="N4" s="21" t="s">
        <v>14</v>
      </c>
      <c r="O4" s="22" t="s">
        <v>361</v>
      </c>
    </row>
    <row r="5" spans="1:15" x14ac:dyDescent="0.35">
      <c r="A5" t="s">
        <v>315</v>
      </c>
      <c r="B5" s="7">
        <v>11</v>
      </c>
      <c r="C5" s="7">
        <v>33</v>
      </c>
      <c r="D5" s="7">
        <f>Table1[[#Totals],[American Sign Language Total]]</f>
        <v>14</v>
      </c>
      <c r="E5" s="7">
        <f>Table1[[#Totals],[Cantonese Total]]</f>
        <v>32</v>
      </c>
      <c r="F5" s="7">
        <f>Table1[[#Totals],[French Total]]</f>
        <v>157</v>
      </c>
      <c r="G5" s="7">
        <f>Table1[[#Totals],[German Total]]</f>
        <v>21</v>
      </c>
      <c r="H5" s="7">
        <f>Table1[[#Totals],[Japanese Total]]</f>
        <v>37</v>
      </c>
      <c r="I5" s="7">
        <f>Table1[[#Totals],[Korean Total]]</f>
        <v>5</v>
      </c>
      <c r="J5" s="7">
        <f>Table1[[#Totals],[Latin Total]]</f>
        <v>1</v>
      </c>
      <c r="K5" s="7">
        <f>Table1[[#Totals],[Mandarin Total]]</f>
        <v>111</v>
      </c>
      <c r="L5" s="7">
        <f>Table1[[#Totals],[Spanish Total]]</f>
        <v>724</v>
      </c>
      <c r="M5" s="7">
        <f>Table1[[#Totals],[Vietnamese Total]]</f>
        <v>16</v>
      </c>
      <c r="N5" s="7">
        <f>Table1[[#Totals],[Other Total]]</f>
        <v>9</v>
      </c>
      <c r="O5" s="23">
        <f>SUM(Table30[[#This Row],[American Sign Language Total]:[Other Total]])</f>
        <v>1127</v>
      </c>
    </row>
    <row r="6" spans="1:15" x14ac:dyDescent="0.35">
      <c r="A6" t="s">
        <v>316</v>
      </c>
      <c r="B6" s="7">
        <v>3</v>
      </c>
      <c r="C6" s="7">
        <v>5</v>
      </c>
      <c r="D6" s="7">
        <f>Table4[[#Totals],[American Sign Language Total]]</f>
        <v>0</v>
      </c>
      <c r="E6" s="7">
        <f>Table4[[#Totals],[Cantonese Total]]</f>
        <v>0</v>
      </c>
      <c r="F6" s="7">
        <f>Table4[[#Totals],[French Total]]</f>
        <v>17</v>
      </c>
      <c r="G6" s="7">
        <f>Table4[[#Totals],[German Total]]</f>
        <v>0</v>
      </c>
      <c r="H6" s="7">
        <f>Table4[[#Totals],[Japanese Total]]</f>
        <v>4</v>
      </c>
      <c r="I6" s="7">
        <f>Table4[[#Totals],[Korean Total]]</f>
        <v>0</v>
      </c>
      <c r="J6" s="7">
        <f>Table4[[#Totals],[Latin Total]]</f>
        <v>0</v>
      </c>
      <c r="K6" s="7">
        <f>Table4[[#Totals],[Mandarin Total]]</f>
        <v>0</v>
      </c>
      <c r="L6" s="7">
        <f>Table4[[#Totals],[Spanish Total]]</f>
        <v>135</v>
      </c>
      <c r="M6" s="7">
        <f>Table4[[#Totals],[Vietnamese Total]]</f>
        <v>0</v>
      </c>
      <c r="N6" s="7">
        <f>Table4[[#Totals],[Other Total]]</f>
        <v>0</v>
      </c>
      <c r="O6" s="23">
        <f>SUM(Table30[[#This Row],[American Sign Language Total]:[Other Total]])</f>
        <v>156</v>
      </c>
    </row>
    <row r="7" spans="1:15" x14ac:dyDescent="0.35">
      <c r="A7" t="s">
        <v>317</v>
      </c>
      <c r="B7" s="7">
        <v>8</v>
      </c>
      <c r="C7" s="7">
        <v>30</v>
      </c>
      <c r="D7" s="7">
        <f>Table7[[#Totals],[American Sign Language Total]]</f>
        <v>1</v>
      </c>
      <c r="E7" s="7">
        <f>Table7[[#Totals],[Cantonese Total]]</f>
        <v>2</v>
      </c>
      <c r="F7" s="7">
        <f>Table7[[#Totals],[French Total]]</f>
        <v>346</v>
      </c>
      <c r="G7" s="7">
        <f>Table7[[#Totals],[German Total]]</f>
        <v>48</v>
      </c>
      <c r="H7" s="7">
        <f>Table7[[#Totals],[Japanese Total]]</f>
        <v>46</v>
      </c>
      <c r="I7" s="7">
        <f>Table7[[#Totals],[Korean Total]]</f>
        <v>25</v>
      </c>
      <c r="J7" s="7">
        <f>Table7[[#Totals],[Latin Total]]</f>
        <v>27</v>
      </c>
      <c r="K7" s="7">
        <f>Table7[[#Totals],[Mandarin Total]]</f>
        <v>131</v>
      </c>
      <c r="L7" s="7">
        <f>Table7[[#Totals],[Spanish Total]]</f>
        <v>1293</v>
      </c>
      <c r="M7" s="7">
        <f>Table7[[#Totals],[Vietnamese Total]]</f>
        <v>2</v>
      </c>
      <c r="N7" s="7">
        <f>Table7[[#Totals],[Other Total]]</f>
        <v>8</v>
      </c>
      <c r="O7" s="23">
        <f>SUM(Table30[[#This Row],[American Sign Language Total]:[Other Total]])</f>
        <v>1929</v>
      </c>
    </row>
    <row r="8" spans="1:15" x14ac:dyDescent="0.35">
      <c r="A8" t="s">
        <v>319</v>
      </c>
      <c r="B8" s="7">
        <v>2</v>
      </c>
      <c r="C8" s="7">
        <v>5</v>
      </c>
      <c r="D8" s="7">
        <f>Table9[[#Totals],[American Sign Language Total]]</f>
        <v>0</v>
      </c>
      <c r="E8" s="7">
        <f>Table9[[#Totals],[Cantonese Total]]</f>
        <v>0</v>
      </c>
      <c r="F8" s="7">
        <f>Table9[[#Totals],[French Total]]</f>
        <v>27</v>
      </c>
      <c r="G8" s="7">
        <f>Table9[[#Totals],[German Total]]</f>
        <v>4</v>
      </c>
      <c r="H8" s="7">
        <f>Table9[[#Totals],[Japanese Total]]</f>
        <v>5</v>
      </c>
      <c r="I8" s="7">
        <f>Table9[[#Totals],[Korean Total]]</f>
        <v>0</v>
      </c>
      <c r="J8" s="7">
        <f>Table9[[#Totals],[Latin Total]]</f>
        <v>9</v>
      </c>
      <c r="K8" s="7">
        <f>Table9[[#Totals],[Mandarin Total]]</f>
        <v>0</v>
      </c>
      <c r="L8" s="7">
        <f>Table9[[#Totals],[Spanish Total]]</f>
        <v>97</v>
      </c>
      <c r="M8" s="7">
        <f>Table9[[#Totals],[Vietnamese Total]]</f>
        <v>0</v>
      </c>
      <c r="N8" s="7">
        <f>Table9[[#Totals],[Other Total]]</f>
        <v>0</v>
      </c>
      <c r="O8" s="23">
        <f>SUM(Table30[[#This Row],[American Sign Language Total]:[Other Total]])</f>
        <v>142</v>
      </c>
    </row>
    <row r="9" spans="1:15" x14ac:dyDescent="0.35">
      <c r="A9" t="s">
        <v>320</v>
      </c>
      <c r="B9" s="7">
        <v>8</v>
      </c>
      <c r="C9" s="7">
        <v>16</v>
      </c>
      <c r="D9" s="7">
        <f>Table10[[#Totals],[American Sign Language Total]]</f>
        <v>5</v>
      </c>
      <c r="E9" s="7">
        <f>Table10[[#Totals],[Cantonese Total]]</f>
        <v>0</v>
      </c>
      <c r="F9" s="7">
        <f>Table10[[#Totals],[French Total]]</f>
        <v>46</v>
      </c>
      <c r="G9" s="7">
        <f>Table10[[#Totals],[German Total]]</f>
        <v>11</v>
      </c>
      <c r="H9" s="7">
        <f>Table10[[#Totals],[Japanese Total]]</f>
        <v>0</v>
      </c>
      <c r="I9" s="7">
        <f>Table10[[#Totals],[Korean Total]]</f>
        <v>0</v>
      </c>
      <c r="J9" s="7">
        <f>Table10[[#Totals],[Latin Total]]</f>
        <v>3</v>
      </c>
      <c r="K9" s="7">
        <f>Table10[[#Totals],[Mandarin Total]]</f>
        <v>1</v>
      </c>
      <c r="L9" s="7">
        <f>Table10[[#Totals],[Spanish Total]]</f>
        <v>490</v>
      </c>
      <c r="M9" s="7">
        <f>Table10[[#Totals],[Vietnamese Total]]</f>
        <v>1</v>
      </c>
      <c r="N9" s="7">
        <f>Table10[[#Totals],[Other Total]]</f>
        <v>26</v>
      </c>
      <c r="O9" s="23">
        <f>SUM(Table30[[#This Row],[American Sign Language Total]:[Other Total]])</f>
        <v>583</v>
      </c>
    </row>
    <row r="10" spans="1:15" x14ac:dyDescent="0.35">
      <c r="A10" t="s">
        <v>321</v>
      </c>
      <c r="B10" s="7">
        <v>3</v>
      </c>
      <c r="C10" s="7">
        <v>3</v>
      </c>
      <c r="D10" s="7">
        <f>Table2[[#Totals],[American Sign Language Total]]</f>
        <v>0</v>
      </c>
      <c r="E10" s="7">
        <f>Table2[[#Totals],[Cantonese Total]]</f>
        <v>0</v>
      </c>
      <c r="F10" s="7">
        <f>Table2[[#Totals],[French Total]]</f>
        <v>0</v>
      </c>
      <c r="G10" s="7">
        <f>Table2[[#Totals],[German Total]]</f>
        <v>0</v>
      </c>
      <c r="H10" s="7">
        <f>Table2[[#Totals],[Japanese Total]]</f>
        <v>0</v>
      </c>
      <c r="I10" s="7">
        <f>Table2[[#Totals],[Korean Total]]</f>
        <v>0</v>
      </c>
      <c r="J10" s="7">
        <f>Table2[[#Totals],[Latin Total]]</f>
        <v>0</v>
      </c>
      <c r="K10" s="7">
        <f>Table2[[#Totals],[Mandarin Total]]</f>
        <v>0</v>
      </c>
      <c r="L10" s="7">
        <f>Table2[[#Totals],[Spanish Total]]</f>
        <v>14</v>
      </c>
      <c r="M10" s="7">
        <f>Table2[[#Totals],[Vietnamese Total]]</f>
        <v>0</v>
      </c>
      <c r="N10" s="7">
        <f>Table2[[#Totals],[Other Total]]</f>
        <v>0</v>
      </c>
      <c r="O10" s="23">
        <f>SUM(Table30[[#This Row],[American Sign Language Total]:[Other Total]])</f>
        <v>14</v>
      </c>
    </row>
    <row r="11" spans="1:15" x14ac:dyDescent="0.35">
      <c r="A11" t="s">
        <v>322</v>
      </c>
      <c r="B11" s="7">
        <v>2</v>
      </c>
      <c r="C11" s="7">
        <v>3</v>
      </c>
      <c r="D11" s="7">
        <f>Table11[[#Totals],[American Sign Language Total]]</f>
        <v>0</v>
      </c>
      <c r="E11" s="7">
        <f>Table11[[#Totals],[Cantonese Total]]</f>
        <v>0</v>
      </c>
      <c r="F11" s="7">
        <f>Table11[[#Totals],[French Total]]</f>
        <v>15</v>
      </c>
      <c r="G11" s="7">
        <f>Table11[[#Totals],[German Total]]</f>
        <v>18</v>
      </c>
      <c r="H11" s="7">
        <f>Table11[[#Totals],[Japanese Total]]</f>
        <v>0</v>
      </c>
      <c r="I11" s="7">
        <f>Table11[[#Totals],[Korean Total]]</f>
        <v>0</v>
      </c>
      <c r="J11" s="7">
        <f>Table11[[#Totals],[Latin Total]]</f>
        <v>0</v>
      </c>
      <c r="K11" s="7">
        <f>Table11[[#Totals],[Mandarin Total]]</f>
        <v>1</v>
      </c>
      <c r="L11" s="7">
        <f>Table11[[#Totals],[Spanish Total]]</f>
        <v>35</v>
      </c>
      <c r="M11" s="7">
        <f>Table11[[#Totals],[Vietnamese Total]]</f>
        <v>0</v>
      </c>
      <c r="N11" s="7">
        <f>Table11[[#Totals],[Other Total]]</f>
        <v>7</v>
      </c>
      <c r="O11" s="23">
        <f>SUM(Table30[[#This Row],[American Sign Language Total]:[Other Total]])</f>
        <v>76</v>
      </c>
    </row>
    <row r="12" spans="1:15" x14ac:dyDescent="0.35">
      <c r="A12" t="s">
        <v>323</v>
      </c>
      <c r="B12" s="7">
        <v>4</v>
      </c>
      <c r="C12" s="7">
        <v>5</v>
      </c>
      <c r="D12" s="7">
        <f>Table12[[#Totals],[American Sign Language Total]]</f>
        <v>0</v>
      </c>
      <c r="E12" s="7">
        <f>Table12[[#Totals],[Cantonese Total]]</f>
        <v>0</v>
      </c>
      <c r="F12" s="7">
        <f>Table12[[#Totals],[French Total]]</f>
        <v>1</v>
      </c>
      <c r="G12" s="7">
        <f>Table12[[#Totals],[German Total]]</f>
        <v>0</v>
      </c>
      <c r="H12" s="7">
        <f>Table12[[#Totals],[Japanese Total]]</f>
        <v>0</v>
      </c>
      <c r="I12" s="7">
        <f>Table12[[#Totals],[Korean Total]]</f>
        <v>3</v>
      </c>
      <c r="J12" s="7">
        <f>Table12[[#Totals],[Latin Total]]</f>
        <v>0</v>
      </c>
      <c r="K12" s="7">
        <f>Table12[[#Totals],[Mandarin Total]]</f>
        <v>0</v>
      </c>
      <c r="L12" s="7">
        <f>Table12[[#Totals],[Spanish Total]]</f>
        <v>170</v>
      </c>
      <c r="M12" s="7">
        <f>Table12[[#Totals],[Vietnamese Total]]</f>
        <v>0</v>
      </c>
      <c r="N12" s="7">
        <f>Table12[[#Totals],[Other Total]]</f>
        <v>0</v>
      </c>
      <c r="O12" s="23">
        <f>SUM(Table30[[#This Row],[American Sign Language Total]:[Other Total]])</f>
        <v>174</v>
      </c>
    </row>
    <row r="13" spans="1:15" x14ac:dyDescent="0.35">
      <c r="A13" t="s">
        <v>489</v>
      </c>
      <c r="B13" s="7">
        <v>2</v>
      </c>
      <c r="C13" s="7">
        <v>2</v>
      </c>
      <c r="D13" s="7">
        <f>Table1156[[#Totals],[American Sign Language Total]]</f>
        <v>0</v>
      </c>
      <c r="E13" s="7">
        <f>Table1156[[#Totals],[Cantonese Total]]</f>
        <v>0</v>
      </c>
      <c r="F13" s="7">
        <f>Table1156[[#Totals],[French Total]]</f>
        <v>0</v>
      </c>
      <c r="G13" s="7">
        <f>Table1156[[#Totals],[German Total]]</f>
        <v>0</v>
      </c>
      <c r="H13" s="7">
        <f>Table1156[[#Totals],[Japanese Total]]</f>
        <v>0</v>
      </c>
      <c r="I13" s="7">
        <f>Table1156[[#Totals],[Korean Total]]</f>
        <v>0</v>
      </c>
      <c r="J13" s="7">
        <f>Table1156[[#Totals],[Latin Total]]</f>
        <v>0</v>
      </c>
      <c r="K13" s="7">
        <f>Table1156[[#Totals],[Mandarin Total]]</f>
        <v>0</v>
      </c>
      <c r="L13" s="7">
        <f>Table1156[[#Totals],[Spanish Total]]</f>
        <v>39</v>
      </c>
      <c r="M13" s="7">
        <f>Table1156[[#Totals],[Vietnamese Total]]</f>
        <v>0</v>
      </c>
      <c r="N13" s="7">
        <f>Table1156[[#Totals],[Other Total]]</f>
        <v>0</v>
      </c>
      <c r="O13" s="23">
        <f>SUM(Table30[[#This Row],[American Sign Language Total]:[Other Total]])</f>
        <v>39</v>
      </c>
    </row>
    <row r="14" spans="1:15" x14ac:dyDescent="0.35">
      <c r="A14" t="s">
        <v>324</v>
      </c>
      <c r="B14" s="7">
        <v>6</v>
      </c>
      <c r="C14" s="7">
        <v>21</v>
      </c>
      <c r="D14" s="7">
        <f>Table13[[#Totals],[American Sign Language Total]]</f>
        <v>0</v>
      </c>
      <c r="E14" s="7">
        <f>Table13[[#Totals],[Cantonese Total]]</f>
        <v>0</v>
      </c>
      <c r="F14" s="7">
        <f>Table13[[#Totals],[French Total]]</f>
        <v>48</v>
      </c>
      <c r="G14" s="7">
        <f>Table13[[#Totals],[German Total]]</f>
        <v>1</v>
      </c>
      <c r="H14" s="7">
        <f>Table13[[#Totals],[Japanese Total]]</f>
        <v>0</v>
      </c>
      <c r="I14" s="7">
        <f>Table13[[#Totals],[Korean Total]]</f>
        <v>0</v>
      </c>
      <c r="J14" s="7">
        <f>Table13[[#Totals],[Latin Total]]</f>
        <v>0</v>
      </c>
      <c r="K14" s="7">
        <f>Table13[[#Totals],[Mandarin Total]]</f>
        <v>0</v>
      </c>
      <c r="L14" s="7">
        <f>Table13[[#Totals],[Spanish Total]]</f>
        <v>522</v>
      </c>
      <c r="M14" s="7">
        <f>Table13[[#Totals],[Vietnamese Total]]</f>
        <v>0</v>
      </c>
      <c r="N14" s="7">
        <f>Table13[[#Totals],[Other Total]]</f>
        <v>0</v>
      </c>
      <c r="O14" s="23">
        <f>SUM(Table30[[#This Row],[American Sign Language Total]:[Other Total]])</f>
        <v>571</v>
      </c>
    </row>
    <row r="15" spans="1:15" x14ac:dyDescent="0.35">
      <c r="A15" t="s">
        <v>325</v>
      </c>
      <c r="B15" s="7">
        <v>3</v>
      </c>
      <c r="C15" s="7">
        <v>5</v>
      </c>
      <c r="D15" s="7">
        <f>Table14[[#Totals],[American Sign Language Total]]</f>
        <v>0</v>
      </c>
      <c r="E15" s="7">
        <f>Table14[[#Totals],[Cantonese Total]]</f>
        <v>0</v>
      </c>
      <c r="F15" s="7">
        <f>Table14[[#Totals],[French Total]]</f>
        <v>2</v>
      </c>
      <c r="G15" s="7">
        <f>Table14[[#Totals],[German Total]]</f>
        <v>0</v>
      </c>
      <c r="H15" s="7">
        <f>Table14[[#Totals],[Japanese Total]]</f>
        <v>0</v>
      </c>
      <c r="I15" s="7">
        <f>Table14[[#Totals],[Korean Total]]</f>
        <v>0</v>
      </c>
      <c r="J15" s="7">
        <f>Table14[[#Totals],[Latin Total]]</f>
        <v>0</v>
      </c>
      <c r="K15" s="7">
        <f>Table14[[#Totals],[Mandarin Total]]</f>
        <v>0</v>
      </c>
      <c r="L15" s="7">
        <f>Table14[[#Totals],[Spanish Total]]</f>
        <v>91</v>
      </c>
      <c r="M15" s="7">
        <f>Table14[[#Totals],[Vietnamese Total]]</f>
        <v>0</v>
      </c>
      <c r="N15" s="7">
        <f>Table14[[#Totals],[Other Total]]</f>
        <v>0</v>
      </c>
      <c r="O15" s="23">
        <f>SUM(Table30[[#This Row],[American Sign Language Total]:[Other Total]])</f>
        <v>93</v>
      </c>
    </row>
    <row r="16" spans="1:15" x14ac:dyDescent="0.35">
      <c r="A16" t="s">
        <v>326</v>
      </c>
      <c r="B16" s="7">
        <v>1</v>
      </c>
      <c r="C16" s="7">
        <v>1</v>
      </c>
      <c r="D16" s="7" t="str">
        <f>Table15[[#Totals],[American Sign Language Total]]</f>
        <v>0</v>
      </c>
      <c r="E16" s="7" t="str">
        <f>Table15[[#Totals],[Cantonese Total]]</f>
        <v>0</v>
      </c>
      <c r="F16" s="7" t="str">
        <f>Table15[[#Totals],[French Total]]</f>
        <v>0</v>
      </c>
      <c r="G16" s="7" t="str">
        <f>Table15[[#Totals],[German Total]]</f>
        <v>0</v>
      </c>
      <c r="H16" s="7" t="str">
        <f>Table15[[#Totals],[Japanese Total]]</f>
        <v>0</v>
      </c>
      <c r="I16" s="7" t="str">
        <f>Table15[[#Totals],[Korean Total]]</f>
        <v>0</v>
      </c>
      <c r="J16" s="7" t="str">
        <f>Table15[[#Totals],[Latin Total]]</f>
        <v>0</v>
      </c>
      <c r="K16" s="7" t="str">
        <f>Table15[[#Totals],[Mandarin Total]]</f>
        <v>0</v>
      </c>
      <c r="L16" s="7" t="str">
        <f>Table15[[#Totals],[Spanish Total]]</f>
        <v>2</v>
      </c>
      <c r="M16" s="7" t="str">
        <f>Table15[[#Totals],[Vietnamese Total]]</f>
        <v>0</v>
      </c>
      <c r="N16" s="7" t="str">
        <f>Table15[[#Totals],[Other Total]]</f>
        <v>0</v>
      </c>
      <c r="O16" s="23">
        <f>SUM(Table30[[#This Row],[American Sign Language Total]:[Other Total]])</f>
        <v>0</v>
      </c>
    </row>
    <row r="17" spans="1:15" x14ac:dyDescent="0.35">
      <c r="A17" t="s">
        <v>327</v>
      </c>
      <c r="B17" s="7">
        <v>1</v>
      </c>
      <c r="C17" s="7">
        <v>1</v>
      </c>
      <c r="D17" s="7">
        <f>Table16[[#Totals],[American Sign Language Total]]</f>
        <v>0</v>
      </c>
      <c r="E17" s="7" t="str">
        <f>Table16[[#Totals],[Cantonese Total]]</f>
        <v>0</v>
      </c>
      <c r="F17" s="7" t="str">
        <f>Table16[[#Totals],[French Total]]</f>
        <v>0</v>
      </c>
      <c r="G17" s="7" t="str">
        <f>Table16[[#Totals],[German Total]]</f>
        <v>0</v>
      </c>
      <c r="H17" s="7" t="str">
        <f>Table16[[#Totals],[Japanese Total]]</f>
        <v>0</v>
      </c>
      <c r="I17" s="7" t="str">
        <f>Table16[[#Totals],[Korean Total]]</f>
        <v>0</v>
      </c>
      <c r="J17" s="7" t="str">
        <f>Table16[[#Totals],[Latin Total]]</f>
        <v>0</v>
      </c>
      <c r="K17" s="7" t="str">
        <f>Table16[[#Totals],[Mandarin Total]]</f>
        <v>0</v>
      </c>
      <c r="L17" s="7" t="str">
        <f>Table16[[#Totals],[Spanish Total]]</f>
        <v>5</v>
      </c>
      <c r="M17" s="7" t="str">
        <f>Table16[[#Totals],[Vietnamese Total]]</f>
        <v>0</v>
      </c>
      <c r="N17" s="7" t="str">
        <f>Table16[[#Totals],[Other Total]]</f>
        <v>0</v>
      </c>
      <c r="O17" s="23">
        <f>SUM(Table30[[#This Row],[American Sign Language Total]:[Other Total]])</f>
        <v>0</v>
      </c>
    </row>
    <row r="18" spans="1:15" x14ac:dyDescent="0.35">
      <c r="A18" t="s">
        <v>328</v>
      </c>
      <c r="B18" s="7">
        <v>36</v>
      </c>
      <c r="C18" s="7">
        <v>166</v>
      </c>
      <c r="D18" s="7">
        <f>Table17[[#Totals],[American Sign Language Total]]</f>
        <v>15</v>
      </c>
      <c r="E18" s="7">
        <f>Table17[[#Totals],[Cantonese Total]]</f>
        <v>40</v>
      </c>
      <c r="F18" s="7">
        <f>Table17[[#Totals],[French Total]]</f>
        <v>636</v>
      </c>
      <c r="G18" s="7">
        <f>Table17[[#Totals],[German Total]]</f>
        <v>81</v>
      </c>
      <c r="H18" s="7">
        <f>Table17[[#Totals],[Japanese Total]]</f>
        <v>208</v>
      </c>
      <c r="I18" s="7">
        <f>Table17[[#Totals],[Korean Total]]</f>
        <v>163</v>
      </c>
      <c r="J18" s="7">
        <f>Table17[[#Totals],[Latin Total]]</f>
        <v>74</v>
      </c>
      <c r="K18" s="7">
        <f>Table17[[#Totals],[Mandarin Total]]</f>
        <v>256</v>
      </c>
      <c r="L18" s="7">
        <f>Table17[[#Totals],[Spanish Total]]</f>
        <v>5248</v>
      </c>
      <c r="M18" s="7">
        <f>Table17[[#Totals],[Vietnamese Total]]</f>
        <v>2</v>
      </c>
      <c r="N18" s="7">
        <f>Table17[[#Totals],[Other Total]]</f>
        <v>133</v>
      </c>
      <c r="O18" s="23">
        <f>SUM(Table30[[#This Row],[American Sign Language Total]:[Other Total]])</f>
        <v>6856</v>
      </c>
    </row>
    <row r="19" spans="1:15" x14ac:dyDescent="0.35">
      <c r="A19" t="s">
        <v>329</v>
      </c>
      <c r="B19" s="7">
        <v>1</v>
      </c>
      <c r="C19" s="7">
        <v>2</v>
      </c>
      <c r="D19" s="7">
        <f>Table18[[#Totals],[American Sign Language Total]]</f>
        <v>0</v>
      </c>
      <c r="E19" s="7">
        <f>Table18[[#Totals],[Cantonese Total]]</f>
        <v>0</v>
      </c>
      <c r="F19" s="7">
        <f>Table18[[#Totals],[French Total]]</f>
        <v>1</v>
      </c>
      <c r="G19" s="7">
        <f>Table18[[#Totals],[German Total]]</f>
        <v>0</v>
      </c>
      <c r="H19" s="7">
        <f>Table18[[#Totals],[Japanese Total]]</f>
        <v>0</v>
      </c>
      <c r="I19" s="7">
        <f>Table18[[#Totals],[Korean Total]]</f>
        <v>0</v>
      </c>
      <c r="J19" s="7">
        <f>Table18[[#Totals],[Latin Total]]</f>
        <v>0</v>
      </c>
      <c r="K19" s="7">
        <f>Table18[[#Totals],[Mandarin Total]]</f>
        <v>0</v>
      </c>
      <c r="L19" s="7">
        <f>Table18[[#Totals],[Spanish Total]]</f>
        <v>24</v>
      </c>
      <c r="M19" s="7">
        <f>Table18[[#Totals],[Vietnamese Total]]</f>
        <v>0</v>
      </c>
      <c r="N19" s="7">
        <f>Table18[[#Totals],[Other Total]]</f>
        <v>0</v>
      </c>
      <c r="O19" s="23">
        <f>SUM(Table30[[#This Row],[American Sign Language Total]:[Other Total]])</f>
        <v>25</v>
      </c>
    </row>
    <row r="20" spans="1:15" x14ac:dyDescent="0.35">
      <c r="A20" t="s">
        <v>330</v>
      </c>
      <c r="B20" s="7">
        <v>3</v>
      </c>
      <c r="C20" s="7">
        <v>5</v>
      </c>
      <c r="D20" s="7">
        <f>Table19[[#Totals],[American Sign Language Total]]</f>
        <v>0</v>
      </c>
      <c r="E20" s="7">
        <f>Table19[[#Totals],[Cantonese Total]]</f>
        <v>0</v>
      </c>
      <c r="F20" s="7">
        <f>Table19[[#Totals],[French Total]]</f>
        <v>39</v>
      </c>
      <c r="G20" s="7">
        <f>Table19[[#Totals],[German Total]]</f>
        <v>1</v>
      </c>
      <c r="H20" s="7">
        <f>Table19[[#Totals],[Japanese Total]]</f>
        <v>0</v>
      </c>
      <c r="I20" s="7">
        <f>Table19[[#Totals],[Korean Total]]</f>
        <v>0</v>
      </c>
      <c r="J20" s="7">
        <f>Table19[[#Totals],[Latin Total]]</f>
        <v>4</v>
      </c>
      <c r="K20" s="7">
        <f>Table19[[#Totals],[Mandarin Total]]</f>
        <v>2</v>
      </c>
      <c r="L20" s="7">
        <f>Table19[[#Totals],[Spanish Total]]</f>
        <v>185</v>
      </c>
      <c r="M20" s="7">
        <f>Table19[[#Totals],[Vietnamese Total]]</f>
        <v>0</v>
      </c>
      <c r="N20" s="7">
        <f>Table19[[#Totals],[Other Total]]</f>
        <v>0</v>
      </c>
      <c r="O20" s="23">
        <f>SUM(Table30[[#This Row],[American Sign Language Total]:[Other Total]])</f>
        <v>231</v>
      </c>
    </row>
    <row r="21" spans="1:15" x14ac:dyDescent="0.35">
      <c r="A21" t="s">
        <v>331</v>
      </c>
      <c r="B21" s="7">
        <v>5</v>
      </c>
      <c r="C21" s="7">
        <v>6</v>
      </c>
      <c r="D21" s="7">
        <f>Table20[[#Totals],[American Sign Language Total]]</f>
        <v>0</v>
      </c>
      <c r="E21" s="7">
        <f>Table20[[#Totals],[Cantonese Total]]</f>
        <v>0</v>
      </c>
      <c r="F21" s="7">
        <f>Table20[[#Totals],[French Total]]</f>
        <v>1</v>
      </c>
      <c r="G21" s="7">
        <f>Table20[[#Totals],[German Total]]</f>
        <v>0</v>
      </c>
      <c r="H21" s="7">
        <f>Table20[[#Totals],[Japanese Total]]</f>
        <v>1</v>
      </c>
      <c r="I21" s="7">
        <f>Table20[[#Totals],[Korean Total]]</f>
        <v>0</v>
      </c>
      <c r="J21" s="7">
        <f>Table20[[#Totals],[Latin Total]]</f>
        <v>0</v>
      </c>
      <c r="K21" s="7">
        <f>Table20[[#Totals],[Mandarin Total]]</f>
        <v>0</v>
      </c>
      <c r="L21" s="7">
        <f>Table20[[#Totals],[Spanish Total]]</f>
        <v>60</v>
      </c>
      <c r="M21" s="7">
        <f>Table20[[#Totals],[Vietnamese Total]]</f>
        <v>0</v>
      </c>
      <c r="N21" s="7">
        <f>Table20[[#Totals],[Other Total]]</f>
        <v>0</v>
      </c>
      <c r="O21" s="23">
        <f>SUM(Table30[[#This Row],[American Sign Language Total]:[Other Total]])</f>
        <v>62</v>
      </c>
    </row>
    <row r="22" spans="1:15" x14ac:dyDescent="0.35">
      <c r="A22" t="s">
        <v>332</v>
      </c>
      <c r="B22" s="7">
        <v>1</v>
      </c>
      <c r="C22" s="7">
        <v>1</v>
      </c>
      <c r="D22" s="7">
        <f>Table23[[#Totals],[American Sign Language Total]]</f>
        <v>0</v>
      </c>
      <c r="E22" s="7">
        <f>Table23[[#Totals],[Cantonese Total]]</f>
        <v>0</v>
      </c>
      <c r="F22" s="7">
        <f>Table23[[#Totals],[French Total]]</f>
        <v>0</v>
      </c>
      <c r="G22" s="7">
        <f>Table23[[#Totals],[German Total]]</f>
        <v>0</v>
      </c>
      <c r="H22" s="7">
        <f>Table23[[#Totals],[Japanese Total]]</f>
        <v>0</v>
      </c>
      <c r="I22" s="7">
        <f>Table23[[#Totals],[Korean Total]]</f>
        <v>0</v>
      </c>
      <c r="J22" s="7">
        <f>Table23[[#Totals],[Latin Total]]</f>
        <v>0</v>
      </c>
      <c r="K22" s="7">
        <f>Table23[[#Totals],[Mandarin Total]]</f>
        <v>0</v>
      </c>
      <c r="L22" s="7">
        <f>Table23[[#Totals],[Spanish Total]]</f>
        <v>27</v>
      </c>
      <c r="M22" s="7">
        <f>Table23[[#Totals],[Vietnamese Total]]</f>
        <v>0</v>
      </c>
      <c r="N22" s="7">
        <f>Table23[[#Totals],[Other Total]]</f>
        <v>0</v>
      </c>
      <c r="O22" s="23">
        <f>SUM(Table30[[#This Row],[American Sign Language Total]:[Other Total]])</f>
        <v>27</v>
      </c>
    </row>
    <row r="23" spans="1:15" x14ac:dyDescent="0.35">
      <c r="A23" t="s">
        <v>333</v>
      </c>
      <c r="B23" s="7">
        <v>6</v>
      </c>
      <c r="C23" s="7">
        <v>12</v>
      </c>
      <c r="D23" s="7">
        <f>Table24[[#Totals],[American Sign Language Total]]</f>
        <v>0</v>
      </c>
      <c r="E23" s="7">
        <f>Table24[[#Totals],[Cantonese Total]]</f>
        <v>0</v>
      </c>
      <c r="F23" s="7">
        <f>Table24[[#Totals],[French Total]]</f>
        <v>46</v>
      </c>
      <c r="G23" s="7">
        <f>Table24[[#Totals],[German Total]]</f>
        <v>0</v>
      </c>
      <c r="H23" s="7">
        <f>Table24[[#Totals],[Japanese Total]]</f>
        <v>13</v>
      </c>
      <c r="I23" s="7">
        <f>Table24[[#Totals],[Korean Total]]</f>
        <v>0</v>
      </c>
      <c r="J23" s="7">
        <f>Table24[[#Totals],[Latin Total]]</f>
        <v>0</v>
      </c>
      <c r="K23" s="7">
        <f>Table24[[#Totals],[Mandarin Total]]</f>
        <v>6</v>
      </c>
      <c r="L23" s="7">
        <f>Table24[[#Totals],[Spanish Total]]</f>
        <v>263</v>
      </c>
      <c r="M23" s="7">
        <f>Table24[[#Totals],[Vietnamese Total]]</f>
        <v>0</v>
      </c>
      <c r="N23" s="7">
        <f>Table24[[#Totals],[Other Total]]</f>
        <v>0</v>
      </c>
      <c r="O23" s="23">
        <f>SUM(Table30[[#This Row],[American Sign Language Total]:[Other Total]])</f>
        <v>328</v>
      </c>
    </row>
    <row r="24" spans="1:15" x14ac:dyDescent="0.35">
      <c r="A24" t="s">
        <v>334</v>
      </c>
      <c r="B24" s="7">
        <v>2</v>
      </c>
      <c r="C24" s="7">
        <v>5</v>
      </c>
      <c r="D24" s="7">
        <f>Table25[[#Totals],[American Sign Language Total]]</f>
        <v>0</v>
      </c>
      <c r="E24" s="7">
        <f>Table25[[#Totals],[Cantonese Total]]</f>
        <v>0</v>
      </c>
      <c r="F24" s="7">
        <f>Table25[[#Totals],[French Total]]</f>
        <v>15</v>
      </c>
      <c r="G24" s="7">
        <f>Table25[[#Totals],[German Total]]</f>
        <v>0</v>
      </c>
      <c r="H24" s="7">
        <f>Table25[[#Totals],[Japanese Total]]</f>
        <v>0</v>
      </c>
      <c r="I24" s="7">
        <f>Table25[[#Totals],[Korean Total]]</f>
        <v>0</v>
      </c>
      <c r="J24" s="7">
        <f>Table25[[#Totals],[Latin Total]]</f>
        <v>0</v>
      </c>
      <c r="K24" s="7">
        <f>Table25[[#Totals],[Mandarin Total]]</f>
        <v>0</v>
      </c>
      <c r="L24" s="7">
        <f>Table25[[#Totals],[Spanish Total]]</f>
        <v>145</v>
      </c>
      <c r="M24" s="7">
        <f>Table25[[#Totals],[Vietnamese Total]]</f>
        <v>0</v>
      </c>
      <c r="N24" s="7">
        <f>Table25[[#Totals],[Other Total]]</f>
        <v>0</v>
      </c>
      <c r="O24" s="23">
        <f>SUM(Table30[[#This Row],[American Sign Language Total]:[Other Total]])</f>
        <v>160</v>
      </c>
    </row>
    <row r="25" spans="1:15" x14ac:dyDescent="0.35">
      <c r="A25" t="s">
        <v>335</v>
      </c>
      <c r="B25" s="7">
        <v>2</v>
      </c>
      <c r="C25" s="7">
        <v>3</v>
      </c>
      <c r="D25" s="7">
        <f>Table26[[#Totals],[American Sign Language Total]]</f>
        <v>0</v>
      </c>
      <c r="E25" s="7">
        <f>Table26[[#Totals],[Cantonese Total]]</f>
        <v>0</v>
      </c>
      <c r="F25" s="7">
        <f>Table26[[#Totals],[French Total]]</f>
        <v>2</v>
      </c>
      <c r="G25" s="7">
        <f>Table26[[#Totals],[German Total]]</f>
        <v>0</v>
      </c>
      <c r="H25" s="7">
        <f>Table26[[#Totals],[Japanese Total]]</f>
        <v>0</v>
      </c>
      <c r="I25" s="7">
        <f>Table26[[#Totals],[Korean Total]]</f>
        <v>0</v>
      </c>
      <c r="J25" s="7">
        <f>Table26[[#Totals],[Latin Total]]</f>
        <v>0</v>
      </c>
      <c r="K25" s="7">
        <f>Table26[[#Totals],[Mandarin Total]]</f>
        <v>0</v>
      </c>
      <c r="L25" s="7">
        <f>Table26[[#Totals],[Spanish Total]]</f>
        <v>12</v>
      </c>
      <c r="M25" s="7">
        <f>Table26[[#Totals],[Vietnamese Total]]</f>
        <v>0</v>
      </c>
      <c r="N25" s="7">
        <f>Table26[[#Totals],[Other Total]]</f>
        <v>0</v>
      </c>
      <c r="O25" s="23">
        <f>SUM(Table30[[#This Row],[American Sign Language Total]:[Other Total]])</f>
        <v>14</v>
      </c>
    </row>
    <row r="26" spans="1:15" x14ac:dyDescent="0.35">
      <c r="A26" t="s">
        <v>336</v>
      </c>
      <c r="B26" s="7">
        <v>14</v>
      </c>
      <c r="C26" s="7">
        <v>73</v>
      </c>
      <c r="D26" s="7">
        <f>Table27[[#Totals],[American Sign Language Total]]</f>
        <v>31</v>
      </c>
      <c r="E26" s="7">
        <f>Table27[[#Totals],[Cantonese Total]]</f>
        <v>19</v>
      </c>
      <c r="F26" s="7">
        <f>Table27[[#Totals],[French Total]]</f>
        <v>629</v>
      </c>
      <c r="G26" s="7">
        <f>Table27[[#Totals],[German Total]]</f>
        <v>75</v>
      </c>
      <c r="H26" s="7">
        <f>Table27[[#Totals],[Japanese Total]]</f>
        <v>126</v>
      </c>
      <c r="I26" s="7">
        <f>Table27[[#Totals],[Korean Total]]</f>
        <v>186</v>
      </c>
      <c r="J26" s="7">
        <f>Table27[[#Totals],[Latin Total]]</f>
        <v>102</v>
      </c>
      <c r="K26" s="7">
        <f>Table27[[#Totals],[Mandarin Total]]</f>
        <v>303</v>
      </c>
      <c r="L26" s="7">
        <f>Table27[[#Totals],[Spanish Total]]</f>
        <v>4963</v>
      </c>
      <c r="M26" s="7">
        <f>Table27[[#Totals],[Vietnamese Total]]</f>
        <v>224</v>
      </c>
      <c r="N26" s="7">
        <f>Table27[[#Totals],[Other Total]]</f>
        <v>79</v>
      </c>
      <c r="O26" s="23">
        <f>SUM(Table30[[#This Row],[American Sign Language Total]:[Other Total]])</f>
        <v>6737</v>
      </c>
    </row>
    <row r="27" spans="1:15" x14ac:dyDescent="0.35">
      <c r="A27" t="s">
        <v>337</v>
      </c>
      <c r="B27" s="7">
        <v>5</v>
      </c>
      <c r="C27" s="7">
        <v>14</v>
      </c>
      <c r="D27" s="7">
        <f>Table28[[#Totals],[American Sign Language Total]]</f>
        <v>0</v>
      </c>
      <c r="E27" s="7">
        <f>Table28[[#Totals],[Cantonese Total]]</f>
        <v>0</v>
      </c>
      <c r="F27" s="7">
        <f>Table28[[#Totals],[French Total]]</f>
        <v>41</v>
      </c>
      <c r="G27" s="7">
        <f>Table28[[#Totals],[German Total]]</f>
        <v>0</v>
      </c>
      <c r="H27" s="7">
        <f>Table28[[#Totals],[Japanese Total]]</f>
        <v>8</v>
      </c>
      <c r="I27" s="7">
        <f>Table28[[#Totals],[Korean Total]]</f>
        <v>0</v>
      </c>
      <c r="J27" s="7">
        <f>Table28[[#Totals],[Latin Total]]</f>
        <v>0</v>
      </c>
      <c r="K27" s="7">
        <f>Table28[[#Totals],[Mandarin Total]]</f>
        <v>2</v>
      </c>
      <c r="L27" s="7">
        <f>Table28[[#Totals],[Spanish Total]]</f>
        <v>329</v>
      </c>
      <c r="M27" s="7">
        <f>Table28[[#Totals],[Vietnamese Total]]</f>
        <v>0</v>
      </c>
      <c r="N27" s="7">
        <f>Table28[[#Totals],[Other Total]]</f>
        <v>4</v>
      </c>
      <c r="O27" s="23">
        <f>SUM(Table30[[#This Row],[American Sign Language Total]:[Other Total]])</f>
        <v>384</v>
      </c>
    </row>
    <row r="28" spans="1:15" x14ac:dyDescent="0.35">
      <c r="A28" t="s">
        <v>338</v>
      </c>
      <c r="B28" s="7">
        <v>1</v>
      </c>
      <c r="C28" s="7">
        <v>2</v>
      </c>
      <c r="D28" s="7">
        <f>Table29[[#Totals],[American Sign Language Total]]</f>
        <v>0</v>
      </c>
      <c r="E28" s="7">
        <f>Table29[[#Totals],[Cantonese Total]]</f>
        <v>0</v>
      </c>
      <c r="F28" s="7">
        <f>Table29[[#Totals],[French Total]]</f>
        <v>0</v>
      </c>
      <c r="G28" s="7">
        <f>Table29[[#Totals],[German Total]]</f>
        <v>0</v>
      </c>
      <c r="H28" s="7">
        <f>Table29[[#Totals],[Japanese Total]]</f>
        <v>0</v>
      </c>
      <c r="I28" s="7">
        <f>Table29[[#Totals],[Korean Total]]</f>
        <v>0</v>
      </c>
      <c r="J28" s="7">
        <f>Table29[[#Totals],[Latin Total]]</f>
        <v>0</v>
      </c>
      <c r="K28" s="7">
        <f>Table29[[#Totals],[Mandarin Total]]</f>
        <v>0</v>
      </c>
      <c r="L28" s="7">
        <f>Table29[[#Totals],[Spanish Total]]</f>
        <v>2</v>
      </c>
      <c r="M28" s="7">
        <f>Table29[[#Totals],[Vietnamese Total]]</f>
        <v>0</v>
      </c>
      <c r="N28" s="7">
        <f>Table29[[#Totals],[Other Total]]</f>
        <v>0</v>
      </c>
      <c r="O28" s="23">
        <f>SUM(Table30[[#This Row],[American Sign Language Total]:[Other Total]])</f>
        <v>2</v>
      </c>
    </row>
    <row r="29" spans="1:15" x14ac:dyDescent="0.35">
      <c r="A29" t="s">
        <v>339</v>
      </c>
      <c r="B29" s="7">
        <v>15</v>
      </c>
      <c r="C29" s="7">
        <v>46</v>
      </c>
      <c r="D29" s="7">
        <f>Table31[[#Totals],[American Sign Language Total]]</f>
        <v>28</v>
      </c>
      <c r="E29" s="7">
        <f>Table31[[#Totals],[Cantonese Total]]</f>
        <v>0</v>
      </c>
      <c r="F29" s="7">
        <f>Table31[[#Totals],[French Total]]</f>
        <v>78</v>
      </c>
      <c r="G29" s="7">
        <f>Table31[[#Totals],[German Total]]</f>
        <v>5</v>
      </c>
      <c r="H29" s="7">
        <f>Table31[[#Totals],[Japanese Total]]</f>
        <v>1</v>
      </c>
      <c r="I29" s="7">
        <f>Table31[[#Totals],[Korean Total]]</f>
        <v>3</v>
      </c>
      <c r="J29" s="7">
        <f>Table31[[#Totals],[Latin Total]]</f>
        <v>23</v>
      </c>
      <c r="K29" s="7">
        <f>Table31[[#Totals],[Mandarin Total]]</f>
        <v>24</v>
      </c>
      <c r="L29" s="7">
        <f>Table31[[#Totals],[Spanish Total]]</f>
        <v>1721</v>
      </c>
      <c r="M29" s="7">
        <f>Table31[[#Totals],[Vietnamese Total]]</f>
        <v>0</v>
      </c>
      <c r="N29" s="7">
        <f>Table31[[#Totals],[Other Total]]</f>
        <v>2</v>
      </c>
      <c r="O29" s="23">
        <f>SUM(Table30[[#This Row],[American Sign Language Total]:[Other Total]])</f>
        <v>1885</v>
      </c>
    </row>
    <row r="30" spans="1:15" x14ac:dyDescent="0.35">
      <c r="A30" t="s">
        <v>340</v>
      </c>
      <c r="B30" s="7">
        <v>9</v>
      </c>
      <c r="C30" s="7">
        <v>49</v>
      </c>
      <c r="D30" s="7">
        <f>Table32[[#Totals],[American Sign Language Total]]</f>
        <v>0</v>
      </c>
      <c r="E30" s="7">
        <f>Table32[[#Totals],[Cantonese Total]]</f>
        <v>2</v>
      </c>
      <c r="F30" s="7">
        <f>Table32[[#Totals],[French Total]]</f>
        <v>244</v>
      </c>
      <c r="G30" s="7">
        <f>Table32[[#Totals],[German Total]]</f>
        <v>63</v>
      </c>
      <c r="H30" s="7">
        <f>Table32[[#Totals],[Japanese Total]]</f>
        <v>115</v>
      </c>
      <c r="I30" s="7">
        <f>Table32[[#Totals],[Korean Total]]</f>
        <v>7</v>
      </c>
      <c r="J30" s="7">
        <f>Table32[[#Totals],[Latin Total]]</f>
        <v>16</v>
      </c>
      <c r="K30" s="7">
        <f>Table32[[#Totals],[Mandarin Total]]</f>
        <v>64</v>
      </c>
      <c r="L30" s="7">
        <f>Table32[[#Totals],[Spanish Total]]</f>
        <v>917</v>
      </c>
      <c r="M30" s="7">
        <f>Table32[[#Totals],[Vietnamese Total]]</f>
        <v>4</v>
      </c>
      <c r="N30" s="7">
        <f>Table32[[#Totals],[Other Total]]</f>
        <v>104</v>
      </c>
      <c r="O30" s="23">
        <f>SUM(Table30[[#This Row],[American Sign Language Total]:[Other Total]])</f>
        <v>1536</v>
      </c>
    </row>
    <row r="31" spans="1:15" x14ac:dyDescent="0.35">
      <c r="A31" t="s">
        <v>341</v>
      </c>
      <c r="B31" s="7">
        <v>1</v>
      </c>
      <c r="C31" s="7">
        <v>1</v>
      </c>
      <c r="D31" s="7">
        <f>Table3216[[#Totals],[American Sign Language Total]]</f>
        <v>13</v>
      </c>
      <c r="E31" s="7">
        <f>Table3216[[#Totals],[Cantonese Total]]</f>
        <v>0</v>
      </c>
      <c r="F31" s="7">
        <f>Table3216[[#Totals],[French Total]]</f>
        <v>19</v>
      </c>
      <c r="G31" s="7">
        <f>Table3216[[#Totals],[German Total]]</f>
        <v>0</v>
      </c>
      <c r="H31" s="7">
        <f>Table3216[[#Totals],[Japanese Total]]</f>
        <v>0</v>
      </c>
      <c r="I31" s="7">
        <f>Table3216[[#Totals],[Korean Total]]</f>
        <v>0</v>
      </c>
      <c r="J31" s="7">
        <f>Table3216[[#Totals],[Latin Total]]</f>
        <v>0</v>
      </c>
      <c r="K31" s="7">
        <f>Table3216[[#Totals],[Mandarin Total]]</f>
        <v>0</v>
      </c>
      <c r="L31" s="7">
        <f>Table3216[[#Totals],[Spanish Total]]</f>
        <v>40</v>
      </c>
      <c r="M31" s="7">
        <f>Table3216[[#Totals],[Vietnamese Total]]</f>
        <v>0</v>
      </c>
      <c r="N31" s="7">
        <f>Table3216[[#Totals],[Cantonese Total]]</f>
        <v>0</v>
      </c>
      <c r="O31" s="23">
        <f>SUM(Table30[[#This Row],[American Sign Language Total]:[Other Total]])</f>
        <v>72</v>
      </c>
    </row>
    <row r="32" spans="1:15" x14ac:dyDescent="0.35">
      <c r="A32" t="s">
        <v>342</v>
      </c>
      <c r="B32" s="7">
        <v>12</v>
      </c>
      <c r="C32" s="7">
        <v>40</v>
      </c>
      <c r="D32" s="7">
        <f>Table3458[[#Totals],[American Sign Language Total]]</f>
        <v>0</v>
      </c>
      <c r="E32" s="7">
        <f>Table3458[[#Totals],[Cantonese Total]]</f>
        <v>5</v>
      </c>
      <c r="F32" s="7">
        <f>Table3458[[#Totals],[French Total]]</f>
        <v>163</v>
      </c>
      <c r="G32" s="7">
        <f>Table3458[[#Totals],[German Total]]</f>
        <v>4</v>
      </c>
      <c r="H32" s="7">
        <f>Table3458[[#Totals],[Japanese Total]]</f>
        <v>2</v>
      </c>
      <c r="I32" s="7">
        <f>Table3458[[#Totals],[Korean Total]]</f>
        <v>10</v>
      </c>
      <c r="J32" s="7">
        <f>Table3458[[#Totals],[Latin Total]]</f>
        <v>25</v>
      </c>
      <c r="K32" s="7">
        <f>Table3458[[#Totals],[Mandarin Total]]</f>
        <v>22</v>
      </c>
      <c r="L32" s="7">
        <f>Table3458[[#Totals],[Spanish Total]]</f>
        <v>1430</v>
      </c>
      <c r="M32" s="7">
        <f>Table3458[[#Totals],[Vietnamese Total]]</f>
        <v>3</v>
      </c>
      <c r="N32" s="7">
        <f>Table3458[[#Totals],[Other Total]]</f>
        <v>7</v>
      </c>
      <c r="O32" s="23">
        <f>SUM(Table30[[#This Row],[American Sign Language Total]:[Other Total]])</f>
        <v>1671</v>
      </c>
    </row>
    <row r="33" spans="1:15" x14ac:dyDescent="0.35">
      <c r="A33" t="s">
        <v>343</v>
      </c>
      <c r="B33" s="7">
        <v>9</v>
      </c>
      <c r="C33" s="7">
        <v>34</v>
      </c>
      <c r="D33" s="7">
        <f>Table35[[#Totals],[American Sign Language Total]]</f>
        <v>19</v>
      </c>
      <c r="E33" s="7">
        <f>Table35[[#Totals],[Cantonese Total]]</f>
        <v>1</v>
      </c>
      <c r="F33" s="7">
        <f>Table35[[#Totals],[French Total]]</f>
        <v>110</v>
      </c>
      <c r="G33" s="7">
        <f>Table35[[#Totals],[German Total]]</f>
        <v>23</v>
      </c>
      <c r="H33" s="7">
        <f>Table35[[#Totals],[Japanese Total]]</f>
        <v>18</v>
      </c>
      <c r="I33" s="7">
        <f>Table35[[#Totals],[Korean Total]]</f>
        <v>13</v>
      </c>
      <c r="J33" s="7">
        <f>Table35[[#Totals],[Latin Total]]</f>
        <v>33</v>
      </c>
      <c r="K33" s="7">
        <f>Table35[[#Totals],[Mandarin Total]]</f>
        <v>16</v>
      </c>
      <c r="L33" s="7">
        <f>Table35[[#Totals],[Spanish Total]]</f>
        <v>1646</v>
      </c>
      <c r="M33" s="7">
        <f>Table35[[#Totals],[Vietnamese Total]]</f>
        <v>13</v>
      </c>
      <c r="N33" s="7">
        <f>Table35[[#Totals],[Other Total]]</f>
        <v>85</v>
      </c>
      <c r="O33" s="23">
        <f>SUM(Table30[[#This Row],[American Sign Language Total]:[Other Total]])</f>
        <v>1977</v>
      </c>
    </row>
    <row r="34" spans="1:15" x14ac:dyDescent="0.35">
      <c r="A34" t="s">
        <v>344</v>
      </c>
      <c r="B34" s="7">
        <v>1</v>
      </c>
      <c r="C34" s="7">
        <v>13</v>
      </c>
      <c r="D34" s="7">
        <f>Table36[[#Totals],[American Sign Language Total]]</f>
        <v>0</v>
      </c>
      <c r="E34" s="7">
        <f>Table36[[#Totals],[Cantonese Total]]</f>
        <v>0</v>
      </c>
      <c r="F34" s="7">
        <f>Table36[[#Totals],[French Total]]</f>
        <v>7</v>
      </c>
      <c r="G34" s="7">
        <f>Table36[[#Totals],[German Total]]</f>
        <v>0</v>
      </c>
      <c r="H34" s="7">
        <f>Table36[[#Totals],[Japanese Total]]</f>
        <v>36</v>
      </c>
      <c r="I34" s="7">
        <f>Table36[[#Totals],[Korean Total]]</f>
        <v>1</v>
      </c>
      <c r="J34" s="7">
        <f>Table36[[#Totals],[Latin Total]]</f>
        <v>13</v>
      </c>
      <c r="K34" s="7">
        <f>Table36[[#Totals],[Mandarin Total]]</f>
        <v>236</v>
      </c>
      <c r="L34" s="7">
        <f>Table36[[#Totals],[Spanish Total]]</f>
        <v>89</v>
      </c>
      <c r="M34" s="7">
        <f>Table36[[#Totals],[Vietnamese Total]]</f>
        <v>0</v>
      </c>
      <c r="N34" s="7">
        <f>Table36[[#Totals],[Other Total]]</f>
        <v>31</v>
      </c>
      <c r="O34" s="23">
        <f>SUM(Table30[[#This Row],[American Sign Language Total]:[Other Total]])</f>
        <v>413</v>
      </c>
    </row>
    <row r="35" spans="1:15" x14ac:dyDescent="0.35">
      <c r="A35" t="s">
        <v>345</v>
      </c>
      <c r="B35" s="7">
        <v>8</v>
      </c>
      <c r="C35" s="7">
        <v>16</v>
      </c>
      <c r="D35" s="7">
        <f>Table37[[#Totals],[American Sign Language Total]]</f>
        <v>1</v>
      </c>
      <c r="E35" s="7">
        <f>Table37[[#Totals],[Cantonese Total]]</f>
        <v>0</v>
      </c>
      <c r="F35" s="7">
        <f>Table37[[#Totals],[French Total]]</f>
        <v>15</v>
      </c>
      <c r="G35" s="7">
        <f>Table37[[#Totals],[German Total]]</f>
        <v>0</v>
      </c>
      <c r="H35" s="7">
        <f>Table37[[#Totals],[Japanese Total]]</f>
        <v>12</v>
      </c>
      <c r="I35" s="7">
        <f>Table37[[#Totals],[Korean Total]]</f>
        <v>0</v>
      </c>
      <c r="J35" s="7">
        <f>Table37[[#Totals],[Latin Total]]</f>
        <v>0</v>
      </c>
      <c r="K35" s="7">
        <f>Table37[[#Totals],[Mandarin Total]]</f>
        <v>0</v>
      </c>
      <c r="L35" s="7">
        <f>Table37[[#Totals],[Spanish Total]]</f>
        <v>201</v>
      </c>
      <c r="M35" s="7">
        <f>Table37[[#Totals],[Vietnamese Total]]</f>
        <v>1</v>
      </c>
      <c r="N35" s="7">
        <f>Table37[[#Totals],[Other Total]]</f>
        <v>18</v>
      </c>
      <c r="O35" s="23">
        <f>SUM(Table30[[#This Row],[American Sign Language Total]:[Other Total]])</f>
        <v>248</v>
      </c>
    </row>
    <row r="36" spans="1:15" x14ac:dyDescent="0.35">
      <c r="A36" t="s">
        <v>346</v>
      </c>
      <c r="B36" s="7">
        <v>5</v>
      </c>
      <c r="C36" s="7">
        <v>7</v>
      </c>
      <c r="D36" s="7">
        <f>Table38[[#Totals],[American Sign Language Total]]</f>
        <v>20</v>
      </c>
      <c r="E36" s="7">
        <f>Table38[[#Totals],[Cantonese Total]]</f>
        <v>0</v>
      </c>
      <c r="F36" s="7">
        <f>Table38[[#Totals],[French Total]]</f>
        <v>20</v>
      </c>
      <c r="G36" s="7">
        <f>Table38[[#Totals],[German Total]]</f>
        <v>0</v>
      </c>
      <c r="H36" s="7">
        <f>Table38[[#Totals],[Japanese Total]]</f>
        <v>0</v>
      </c>
      <c r="I36" s="7">
        <f>Table38[[#Totals],[Korean Total]]</f>
        <v>0</v>
      </c>
      <c r="J36" s="7">
        <f>Table38[[#Totals],[Latin Total]]</f>
        <v>14</v>
      </c>
      <c r="K36" s="7">
        <f>Table38[[#Totals],[Mandarin Total]]</f>
        <v>1</v>
      </c>
      <c r="L36" s="7">
        <f>Table38[[#Totals],[Spanish Total]]</f>
        <v>107</v>
      </c>
      <c r="M36" s="7">
        <f>Table38[[#Totals],[Vietnamese Total]]</f>
        <v>0</v>
      </c>
      <c r="N36" s="7">
        <f>Table38[[#Totals],[Other Total]]</f>
        <v>0</v>
      </c>
      <c r="O36" s="23">
        <f>SUM(Table30[[#This Row],[American Sign Language Total]:[Other Total]])</f>
        <v>162</v>
      </c>
    </row>
    <row r="37" spans="1:15" x14ac:dyDescent="0.35">
      <c r="A37" t="s">
        <v>347</v>
      </c>
      <c r="B37" s="7">
        <v>5</v>
      </c>
      <c r="C37" s="7">
        <v>15</v>
      </c>
      <c r="D37" s="7">
        <f>Table39[[#Totals],[American Sign Language Total]]</f>
        <v>0</v>
      </c>
      <c r="E37" s="7">
        <f>Table39[[#Totals],[Cantonese Total]]</f>
        <v>0</v>
      </c>
      <c r="F37" s="7">
        <f>Table39[[#Totals],[French Total]]</f>
        <v>117</v>
      </c>
      <c r="G37" s="7">
        <f>Table39[[#Totals],[German Total]]</f>
        <v>3</v>
      </c>
      <c r="H37" s="7">
        <f>Table39[[#Totals],[Japanese Total]]</f>
        <v>18</v>
      </c>
      <c r="I37" s="7">
        <f>Table39[[#Totals],[Korean Total]]</f>
        <v>0</v>
      </c>
      <c r="J37" s="7">
        <f>Table39[[#Totals],[Latin Total]]</f>
        <v>14</v>
      </c>
      <c r="K37" s="7">
        <f>Table39[[#Totals],[Mandarin Total]]</f>
        <v>69</v>
      </c>
      <c r="L37" s="7">
        <f>Table39[[#Totals],[Spanish Total]]</f>
        <v>658</v>
      </c>
      <c r="M37" s="7">
        <f>Table39[[#Totals],[Vietnamese Total]]</f>
        <v>0</v>
      </c>
      <c r="N37" s="7">
        <f>Table39[[#Totals],[Other Total]]</f>
        <v>28</v>
      </c>
      <c r="O37" s="23">
        <f>SUM(Table30[[#This Row],[American Sign Language Total]:[Other Total]])</f>
        <v>907</v>
      </c>
    </row>
    <row r="38" spans="1:15" x14ac:dyDescent="0.35">
      <c r="A38" t="s">
        <v>348</v>
      </c>
      <c r="B38" s="7">
        <v>4</v>
      </c>
      <c r="C38" s="7">
        <v>10</v>
      </c>
      <c r="D38" s="7">
        <f>Table40[[#Totals],[American Sign Language Total]]</f>
        <v>0</v>
      </c>
      <c r="E38" s="7">
        <f>Table40[[#Totals],[Cantonese Total]]</f>
        <v>0</v>
      </c>
      <c r="F38" s="7">
        <f>Table40[[#Totals],[French Total]]</f>
        <v>44</v>
      </c>
      <c r="G38" s="7">
        <f>Table40[[#Totals],[German Total]]</f>
        <v>0</v>
      </c>
      <c r="H38" s="7">
        <f>Table40[[#Totals],[Japanese Total]]</f>
        <v>0</v>
      </c>
      <c r="I38" s="7">
        <f>Table40[[#Totals],[Korean Total]]</f>
        <v>0</v>
      </c>
      <c r="J38" s="7">
        <f>Table40[[#Totals],[Latin Total]]</f>
        <v>20</v>
      </c>
      <c r="K38" s="7">
        <f>Table40[[#Totals],[Mandarin Total]]</f>
        <v>1</v>
      </c>
      <c r="L38" s="7">
        <f>Table40[[#Totals],[Spanish Total]]</f>
        <v>243</v>
      </c>
      <c r="M38" s="7">
        <f>Table40[[#Totals],[Vietnamese Total]]</f>
        <v>0</v>
      </c>
      <c r="N38" s="7">
        <f>Table40[[#Totals],[Other Total]]</f>
        <v>1</v>
      </c>
      <c r="O38" s="23">
        <f>SUM(Table30[[#This Row],[American Sign Language Total]:[Other Total]])</f>
        <v>309</v>
      </c>
    </row>
    <row r="39" spans="1:15" x14ac:dyDescent="0.35">
      <c r="A39" t="s">
        <v>349</v>
      </c>
      <c r="B39" s="7">
        <v>8</v>
      </c>
      <c r="C39" s="7">
        <v>25</v>
      </c>
      <c r="D39" s="7">
        <f>Table41[[#Totals],[American Sign Language Total]]</f>
        <v>0</v>
      </c>
      <c r="E39" s="7">
        <f>Table41[[#Totals],[Cantonese Total]]</f>
        <v>1</v>
      </c>
      <c r="F39" s="7">
        <f>Table41[[#Totals],[French Total]]</f>
        <v>180</v>
      </c>
      <c r="G39" s="7">
        <f>Table41[[#Totals],[German Total]]</f>
        <v>6</v>
      </c>
      <c r="H39" s="7">
        <f>Table41[[#Totals],[Japanese Total]]</f>
        <v>44</v>
      </c>
      <c r="I39" s="7">
        <f>Table41[[#Totals],[Korean Total]]</f>
        <v>6</v>
      </c>
      <c r="J39" s="7">
        <f>Table41[[#Totals],[Latin Total]]</f>
        <v>12</v>
      </c>
      <c r="K39" s="7">
        <f>Table41[[#Totals],[Mandarin Total]]</f>
        <v>100</v>
      </c>
      <c r="L39" s="7">
        <f>Table41[[#Totals],[Spanish Total]]</f>
        <v>801</v>
      </c>
      <c r="M39" s="7">
        <f>Table41[[#Totals],[Vietnamese Total]]</f>
        <v>0</v>
      </c>
      <c r="N39" s="7">
        <f>Table41[[#Totals],[Other Total]]</f>
        <v>16</v>
      </c>
      <c r="O39" s="23">
        <f>SUM(Table30[[#This Row],[American Sign Language Total]:[Other Total]])</f>
        <v>1166</v>
      </c>
    </row>
    <row r="40" spans="1:15" x14ac:dyDescent="0.35">
      <c r="A40" t="s">
        <v>350</v>
      </c>
      <c r="B40" s="7">
        <v>2</v>
      </c>
      <c r="C40" s="7">
        <v>4</v>
      </c>
      <c r="D40" s="7">
        <f>Table4144[[#Totals],[American Sign Language Total]]</f>
        <v>0</v>
      </c>
      <c r="E40" s="7">
        <f>Table4144[[#Totals],[Cantonese Total]]</f>
        <v>0</v>
      </c>
      <c r="F40" s="7">
        <f>Table4144[[#Totals],[French Total]]</f>
        <v>1</v>
      </c>
      <c r="G40" s="7">
        <f>Table4144[[#Totals],[German Total]]</f>
        <v>0</v>
      </c>
      <c r="H40" s="7">
        <f>Table4144[[#Totals],[Japanese Total]]</f>
        <v>0</v>
      </c>
      <c r="I40" s="7">
        <f>Table4144[[#Totals],[Korean Total]]</f>
        <v>0</v>
      </c>
      <c r="J40" s="7">
        <f>Table4144[[#Totals],[Latin Total]]</f>
        <v>0</v>
      </c>
      <c r="K40" s="7">
        <f>Table4144[[#Totals],[Mandarin Total]]</f>
        <v>0</v>
      </c>
      <c r="L40" s="7">
        <f>Table4144[[#Totals],[Spanish Total]]</f>
        <v>84</v>
      </c>
      <c r="M40" s="7">
        <f>Table4144[[#Totals],[Vietnamese Total]]</f>
        <v>0</v>
      </c>
      <c r="N40" s="7">
        <f>Table4144[[#Totals],[Other Total]]</f>
        <v>1</v>
      </c>
      <c r="O40" s="23">
        <f>SUM(Table30[[#This Row],[American Sign Language Total]:[Other Total]])</f>
        <v>86</v>
      </c>
    </row>
    <row r="41" spans="1:15" x14ac:dyDescent="0.35">
      <c r="A41" t="s">
        <v>351</v>
      </c>
      <c r="B41" s="7">
        <v>1</v>
      </c>
      <c r="C41" s="7">
        <v>1</v>
      </c>
      <c r="D41" s="7" t="str">
        <f>Table43[[#Totals],[American Sign Language Total]]</f>
        <v>0</v>
      </c>
      <c r="E41" s="7" t="str">
        <f>Table43[[#Totals],[Cantonese Total]]</f>
        <v>0</v>
      </c>
      <c r="F41" s="7" t="str">
        <f>Table43[[#Totals],[French Total]]</f>
        <v>0</v>
      </c>
      <c r="G41" s="7" t="str">
        <f>Table43[[#Totals],[German Total]]</f>
        <v>0</v>
      </c>
      <c r="H41" s="7" t="str">
        <f>Table43[[#Totals],[Japanese Total]]</f>
        <v>0</v>
      </c>
      <c r="I41" s="7" t="str">
        <f>Table43[[#Totals],[Korean Total]]</f>
        <v>0</v>
      </c>
      <c r="J41" s="7" t="str">
        <f>Table43[[#Totals],[Latin Total]]</f>
        <v>0</v>
      </c>
      <c r="K41" s="7" t="str">
        <f>Table43[[#Totals],[Mandarin Total]]</f>
        <v>0</v>
      </c>
      <c r="L41" s="7" t="str">
        <f>Table43[[#Totals],[Spanish Total]]</f>
        <v>7</v>
      </c>
      <c r="M41" s="7" t="str">
        <f>Table43[[#Totals],[Vietnamese Total]]</f>
        <v>0</v>
      </c>
      <c r="N41" s="7" t="str">
        <f>Table43[[#Totals],[Other Total]]</f>
        <v>0</v>
      </c>
      <c r="O41" s="23">
        <f>SUM(Table30[[#This Row],[American Sign Language Total]:[Other Total]])</f>
        <v>0</v>
      </c>
    </row>
    <row r="42" spans="1:15" x14ac:dyDescent="0.35">
      <c r="A42" t="s">
        <v>352</v>
      </c>
      <c r="B42" s="7">
        <v>3</v>
      </c>
      <c r="C42" s="7">
        <v>7</v>
      </c>
      <c r="D42" s="7">
        <f>Table44[[#Totals],[American Sign Language Total]]</f>
        <v>0</v>
      </c>
      <c r="E42" s="7">
        <f>Table44[[#Totals],[Cantonese Total]]</f>
        <v>0</v>
      </c>
      <c r="F42" s="7">
        <f>Table44[[#Totals],[French Total]]</f>
        <v>32</v>
      </c>
      <c r="G42" s="7">
        <f>Table44[[#Totals],[German Total]]</f>
        <v>25</v>
      </c>
      <c r="H42" s="7">
        <f>Table44[[#Totals],[Japanese Total]]</f>
        <v>0</v>
      </c>
      <c r="I42" s="7">
        <f>Table44[[#Totals],[Korean Total]]</f>
        <v>0</v>
      </c>
      <c r="J42" s="7">
        <f>Table44[[#Totals],[Latin Total]]</f>
        <v>0</v>
      </c>
      <c r="K42" s="7">
        <f>Table44[[#Totals],[Mandarin Total]]</f>
        <v>15</v>
      </c>
      <c r="L42" s="7">
        <f>Table44[[#Totals],[Spanish Total]]</f>
        <v>152</v>
      </c>
      <c r="M42" s="7">
        <f>Table44[[#Totals],[Vietnamese Total]]</f>
        <v>0</v>
      </c>
      <c r="N42" s="7">
        <f>Table44[[#Totals],[Other Total]]</f>
        <v>0</v>
      </c>
      <c r="O42" s="23">
        <f>SUM(Table30[[#This Row],[American Sign Language Total]:[Other Total]])</f>
        <v>224</v>
      </c>
    </row>
    <row r="43" spans="1:15" x14ac:dyDescent="0.35">
      <c r="A43" t="s">
        <v>353</v>
      </c>
      <c r="B43" s="7">
        <v>8</v>
      </c>
      <c r="C43" s="7">
        <v>14</v>
      </c>
      <c r="D43" s="7">
        <f>Table45[[#Totals],[American Sign Language Total]]</f>
        <v>6</v>
      </c>
      <c r="E43" s="7">
        <f>Table45[[#Totals],[Cantonese Total]]</f>
        <v>1</v>
      </c>
      <c r="F43" s="7">
        <f>Table45[[#Totals],[French Total]]</f>
        <v>70</v>
      </c>
      <c r="G43" s="7">
        <f>Table45[[#Totals],[German Total]]</f>
        <v>2</v>
      </c>
      <c r="H43" s="7">
        <f>Table45[[#Totals],[Japanese Total]]</f>
        <v>0</v>
      </c>
      <c r="I43" s="7">
        <f>Table45[[#Totals],[Korean Total]]</f>
        <v>1</v>
      </c>
      <c r="J43" s="7">
        <f>Table45[[#Totals],[Latin Total]]</f>
        <v>8</v>
      </c>
      <c r="K43" s="7">
        <f>Table45[[#Totals],[Mandarin Total]]</f>
        <v>10</v>
      </c>
      <c r="L43" s="7">
        <f>Table45[[#Totals],[Spanish Total]]</f>
        <v>525</v>
      </c>
      <c r="M43" s="7">
        <f>Table45[[#Totals],[Vietnamese Total]]</f>
        <v>0</v>
      </c>
      <c r="N43" s="7">
        <f>Table45[[#Totals],[Other Total]]</f>
        <v>3</v>
      </c>
      <c r="O43" s="23">
        <f>SUM(Table30[[#This Row],[American Sign Language Total]:[Other Total]])</f>
        <v>626</v>
      </c>
    </row>
    <row r="44" spans="1:15" x14ac:dyDescent="0.35">
      <c r="A44" t="s">
        <v>354</v>
      </c>
      <c r="B44" s="7">
        <v>4</v>
      </c>
      <c r="C44" s="7">
        <v>12</v>
      </c>
      <c r="D44" s="7">
        <f>Table46[[#Totals],[American Sign Language Total]]</f>
        <v>0</v>
      </c>
      <c r="E44" s="7">
        <f>Table46[[#Totals],[Cantonese Total]]</f>
        <v>0</v>
      </c>
      <c r="F44" s="7">
        <f>Table46[[#Totals],[French Total]]</f>
        <v>27</v>
      </c>
      <c r="G44" s="7">
        <f>Table46[[#Totals],[German Total]]</f>
        <v>14</v>
      </c>
      <c r="H44" s="7">
        <f>Table46[[#Totals],[Japanese Total]]</f>
        <v>0</v>
      </c>
      <c r="I44" s="7">
        <f>Table46[[#Totals],[Korean Total]]</f>
        <v>0</v>
      </c>
      <c r="J44" s="7">
        <f>Table46[[#Totals],[Latin Total]]</f>
        <v>0</v>
      </c>
      <c r="K44" s="7">
        <f>Table46[[#Totals],[Mandarin Total]]</f>
        <v>1</v>
      </c>
      <c r="L44" s="7">
        <f>Table46[[#Totals],[Spanish Total]]</f>
        <v>275</v>
      </c>
      <c r="M44" s="7">
        <f>Table46[[#Totals],[Vietnamese Total]]</f>
        <v>0</v>
      </c>
      <c r="N44" s="7">
        <f>Table46[[#Totals],[Other Total]]</f>
        <v>0</v>
      </c>
      <c r="O44" s="23">
        <f>SUM(Table30[[#This Row],[American Sign Language Total]:[Other Total]])</f>
        <v>317</v>
      </c>
    </row>
    <row r="45" spans="1:15" x14ac:dyDescent="0.35">
      <c r="A45" t="s">
        <v>355</v>
      </c>
      <c r="B45" s="7">
        <v>3</v>
      </c>
      <c r="C45" s="7">
        <v>4</v>
      </c>
      <c r="D45" s="7">
        <f>Table47[[#Totals],[American Sign Language Total]]</f>
        <v>0</v>
      </c>
      <c r="E45" s="7">
        <f>Table47[[#Totals],[Cantonese Total]]</f>
        <v>0</v>
      </c>
      <c r="F45" s="7">
        <f>Table47[[#Totals],[French Total]]</f>
        <v>6</v>
      </c>
      <c r="G45" s="7">
        <f>Table47[[#Totals],[German Total]]</f>
        <v>8</v>
      </c>
      <c r="H45" s="7">
        <f>Table47[[#Totals],[Japanese Total]]</f>
        <v>0</v>
      </c>
      <c r="I45" s="7">
        <f>Table47[[#Totals],[Korean Total]]</f>
        <v>0</v>
      </c>
      <c r="J45" s="7">
        <f>Table47[[#Totals],[Latin Total]]</f>
        <v>0</v>
      </c>
      <c r="K45" s="7">
        <f>Table47[[#Totals],[Mandarin Total]]</f>
        <v>0</v>
      </c>
      <c r="L45" s="7">
        <f>Table47[[#Totals],[Spanish Total]]</f>
        <v>56</v>
      </c>
      <c r="M45" s="7">
        <f>Table47[[#Totals],[Vietnamese Total]]</f>
        <v>0</v>
      </c>
      <c r="N45" s="7">
        <f>Table47[[#Totals],[Other Total]]</f>
        <v>1</v>
      </c>
      <c r="O45" s="23">
        <f>SUM(Table30[[#This Row],[American Sign Language Total]:[Other Total]])</f>
        <v>71</v>
      </c>
    </row>
    <row r="46" spans="1:15" x14ac:dyDescent="0.35">
      <c r="A46" t="s">
        <v>356</v>
      </c>
      <c r="B46" s="7">
        <v>2</v>
      </c>
      <c r="C46" s="7">
        <v>2</v>
      </c>
      <c r="D46" s="7">
        <f>Table48[[#Totals],[American Sign Language Total]]</f>
        <v>0</v>
      </c>
      <c r="E46" s="7">
        <f>Table48[[#Totals],[Cantonese Total]]</f>
        <v>0</v>
      </c>
      <c r="F46" s="7">
        <f>Table48[[#Totals],[French Total]]</f>
        <v>0</v>
      </c>
      <c r="G46" s="7">
        <f>Table48[[#Totals],[German Total]]</f>
        <v>0</v>
      </c>
      <c r="H46" s="7">
        <f>Table48[[#Totals],[Japanese Total]]</f>
        <v>0</v>
      </c>
      <c r="I46" s="7">
        <f>Table48[[#Totals],[Korean Total]]</f>
        <v>0</v>
      </c>
      <c r="J46" s="7">
        <f>Table48[[#Totals],[Latin Total]]</f>
        <v>0</v>
      </c>
      <c r="K46" s="7">
        <f>Table48[[#Totals],[Mandarin Total]]</f>
        <v>0</v>
      </c>
      <c r="L46" s="7">
        <f>Table48[[#Totals],[Spanish Total]]</f>
        <v>12</v>
      </c>
      <c r="M46" s="7">
        <f>Table48[[#Totals],[Vietnamese Total]]</f>
        <v>0</v>
      </c>
      <c r="N46" s="7">
        <f>Table48[[#Totals],[Other Total]]</f>
        <v>0</v>
      </c>
      <c r="O46" s="23">
        <f>SUM(Table30[[#This Row],[American Sign Language Total]:[Other Total]])</f>
        <v>12</v>
      </c>
    </row>
    <row r="47" spans="1:15" x14ac:dyDescent="0.35">
      <c r="A47" t="s">
        <v>357</v>
      </c>
      <c r="B47" s="7">
        <v>6</v>
      </c>
      <c r="C47" s="7">
        <v>15</v>
      </c>
      <c r="D47" s="7">
        <f>Table50[[#Totals],[American Sign Language Total]]</f>
        <v>0</v>
      </c>
      <c r="E47" s="7">
        <f>Table50[[#Totals],[Cantonese Total]]</f>
        <v>0</v>
      </c>
      <c r="F47" s="7">
        <f>Table50[[#Totals],[French Total]]</f>
        <v>29</v>
      </c>
      <c r="G47" s="7">
        <f>Table50[[#Totals],[German Total]]</f>
        <v>0</v>
      </c>
      <c r="H47" s="7">
        <f>Table50[[#Totals],[Japanese Total]]</f>
        <v>0</v>
      </c>
      <c r="I47" s="7">
        <f>Table50[[#Totals],[Korean Total]]</f>
        <v>0</v>
      </c>
      <c r="J47" s="7">
        <f>Table50[[#Totals],[Latin Total]]</f>
        <v>0</v>
      </c>
      <c r="K47" s="7">
        <f>Table50[[#Totals],[Mandarin Total]]</f>
        <v>0</v>
      </c>
      <c r="L47" s="7">
        <f>Table50[[#Totals],[Spanish Total]]</f>
        <v>438</v>
      </c>
      <c r="M47" s="7">
        <f>Table50[[#Totals],[Vietnamese Total]]</f>
        <v>0</v>
      </c>
      <c r="N47" s="7">
        <f>Table50[[#Totals],[Other Total]]</f>
        <v>18</v>
      </c>
      <c r="O47" s="23">
        <f>SUM(Table30[[#This Row],[American Sign Language Total]:[Other Total]])</f>
        <v>485</v>
      </c>
    </row>
    <row r="48" spans="1:15" x14ac:dyDescent="0.35">
      <c r="A48" t="s">
        <v>358</v>
      </c>
      <c r="B48" s="7">
        <v>4</v>
      </c>
      <c r="C48" s="7">
        <v>11</v>
      </c>
      <c r="D48" s="7">
        <f>Table51[[#Totals],[American Sign Language Total]]</f>
        <v>0</v>
      </c>
      <c r="E48" s="7">
        <f>Table51[[#Totals],[Cantonese Total]]</f>
        <v>0</v>
      </c>
      <c r="F48" s="7">
        <f>Table51[[#Totals],[French Total]]</f>
        <v>60</v>
      </c>
      <c r="G48" s="7">
        <f>Table51[[#Totals],[German Total]]</f>
        <v>30</v>
      </c>
      <c r="H48" s="7">
        <f>Table51[[#Totals],[Japanese Total]]</f>
        <v>0</v>
      </c>
      <c r="I48" s="7">
        <f>Table51[[#Totals],[Korean Total]]</f>
        <v>0</v>
      </c>
      <c r="J48" s="7">
        <f>Table51[[#Totals],[Latin Total]]</f>
        <v>0</v>
      </c>
      <c r="K48" s="7">
        <f>Table51[[#Totals],[Mandarin Total]]</f>
        <v>2</v>
      </c>
      <c r="L48" s="7">
        <f>Table51[[#Totals],[Spanish Total]]</f>
        <v>447</v>
      </c>
      <c r="M48" s="7">
        <f>Table51[[#Totals],[Vietnamese Total]]</f>
        <v>0</v>
      </c>
      <c r="N48" s="7">
        <f>Table51[[#Totals],[Other Total]]</f>
        <v>7</v>
      </c>
      <c r="O48" s="23">
        <f>SUM(Table30[[#This Row],[American Sign Language Total]:[Other Total]])</f>
        <v>546</v>
      </c>
    </row>
    <row r="49" spans="1:15" x14ac:dyDescent="0.35">
      <c r="A49" t="s">
        <v>359</v>
      </c>
      <c r="B49" s="7">
        <v>3</v>
      </c>
      <c r="C49" s="7">
        <v>5</v>
      </c>
      <c r="D49" s="7">
        <f>Table53[[#Totals],[American Sign Language Total]]</f>
        <v>0</v>
      </c>
      <c r="E49" s="7">
        <f>Table53[[#Totals],[Cantonese Total]]</f>
        <v>0</v>
      </c>
      <c r="F49" s="7">
        <f>Table53[[#Totals],[French Total]]</f>
        <v>57</v>
      </c>
      <c r="G49" s="7">
        <f>Table53[[#Totals],[German Total]]</f>
        <v>1</v>
      </c>
      <c r="H49" s="7">
        <f>Table53[[#Totals],[Japanese Total]]</f>
        <v>4</v>
      </c>
      <c r="I49" s="7">
        <f>Table53[[#Totals],[Korean Total]]</f>
        <v>0</v>
      </c>
      <c r="J49" s="7">
        <f>Table53[[#Totals],[Latin Total]]</f>
        <v>0</v>
      </c>
      <c r="K49" s="7">
        <f>Table53[[#Totals],[Mandarin Total]]</f>
        <v>5</v>
      </c>
      <c r="L49" s="7">
        <f>Table53[[#Totals],[Spanish Total]]</f>
        <v>250</v>
      </c>
      <c r="M49" s="7">
        <f>Table53[[#Totals],[Vietnamese Total]]</f>
        <v>0</v>
      </c>
      <c r="N49" s="7">
        <f>Table53[[#Totals],[Other Total]]</f>
        <v>0</v>
      </c>
      <c r="O49" s="23">
        <f>SUM(Table30[[#This Row],[American Sign Language Total]:[Other Total]])</f>
        <v>317</v>
      </c>
    </row>
    <row r="50" spans="1:15" x14ac:dyDescent="0.35">
      <c r="A50" t="s">
        <v>360</v>
      </c>
      <c r="B50" s="7">
        <v>1</v>
      </c>
      <c r="C50" s="7">
        <v>1</v>
      </c>
      <c r="D50" s="7">
        <f>Table52[[#Totals],[American Sign Language Total]]</f>
        <v>0</v>
      </c>
      <c r="E50" s="7">
        <f>Table52[[#Totals],[Cantonese Total]]</f>
        <v>0</v>
      </c>
      <c r="F50" s="7">
        <f>Table52[[#Totals],[French Total]]</f>
        <v>0</v>
      </c>
      <c r="G50" s="7">
        <f>Table52[[#Totals],[German Total]]</f>
        <v>0</v>
      </c>
      <c r="H50" s="7">
        <f>Table52[[#Totals],[Japanese Total]]</f>
        <v>0</v>
      </c>
      <c r="I50" s="7">
        <f>Table52[[#Totals],[Korean Total]]</f>
        <v>0</v>
      </c>
      <c r="J50" s="7">
        <f>Table52[[#Totals],[Latin Total]]</f>
        <v>0</v>
      </c>
      <c r="K50" s="7">
        <f>Table52[[#Totals],[Mandarin Total]]</f>
        <v>0</v>
      </c>
      <c r="L50" s="7">
        <f>Table52[[#Totals],[Spanish Total]]</f>
        <v>4</v>
      </c>
      <c r="M50" s="7">
        <f>Table52[[#Totals],[Vietnamese Total]]</f>
        <v>0</v>
      </c>
      <c r="N50" s="7">
        <f>Table52[[#Totals],[Other Total]]</f>
        <v>0</v>
      </c>
      <c r="O50" s="23">
        <f>SUM(Table30[[#This Row],[American Sign Language Total]:[Other Total]])</f>
        <v>4</v>
      </c>
    </row>
    <row r="51" spans="1:15" x14ac:dyDescent="0.35">
      <c r="A51" t="s">
        <v>618</v>
      </c>
      <c r="B51" s="7" t="s">
        <v>462</v>
      </c>
      <c r="C51" s="7">
        <f>SUBTOTAL(109,Table30[Participating Schools Total])</f>
        <v>751</v>
      </c>
      <c r="D51" s="8">
        <f>SUBTOTAL(109,Table30[American Sign Language Total])</f>
        <v>153</v>
      </c>
      <c r="E51" s="8">
        <f>SUBTOTAL(109,Table30[Cantonese Total])</f>
        <v>103</v>
      </c>
      <c r="F51" s="8">
        <f>SUBTOTAL(109,Table30[French Total])</f>
        <v>3348</v>
      </c>
      <c r="G51" s="8">
        <f>SUBTOTAL(109,Table30[German Total])</f>
        <v>444</v>
      </c>
      <c r="H51" s="8">
        <f>SUBTOTAL(109,Table30[Japanese Total])</f>
        <v>698</v>
      </c>
      <c r="I51" s="8">
        <f>SUBTOTAL(109,Table30[Korean Total])</f>
        <v>423</v>
      </c>
      <c r="J51" s="8">
        <f>SUBTOTAL(109,Table30[Latin Total])</f>
        <v>398</v>
      </c>
      <c r="K51" s="8">
        <f>SUBTOTAL(109,Table30[Mandarin Total])</f>
        <v>1379</v>
      </c>
      <c r="L51" s="8">
        <f>SUBTOTAL(109,Table30[Spanish Total])</f>
        <v>24964</v>
      </c>
      <c r="M51" s="8">
        <f>SUBTOTAL(109,Table30[Vietnamese Total])</f>
        <v>266</v>
      </c>
      <c r="N51" s="8">
        <f>SUBTOTAL(109,Table30[Other Total])</f>
        <v>588</v>
      </c>
      <c r="O51" s="13">
        <f>SUM(Table30[[#Totals],[American Sign Language Total]:[Other Total]])</f>
        <v>32764</v>
      </c>
    </row>
  </sheetData>
  <pageMargins left="0.7" right="0.7" top="0.75" bottom="0.75" header="0.3" footer="0.3"/>
  <pageSetup scale="56" orientation="portrait" horizontalDpi="1200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8"/>
  <sheetViews>
    <sheetView workbookViewId="0"/>
  </sheetViews>
  <sheetFormatPr defaultRowHeight="15.5" x14ac:dyDescent="0.35"/>
  <cols>
    <col min="1" max="1" width="21.23046875" customWidth="1"/>
    <col min="2" max="2" width="16.07421875" customWidth="1"/>
    <col min="3" max="3" width="16.765625" customWidth="1"/>
    <col min="4" max="4" width="10.3046875" customWidth="1"/>
    <col min="5" max="5" width="7.69140625" customWidth="1"/>
    <col min="6" max="6" width="7.84375" customWidth="1"/>
    <col min="8" max="8" width="7.53515625" customWidth="1"/>
    <col min="9" max="9" width="7.4609375" customWidth="1"/>
    <col min="11" max="11" width="8" customWidth="1"/>
    <col min="12" max="12" width="10.84375" customWidth="1"/>
    <col min="13" max="13" width="7.23046875" customWidth="1"/>
  </cols>
  <sheetData>
    <row r="1" spans="1:13" ht="20" x14ac:dyDescent="0.4">
      <c r="A1" s="15" t="s">
        <v>489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4" t="s">
        <v>539</v>
      </c>
      <c r="B3" s="4" t="s">
        <v>488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7</v>
      </c>
      <c r="L3" s="3">
        <v>0</v>
      </c>
      <c r="M3" s="3">
        <v>0</v>
      </c>
    </row>
    <row r="4" spans="1:13" ht="31" x14ac:dyDescent="0.35">
      <c r="A4" s="4" t="s">
        <v>487</v>
      </c>
      <c r="B4" s="4" t="s">
        <v>487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/>
      <c r="I4" s="3">
        <v>0</v>
      </c>
      <c r="J4" s="3">
        <v>0</v>
      </c>
      <c r="K4" s="3">
        <v>32</v>
      </c>
      <c r="L4" s="3">
        <v>0</v>
      </c>
      <c r="M4" s="3">
        <v>0</v>
      </c>
    </row>
    <row r="5" spans="1:13" s="2" customFormat="1" x14ac:dyDescent="0.35">
      <c r="A5" s="17" t="s">
        <v>503</v>
      </c>
      <c r="B5" s="2" t="s">
        <v>28</v>
      </c>
      <c r="C5" s="2">
        <f>SUM(Table1156[American Sign Language Total])</f>
        <v>0</v>
      </c>
      <c r="D5" s="2">
        <f>SUM(Table1156[Cantonese Total])</f>
        <v>0</v>
      </c>
      <c r="E5" s="2">
        <f>SUM(Table1156[French Total])</f>
        <v>0</v>
      </c>
      <c r="F5" s="2">
        <f>SUM(Table1156[German Total])</f>
        <v>0</v>
      </c>
      <c r="G5" s="2">
        <f>SUM(Table1156[Japanese Total])</f>
        <v>0</v>
      </c>
      <c r="H5" s="2">
        <f>SUM(Table1156[Korean Total])</f>
        <v>0</v>
      </c>
      <c r="I5" s="2">
        <f>SUM(Table1156[Latin Total])</f>
        <v>0</v>
      </c>
      <c r="J5" s="2">
        <f>SUM(Table1156[Mandarin Total])</f>
        <v>0</v>
      </c>
      <c r="K5" s="2">
        <f>SUM(Table1156[Spanish Total])</f>
        <v>39</v>
      </c>
      <c r="L5" s="2">
        <f>SUM(Table1156[Vietnamese Total])</f>
        <v>0</v>
      </c>
      <c r="M5" s="2">
        <f>SUM(Table1156[Other Total])</f>
        <v>0</v>
      </c>
    </row>
    <row r="18" spans="3:3" x14ac:dyDescent="0.35">
      <c r="C18" t="s">
        <v>467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"/>
  <sheetViews>
    <sheetView zoomScaleNormal="100" workbookViewId="0">
      <pane xSplit="1" ySplit="2" topLeftCell="B6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84375" customWidth="1"/>
    <col min="2" max="2" width="23.84375" customWidth="1"/>
    <col min="3" max="3" width="16.4609375" customWidth="1"/>
    <col min="4" max="4" width="10.07421875" customWidth="1"/>
    <col min="5" max="5" width="7.4609375" customWidth="1"/>
    <col min="6" max="6" width="7.84375" customWidth="1"/>
    <col min="7" max="7" width="9.69140625" customWidth="1"/>
    <col min="8" max="9" width="7.69140625" customWidth="1"/>
    <col min="10" max="10" width="9.07421875" customWidth="1"/>
    <col min="11" max="11" width="8.23046875" customWidth="1"/>
    <col min="12" max="12" width="11.07421875" customWidth="1"/>
    <col min="13" max="13" width="7.4609375" customWidth="1"/>
  </cols>
  <sheetData>
    <row r="1" spans="1:13" ht="20" x14ac:dyDescent="0.4">
      <c r="A1" s="15" t="s">
        <v>324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6.5" x14ac:dyDescent="0.35">
      <c r="A3" s="3" t="s">
        <v>77</v>
      </c>
      <c r="B3" s="4" t="s">
        <v>159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73</v>
      </c>
      <c r="L3" s="3">
        <v>0</v>
      </c>
      <c r="M3" s="3">
        <v>0</v>
      </c>
    </row>
    <row r="4" spans="1:13" ht="170.5" x14ac:dyDescent="0.35">
      <c r="A4" s="3" t="s">
        <v>79</v>
      </c>
      <c r="B4" s="4" t="s">
        <v>540</v>
      </c>
      <c r="C4" s="3">
        <v>0</v>
      </c>
      <c r="D4" s="3">
        <v>0</v>
      </c>
      <c r="E4" s="3">
        <v>47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396</v>
      </c>
      <c r="L4" s="3">
        <v>0</v>
      </c>
      <c r="M4" s="3">
        <v>0</v>
      </c>
    </row>
    <row r="5" spans="1:13" x14ac:dyDescent="0.35">
      <c r="A5" s="3" t="s">
        <v>80</v>
      </c>
      <c r="B5" s="4" t="s">
        <v>83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20</v>
      </c>
      <c r="L5" s="3">
        <v>0</v>
      </c>
      <c r="M5" s="3">
        <v>0</v>
      </c>
    </row>
    <row r="6" spans="1:13" ht="31" x14ac:dyDescent="0.35">
      <c r="A6" s="3" t="s">
        <v>76</v>
      </c>
      <c r="B6" s="4" t="s">
        <v>84</v>
      </c>
      <c r="C6" s="3">
        <v>0</v>
      </c>
      <c r="D6" s="3">
        <v>0</v>
      </c>
      <c r="E6" s="3">
        <v>0</v>
      </c>
      <c r="F6" s="3">
        <v>1</v>
      </c>
      <c r="G6" s="3">
        <v>0</v>
      </c>
      <c r="H6" s="3">
        <v>0</v>
      </c>
      <c r="I6" s="3">
        <v>0</v>
      </c>
      <c r="J6" s="3">
        <v>0</v>
      </c>
      <c r="K6" s="3">
        <v>3</v>
      </c>
      <c r="L6" s="3">
        <v>0</v>
      </c>
      <c r="M6" s="3">
        <v>0</v>
      </c>
    </row>
    <row r="7" spans="1:13" x14ac:dyDescent="0.35">
      <c r="A7" s="3" t="s">
        <v>81</v>
      </c>
      <c r="B7" s="4" t="s">
        <v>85</v>
      </c>
      <c r="C7" s="3">
        <v>0</v>
      </c>
      <c r="D7" s="3">
        <v>0</v>
      </c>
      <c r="E7" s="3">
        <v>1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2</v>
      </c>
      <c r="L7" s="3">
        <v>0</v>
      </c>
      <c r="M7" s="3">
        <v>0</v>
      </c>
    </row>
    <row r="8" spans="1:13" x14ac:dyDescent="0.35">
      <c r="A8" s="3" t="s">
        <v>82</v>
      </c>
      <c r="B8" s="4" t="s">
        <v>82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28</v>
      </c>
      <c r="L8" s="3">
        <v>0</v>
      </c>
      <c r="M8" s="3">
        <v>0</v>
      </c>
    </row>
    <row r="9" spans="1:13" x14ac:dyDescent="0.35">
      <c r="A9" t="s">
        <v>86</v>
      </c>
      <c r="B9" s="9" t="s">
        <v>541</v>
      </c>
      <c r="C9">
        <f>SUM(Table13[American Sign Language Total])</f>
        <v>0</v>
      </c>
      <c r="D9">
        <f>SUM(Table13[Cantonese Total])</f>
        <v>0</v>
      </c>
      <c r="E9">
        <f>SUM(Table13[French Total])</f>
        <v>48</v>
      </c>
      <c r="F9">
        <f>SUM(Table13[German Total])</f>
        <v>1</v>
      </c>
      <c r="G9">
        <f>SUM(Table13[Japanese Total])</f>
        <v>0</v>
      </c>
      <c r="H9">
        <f>SUM(Table13[Korean Total])</f>
        <v>0</v>
      </c>
      <c r="I9">
        <f>SUM(Table13[Latin Total])</f>
        <v>0</v>
      </c>
      <c r="J9">
        <f>SUM(Table13[Mandarin Total])</f>
        <v>0</v>
      </c>
      <c r="K9">
        <f>SUM(Table13[Spanish Total])</f>
        <v>522</v>
      </c>
      <c r="L9">
        <f>SUM(Table13[Vietnamese Total])</f>
        <v>0</v>
      </c>
      <c r="M9">
        <f>SUM(Table13[Other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4.84375" customWidth="1"/>
    <col min="3" max="3" width="16.3046875" customWidth="1"/>
    <col min="4" max="4" width="10.3046875" customWidth="1"/>
    <col min="5" max="5" width="7.3046875" customWidth="1"/>
    <col min="6" max="6" width="7.84375" customWidth="1"/>
    <col min="7" max="7" width="9.69140625" customWidth="1"/>
    <col min="8" max="9" width="7.4609375" customWidth="1"/>
    <col min="10" max="10" width="9.07421875" customWidth="1"/>
    <col min="11" max="11" width="8.07421875" customWidth="1"/>
    <col min="12" max="12" width="11" customWidth="1"/>
    <col min="13" max="13" width="7.3046875" customWidth="1"/>
  </cols>
  <sheetData>
    <row r="1" spans="1:13" ht="20" x14ac:dyDescent="0.4">
      <c r="A1" s="15" t="s">
        <v>325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4" t="s">
        <v>542</v>
      </c>
      <c r="B3" s="1" t="s">
        <v>543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27</v>
      </c>
      <c r="L3" s="4">
        <v>0</v>
      </c>
      <c r="M3" s="4">
        <v>0</v>
      </c>
    </row>
    <row r="4" spans="1:13" x14ac:dyDescent="0.35">
      <c r="A4" t="s">
        <v>89</v>
      </c>
      <c r="B4" s="1" t="s">
        <v>91</v>
      </c>
      <c r="C4">
        <v>0</v>
      </c>
      <c r="D4">
        <v>0</v>
      </c>
      <c r="E4">
        <v>2</v>
      </c>
      <c r="F4">
        <v>0</v>
      </c>
      <c r="G4">
        <v>0</v>
      </c>
      <c r="H4">
        <v>0</v>
      </c>
      <c r="I4">
        <v>0</v>
      </c>
      <c r="J4">
        <v>0</v>
      </c>
      <c r="K4">
        <v>19</v>
      </c>
      <c r="L4">
        <v>0</v>
      </c>
      <c r="M4">
        <v>0</v>
      </c>
    </row>
    <row r="5" spans="1:13" x14ac:dyDescent="0.35">
      <c r="A5" t="s">
        <v>88</v>
      </c>
      <c r="B5" s="1" t="s">
        <v>90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45</v>
      </c>
      <c r="L5">
        <v>0</v>
      </c>
      <c r="M5">
        <v>0</v>
      </c>
    </row>
    <row r="6" spans="1:13" x14ac:dyDescent="0.35">
      <c r="A6" t="s">
        <v>544</v>
      </c>
      <c r="B6" s="2" t="s">
        <v>47</v>
      </c>
      <c r="C6">
        <f>SUM(Table14[American Sign Language Total])</f>
        <v>0</v>
      </c>
      <c r="D6">
        <f>SUM(Table14[Cantonese Total])</f>
        <v>0</v>
      </c>
      <c r="E6">
        <f>SUM(Table14[French Total])</f>
        <v>2</v>
      </c>
      <c r="F6">
        <f>SUM(Table14[German Total])</f>
        <v>0</v>
      </c>
      <c r="G6">
        <f>SUM(Table14[Japanese Total])</f>
        <v>0</v>
      </c>
      <c r="H6">
        <f>SUM(Table14[Korean Total])</f>
        <v>0</v>
      </c>
      <c r="I6">
        <f>SUM(Table14[Latin Total])</f>
        <v>0</v>
      </c>
      <c r="J6">
        <f>SUM(Table14[Mandarin Total])</f>
        <v>0</v>
      </c>
      <c r="K6">
        <f>SUM(Table14[Spanish Total])</f>
        <v>91</v>
      </c>
      <c r="L6">
        <f>SUM(Table14[Vietnamese Total])</f>
        <v>0</v>
      </c>
      <c r="M6">
        <f>SUM(Table14[Other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19.3046875" defaultRowHeight="15.5" x14ac:dyDescent="0.35"/>
  <cols>
    <col min="1" max="1" width="21" bestFit="1" customWidth="1"/>
    <col min="2" max="2" width="14.84375" customWidth="1"/>
    <col min="3" max="3" width="16.4609375" customWidth="1"/>
    <col min="4" max="4" width="10.4609375" customWidth="1"/>
    <col min="5" max="5" width="7.69140625" customWidth="1"/>
    <col min="6" max="6" width="8" customWidth="1"/>
    <col min="7" max="7" width="9.84375" customWidth="1"/>
    <col min="8" max="8" width="7.84375" customWidth="1"/>
    <col min="9" max="9" width="7.3046875" customWidth="1"/>
    <col min="10" max="10" width="9.3046875" customWidth="1"/>
    <col min="11" max="11" width="8.23046875" customWidth="1"/>
    <col min="12" max="12" width="11" customWidth="1"/>
    <col min="13" max="13" width="7.4609375" customWidth="1"/>
  </cols>
  <sheetData>
    <row r="1" spans="1:13" ht="20" x14ac:dyDescent="0.4">
      <c r="A1" s="15" t="s">
        <v>326</v>
      </c>
    </row>
    <row r="2" spans="1:13" ht="31" x14ac:dyDescent="0.35">
      <c r="A2" s="4" t="s">
        <v>622</v>
      </c>
      <c r="B2" s="4" t="s">
        <v>623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92</v>
      </c>
      <c r="B3" t="s">
        <v>93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</v>
      </c>
      <c r="L3">
        <v>0</v>
      </c>
      <c r="M3">
        <v>0</v>
      </c>
    </row>
    <row r="4" spans="1:13" x14ac:dyDescent="0.35">
      <c r="A4" s="16" t="s">
        <v>490</v>
      </c>
      <c r="B4" s="2" t="s">
        <v>34</v>
      </c>
      <c r="C4" s="2" t="s">
        <v>441</v>
      </c>
      <c r="D4" s="2" t="s">
        <v>441</v>
      </c>
      <c r="E4" s="2" t="s">
        <v>441</v>
      </c>
      <c r="F4" s="2" t="s">
        <v>441</v>
      </c>
      <c r="G4" s="2" t="s">
        <v>441</v>
      </c>
      <c r="H4" s="2" t="s">
        <v>441</v>
      </c>
      <c r="I4" s="2" t="s">
        <v>441</v>
      </c>
      <c r="J4" s="2" t="s">
        <v>441</v>
      </c>
      <c r="K4" s="2" t="s">
        <v>28</v>
      </c>
      <c r="L4" s="2" t="s">
        <v>441</v>
      </c>
      <c r="M4" s="2" t="s">
        <v>441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84375" customWidth="1"/>
    <col min="2" max="2" width="12.23046875" customWidth="1"/>
    <col min="3" max="3" width="17" customWidth="1"/>
    <col min="4" max="4" width="10.07421875" customWidth="1"/>
    <col min="5" max="5" width="7.4609375" customWidth="1"/>
    <col min="6" max="6" width="7.84375" customWidth="1"/>
    <col min="7" max="7" width="9.07421875" customWidth="1"/>
    <col min="8" max="8" width="7.69140625" customWidth="1"/>
    <col min="9" max="9" width="7.3046875" customWidth="1"/>
    <col min="10" max="10" width="9.23046875" customWidth="1"/>
    <col min="11" max="11" width="8.3046875" customWidth="1"/>
    <col min="12" max="12" width="11.07421875" customWidth="1"/>
    <col min="13" max="13" width="7.53515625" customWidth="1"/>
  </cols>
  <sheetData>
    <row r="1" spans="1:13" ht="20" x14ac:dyDescent="0.4">
      <c r="A1" s="15" t="s">
        <v>327</v>
      </c>
    </row>
    <row r="2" spans="1:13" ht="31" x14ac:dyDescent="0.35">
      <c r="A2" s="3" t="s">
        <v>622</v>
      </c>
      <c r="B2" s="1" t="s">
        <v>623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95</v>
      </c>
      <c r="B3" t="s">
        <v>97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5</v>
      </c>
      <c r="L3">
        <v>0</v>
      </c>
      <c r="M3">
        <v>0</v>
      </c>
    </row>
    <row r="4" spans="1:13" x14ac:dyDescent="0.35">
      <c r="A4" t="s">
        <v>96</v>
      </c>
      <c r="B4" s="2" t="s">
        <v>34</v>
      </c>
      <c r="C4" s="2">
        <f>SUM(Table16[American Sign Language Total])</f>
        <v>0</v>
      </c>
      <c r="D4" s="2" t="s">
        <v>441</v>
      </c>
      <c r="E4" s="2" t="s">
        <v>441</v>
      </c>
      <c r="F4" s="2" t="s">
        <v>441</v>
      </c>
      <c r="G4" s="2" t="s">
        <v>441</v>
      </c>
      <c r="H4" s="2" t="s">
        <v>441</v>
      </c>
      <c r="I4" s="2" t="s">
        <v>441</v>
      </c>
      <c r="J4" s="2" t="s">
        <v>441</v>
      </c>
      <c r="K4" s="2" t="s">
        <v>47</v>
      </c>
      <c r="L4" s="2" t="s">
        <v>441</v>
      </c>
      <c r="M4" s="2" t="s">
        <v>441</v>
      </c>
    </row>
    <row r="5" spans="1:13" x14ac:dyDescent="0.35">
      <c r="D5" s="2"/>
      <c r="E5" s="2"/>
      <c r="F5" s="2"/>
      <c r="G5" s="2"/>
      <c r="H5" s="2"/>
      <c r="I5" s="2"/>
      <c r="J5" s="2"/>
      <c r="K5" s="2"/>
      <c r="L5" s="2"/>
      <c r="M5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6.84375" customWidth="1"/>
    <col min="2" max="2" width="84.3046875" customWidth="1"/>
    <col min="3" max="3" width="17.4609375" customWidth="1"/>
    <col min="4" max="4" width="10.4609375" customWidth="1"/>
    <col min="5" max="5" width="8.3046875" customWidth="1"/>
    <col min="6" max="6" width="8.07421875" customWidth="1"/>
    <col min="7" max="7" width="9.84375" customWidth="1"/>
    <col min="8" max="8" width="8.3046875" customWidth="1"/>
    <col min="9" max="9" width="7.84375" customWidth="1"/>
    <col min="10" max="10" width="9.3046875" customWidth="1"/>
    <col min="11" max="11" width="8.3046875" customWidth="1"/>
    <col min="12" max="12" width="11.3046875" customWidth="1"/>
    <col min="13" max="13" width="8.07421875" customWidth="1"/>
  </cols>
  <sheetData>
    <row r="1" spans="1:13" ht="20" x14ac:dyDescent="0.4">
      <c r="A1" s="15" t="s">
        <v>328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4" t="s">
        <v>112</v>
      </c>
      <c r="B3" s="4" t="s">
        <v>152</v>
      </c>
      <c r="C3" s="12">
        <v>0</v>
      </c>
      <c r="D3" s="12">
        <v>21</v>
      </c>
      <c r="E3" s="12">
        <v>17</v>
      </c>
      <c r="F3" s="12">
        <v>0</v>
      </c>
      <c r="G3" s="12">
        <v>24</v>
      </c>
      <c r="H3" s="12">
        <v>26</v>
      </c>
      <c r="I3" s="12">
        <v>0</v>
      </c>
      <c r="J3" s="12">
        <v>2</v>
      </c>
      <c r="K3" s="12">
        <v>118</v>
      </c>
      <c r="L3" s="12">
        <v>0</v>
      </c>
      <c r="M3" s="12">
        <v>5</v>
      </c>
    </row>
    <row r="4" spans="1:13" x14ac:dyDescent="0.35">
      <c r="A4" s="4" t="s">
        <v>113</v>
      </c>
      <c r="B4" s="4" t="s">
        <v>153</v>
      </c>
      <c r="C4" s="12">
        <v>0</v>
      </c>
      <c r="D4" s="12">
        <v>0</v>
      </c>
      <c r="E4" s="12">
        <v>12</v>
      </c>
      <c r="F4" s="12">
        <v>0</v>
      </c>
      <c r="G4" s="12">
        <v>14</v>
      </c>
      <c r="H4" s="12">
        <v>0</v>
      </c>
      <c r="I4" s="12">
        <v>0</v>
      </c>
      <c r="J4" s="12">
        <v>40</v>
      </c>
      <c r="K4" s="12">
        <v>92</v>
      </c>
      <c r="L4" s="12">
        <v>0</v>
      </c>
      <c r="M4" s="12">
        <v>0</v>
      </c>
    </row>
    <row r="5" spans="1:13" ht="31" x14ac:dyDescent="0.35">
      <c r="A5" s="4" t="s">
        <v>114</v>
      </c>
      <c r="B5" s="4" t="s">
        <v>545</v>
      </c>
      <c r="C5" s="12">
        <v>0</v>
      </c>
      <c r="D5" s="12">
        <v>0</v>
      </c>
      <c r="E5" s="12">
        <v>12</v>
      </c>
      <c r="F5" s="12">
        <v>0</v>
      </c>
      <c r="G5" s="12">
        <v>0</v>
      </c>
      <c r="H5" s="12">
        <v>3</v>
      </c>
      <c r="I5" s="12">
        <v>24</v>
      </c>
      <c r="J5" s="12">
        <v>0</v>
      </c>
      <c r="K5" s="12">
        <v>233</v>
      </c>
      <c r="L5" s="12">
        <v>0</v>
      </c>
      <c r="M5" s="12">
        <v>0</v>
      </c>
    </row>
    <row r="6" spans="1:13" x14ac:dyDescent="0.35">
      <c r="A6" s="4" t="s">
        <v>115</v>
      </c>
      <c r="B6" s="4" t="s">
        <v>154</v>
      </c>
      <c r="C6" s="12">
        <v>0</v>
      </c>
      <c r="D6" s="12">
        <v>0</v>
      </c>
      <c r="E6" s="12">
        <v>13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54</v>
      </c>
      <c r="L6" s="12">
        <v>0</v>
      </c>
      <c r="M6" s="12">
        <v>0</v>
      </c>
    </row>
    <row r="7" spans="1:13" x14ac:dyDescent="0.35">
      <c r="A7" s="4" t="s">
        <v>116</v>
      </c>
      <c r="B7" s="4" t="s">
        <v>546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71</v>
      </c>
      <c r="L7" s="12">
        <v>0</v>
      </c>
      <c r="M7" s="12">
        <v>0</v>
      </c>
    </row>
    <row r="8" spans="1:13" x14ac:dyDescent="0.35">
      <c r="A8" s="4" t="s">
        <v>117</v>
      </c>
      <c r="B8" s="4" t="s">
        <v>142</v>
      </c>
      <c r="C8" s="12">
        <v>0</v>
      </c>
      <c r="D8" s="12">
        <v>0</v>
      </c>
      <c r="E8" s="12">
        <v>6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33</v>
      </c>
      <c r="L8" s="12">
        <v>0</v>
      </c>
      <c r="M8" s="12">
        <v>0</v>
      </c>
    </row>
    <row r="9" spans="1:13" x14ac:dyDescent="0.35">
      <c r="A9" s="4" t="s">
        <v>118</v>
      </c>
      <c r="B9" s="4" t="s">
        <v>143</v>
      </c>
      <c r="C9" s="12">
        <v>0</v>
      </c>
      <c r="D9" s="12">
        <v>0</v>
      </c>
      <c r="E9" s="12">
        <v>25</v>
      </c>
      <c r="F9" s="12">
        <v>9</v>
      </c>
      <c r="G9" s="12">
        <v>0</v>
      </c>
      <c r="H9" s="12">
        <v>0</v>
      </c>
      <c r="I9" s="12">
        <v>0</v>
      </c>
      <c r="J9" s="12">
        <v>0</v>
      </c>
      <c r="K9" s="12">
        <v>62</v>
      </c>
      <c r="L9" s="12">
        <v>0</v>
      </c>
      <c r="M9" s="12">
        <v>0</v>
      </c>
    </row>
    <row r="10" spans="1:13" x14ac:dyDescent="0.35">
      <c r="A10" s="4" t="s">
        <v>119</v>
      </c>
      <c r="B10" s="4" t="s">
        <v>160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9</v>
      </c>
      <c r="L10" s="12">
        <v>0</v>
      </c>
      <c r="M10" s="12">
        <v>0</v>
      </c>
    </row>
    <row r="11" spans="1:13" x14ac:dyDescent="0.35">
      <c r="A11" s="4" t="s">
        <v>120</v>
      </c>
      <c r="B11" s="4" t="s">
        <v>502</v>
      </c>
      <c r="C11" s="12">
        <v>10</v>
      </c>
      <c r="D11" s="12">
        <v>0</v>
      </c>
      <c r="E11" s="12">
        <v>7</v>
      </c>
      <c r="F11" s="12">
        <v>2</v>
      </c>
      <c r="G11" s="12">
        <v>0</v>
      </c>
      <c r="H11" s="12">
        <v>0</v>
      </c>
      <c r="I11" s="12">
        <v>0</v>
      </c>
      <c r="J11" s="12">
        <v>5</v>
      </c>
      <c r="K11" s="12">
        <v>91</v>
      </c>
      <c r="L11" s="12">
        <v>0</v>
      </c>
      <c r="M11" s="12">
        <v>0</v>
      </c>
    </row>
    <row r="12" spans="1:13" x14ac:dyDescent="0.35">
      <c r="A12" s="4" t="s">
        <v>121</v>
      </c>
      <c r="B12" s="4" t="s">
        <v>144</v>
      </c>
      <c r="C12" s="12">
        <v>0</v>
      </c>
      <c r="D12" s="12">
        <v>0</v>
      </c>
      <c r="E12" s="12">
        <v>0</v>
      </c>
      <c r="F12" s="12">
        <v>0</v>
      </c>
      <c r="G12" s="12">
        <v>16</v>
      </c>
      <c r="H12" s="12">
        <v>1</v>
      </c>
      <c r="I12" s="12">
        <v>0</v>
      </c>
      <c r="J12" s="12">
        <v>0</v>
      </c>
      <c r="K12" s="12">
        <v>56</v>
      </c>
      <c r="L12" s="12">
        <v>0</v>
      </c>
      <c r="M12" s="12">
        <v>1</v>
      </c>
    </row>
    <row r="13" spans="1:13" x14ac:dyDescent="0.35">
      <c r="A13" s="4" t="s">
        <v>122</v>
      </c>
      <c r="B13" s="4" t="s">
        <v>501</v>
      </c>
      <c r="C13" s="12">
        <v>0</v>
      </c>
      <c r="D13" s="12">
        <v>0</v>
      </c>
      <c r="E13" s="12">
        <v>4</v>
      </c>
      <c r="F13" s="12">
        <v>0</v>
      </c>
      <c r="G13" s="12">
        <v>0</v>
      </c>
      <c r="H13" s="12">
        <v>0</v>
      </c>
      <c r="I13" s="12">
        <v>0</v>
      </c>
      <c r="J13" s="12">
        <v>22</v>
      </c>
      <c r="K13" s="12">
        <v>186</v>
      </c>
      <c r="L13" s="12">
        <v>0</v>
      </c>
      <c r="M13" s="12">
        <v>0</v>
      </c>
    </row>
    <row r="14" spans="1:13" x14ac:dyDescent="0.35">
      <c r="A14" s="4" t="s">
        <v>123</v>
      </c>
      <c r="B14" s="4" t="s">
        <v>145</v>
      </c>
      <c r="C14" s="12">
        <v>0</v>
      </c>
      <c r="D14" s="12">
        <v>0</v>
      </c>
      <c r="E14" s="12">
        <v>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138</v>
      </c>
      <c r="L14" s="12">
        <v>0</v>
      </c>
      <c r="M14" s="12">
        <v>0</v>
      </c>
    </row>
    <row r="15" spans="1:13" x14ac:dyDescent="0.35">
      <c r="A15" s="4" t="s">
        <v>124</v>
      </c>
      <c r="B15" s="4" t="s">
        <v>500</v>
      </c>
      <c r="C15" s="12">
        <v>0</v>
      </c>
      <c r="D15" s="12">
        <v>0</v>
      </c>
      <c r="E15" s="12">
        <v>54</v>
      </c>
      <c r="F15" s="12">
        <v>6</v>
      </c>
      <c r="G15" s="12">
        <v>1</v>
      </c>
      <c r="H15" s="12">
        <v>57</v>
      </c>
      <c r="I15" s="12">
        <v>3</v>
      </c>
      <c r="J15" s="12">
        <v>0</v>
      </c>
      <c r="K15" s="12">
        <v>199</v>
      </c>
      <c r="L15" s="12">
        <v>0</v>
      </c>
      <c r="M15" s="12">
        <v>93</v>
      </c>
    </row>
    <row r="16" spans="1:13" x14ac:dyDescent="0.35">
      <c r="A16" s="4" t="s">
        <v>141</v>
      </c>
      <c r="B16" s="4" t="s">
        <v>499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3</v>
      </c>
      <c r="I16" s="12">
        <v>0</v>
      </c>
      <c r="J16" s="12">
        <v>72</v>
      </c>
      <c r="K16" s="12">
        <v>75</v>
      </c>
      <c r="L16" s="12">
        <v>0</v>
      </c>
      <c r="M16" s="12">
        <v>0</v>
      </c>
    </row>
    <row r="17" spans="1:13" x14ac:dyDescent="0.35">
      <c r="A17" s="4" t="s">
        <v>125</v>
      </c>
      <c r="B17" s="4" t="s">
        <v>99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62</v>
      </c>
      <c r="L17" s="12">
        <v>0</v>
      </c>
      <c r="M17" s="12">
        <v>0</v>
      </c>
    </row>
    <row r="18" spans="1:13" x14ac:dyDescent="0.35">
      <c r="A18" s="4" t="s">
        <v>126</v>
      </c>
      <c r="B18" s="4" t="s">
        <v>498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29</v>
      </c>
      <c r="L18" s="12">
        <v>0</v>
      </c>
      <c r="M18" s="12">
        <v>0</v>
      </c>
    </row>
    <row r="19" spans="1:13" x14ac:dyDescent="0.35">
      <c r="A19" s="4" t="s">
        <v>127</v>
      </c>
      <c r="B19" s="4" t="s">
        <v>146</v>
      </c>
      <c r="C19" s="12">
        <v>0</v>
      </c>
      <c r="D19" s="12">
        <v>0</v>
      </c>
      <c r="E19" s="12">
        <v>7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2</v>
      </c>
      <c r="L19" s="12">
        <v>0</v>
      </c>
      <c r="M19" s="12">
        <v>0</v>
      </c>
    </row>
    <row r="20" spans="1:13" x14ac:dyDescent="0.35">
      <c r="A20" s="4" t="s">
        <v>128</v>
      </c>
      <c r="B20" s="4" t="s">
        <v>155</v>
      </c>
      <c r="C20" s="12">
        <v>0</v>
      </c>
      <c r="D20" s="12">
        <v>0</v>
      </c>
      <c r="E20" s="12">
        <v>11</v>
      </c>
      <c r="F20" s="12">
        <v>0</v>
      </c>
      <c r="G20" s="12">
        <v>0</v>
      </c>
      <c r="H20" s="12">
        <v>0</v>
      </c>
      <c r="I20" s="12">
        <v>0</v>
      </c>
      <c r="J20" s="12">
        <v>5</v>
      </c>
      <c r="K20" s="12">
        <v>15</v>
      </c>
      <c r="L20" s="12">
        <v>0</v>
      </c>
      <c r="M20" s="12">
        <v>0</v>
      </c>
    </row>
    <row r="21" spans="1:13" x14ac:dyDescent="0.35">
      <c r="A21" s="4" t="s">
        <v>100</v>
      </c>
      <c r="B21" s="4" t="s">
        <v>147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14</v>
      </c>
      <c r="L21" s="12">
        <v>0</v>
      </c>
      <c r="M21" s="12">
        <v>0</v>
      </c>
    </row>
    <row r="22" spans="1:13" x14ac:dyDescent="0.35">
      <c r="A22" s="4" t="s">
        <v>101</v>
      </c>
      <c r="B22" s="4" t="s">
        <v>497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59</v>
      </c>
      <c r="L22" s="12">
        <v>0</v>
      </c>
      <c r="M22" s="12">
        <v>0</v>
      </c>
    </row>
    <row r="23" spans="1:13" ht="31" x14ac:dyDescent="0.35">
      <c r="A23" s="4" t="s">
        <v>103</v>
      </c>
      <c r="B23" s="4" t="s">
        <v>496</v>
      </c>
      <c r="C23" s="12">
        <v>5</v>
      </c>
      <c r="D23" s="12">
        <v>19</v>
      </c>
      <c r="E23" s="12">
        <v>101</v>
      </c>
      <c r="F23" s="12">
        <v>32</v>
      </c>
      <c r="G23" s="12">
        <v>72</v>
      </c>
      <c r="H23" s="12">
        <v>6</v>
      </c>
      <c r="I23" s="12">
        <v>0</v>
      </c>
      <c r="J23" s="12">
        <v>19</v>
      </c>
      <c r="K23" s="12">
        <v>472</v>
      </c>
      <c r="L23" s="12">
        <v>0</v>
      </c>
      <c r="M23" s="12">
        <v>12</v>
      </c>
    </row>
    <row r="24" spans="1:13" ht="403" x14ac:dyDescent="0.35">
      <c r="A24" s="4" t="s">
        <v>102</v>
      </c>
      <c r="B24" s="4" t="s">
        <v>547</v>
      </c>
      <c r="C24" s="12">
        <v>0</v>
      </c>
      <c r="D24" s="12">
        <v>0</v>
      </c>
      <c r="E24" s="12">
        <v>181</v>
      </c>
      <c r="F24" s="12">
        <v>0</v>
      </c>
      <c r="G24" s="12">
        <v>25</v>
      </c>
      <c r="H24" s="12">
        <v>28</v>
      </c>
      <c r="I24" s="12">
        <v>0</v>
      </c>
      <c r="J24" s="12">
        <v>11</v>
      </c>
      <c r="K24" s="12">
        <v>1585</v>
      </c>
      <c r="L24" s="12">
        <v>0</v>
      </c>
      <c r="M24" s="12">
        <v>19</v>
      </c>
    </row>
    <row r="25" spans="1:13" x14ac:dyDescent="0.35">
      <c r="A25" s="4" t="s">
        <v>129</v>
      </c>
      <c r="B25" s="4" t="s">
        <v>156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38</v>
      </c>
      <c r="L25" s="12">
        <v>0</v>
      </c>
      <c r="M25" s="12">
        <v>0</v>
      </c>
    </row>
    <row r="26" spans="1:13" x14ac:dyDescent="0.35">
      <c r="A26" s="4" t="s">
        <v>130</v>
      </c>
      <c r="B26" s="4" t="s">
        <v>150</v>
      </c>
      <c r="C26" s="12">
        <v>0</v>
      </c>
      <c r="D26" s="12">
        <v>0</v>
      </c>
      <c r="E26" s="12">
        <v>12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98</v>
      </c>
      <c r="L26" s="12">
        <v>0</v>
      </c>
      <c r="M26" s="12">
        <v>0</v>
      </c>
    </row>
    <row r="27" spans="1:13" x14ac:dyDescent="0.35">
      <c r="A27" s="4" t="s">
        <v>131</v>
      </c>
      <c r="B27" s="4" t="s">
        <v>495</v>
      </c>
      <c r="C27" s="12">
        <v>0</v>
      </c>
      <c r="D27" s="12">
        <v>0</v>
      </c>
      <c r="E27" s="12">
        <v>7</v>
      </c>
      <c r="F27" s="12">
        <v>0</v>
      </c>
      <c r="G27" s="12">
        <v>11</v>
      </c>
      <c r="H27" s="12">
        <v>0</v>
      </c>
      <c r="I27" s="12">
        <v>0</v>
      </c>
      <c r="J27" s="12">
        <v>3</v>
      </c>
      <c r="K27" s="12">
        <v>186</v>
      </c>
      <c r="L27" s="12">
        <v>0</v>
      </c>
      <c r="M27" s="12">
        <v>0</v>
      </c>
    </row>
    <row r="28" spans="1:13" x14ac:dyDescent="0.35">
      <c r="A28" s="4" t="s">
        <v>104</v>
      </c>
      <c r="B28" s="4" t="s">
        <v>161</v>
      </c>
      <c r="C28" s="12">
        <v>0</v>
      </c>
      <c r="D28" s="12">
        <v>0</v>
      </c>
      <c r="E28" s="12">
        <v>4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76</v>
      </c>
      <c r="L28" s="12">
        <v>0</v>
      </c>
      <c r="M28" s="12">
        <v>0</v>
      </c>
    </row>
    <row r="29" spans="1:13" ht="31" x14ac:dyDescent="0.35">
      <c r="A29" s="4" t="s">
        <v>132</v>
      </c>
      <c r="B29" s="4" t="s">
        <v>494</v>
      </c>
      <c r="C29" s="12">
        <v>0</v>
      </c>
      <c r="D29" s="12">
        <v>0</v>
      </c>
      <c r="E29" s="12">
        <v>37</v>
      </c>
      <c r="F29" s="12">
        <v>1</v>
      </c>
      <c r="G29" s="12">
        <v>26</v>
      </c>
      <c r="H29" s="12">
        <v>18</v>
      </c>
      <c r="I29" s="12">
        <v>21</v>
      </c>
      <c r="J29" s="12">
        <v>48</v>
      </c>
      <c r="K29" s="12">
        <v>239</v>
      </c>
      <c r="L29" s="12">
        <v>0</v>
      </c>
      <c r="M29" s="12">
        <v>0</v>
      </c>
    </row>
    <row r="30" spans="1:13" x14ac:dyDescent="0.35">
      <c r="A30" s="4" t="s">
        <v>133</v>
      </c>
      <c r="B30" s="4" t="s">
        <v>151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51</v>
      </c>
      <c r="L30" s="12">
        <v>0</v>
      </c>
      <c r="M30" s="12">
        <v>0</v>
      </c>
    </row>
    <row r="31" spans="1:13" x14ac:dyDescent="0.35">
      <c r="A31" s="4" t="s">
        <v>134</v>
      </c>
      <c r="B31" s="4" t="s">
        <v>162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84</v>
      </c>
      <c r="L31" s="12">
        <v>0</v>
      </c>
      <c r="M31" s="12">
        <v>0</v>
      </c>
    </row>
    <row r="32" spans="1:13" ht="31" x14ac:dyDescent="0.35">
      <c r="A32" s="4" t="s">
        <v>135</v>
      </c>
      <c r="B32" s="4" t="s">
        <v>157</v>
      </c>
      <c r="C32" s="12">
        <v>0</v>
      </c>
      <c r="D32" s="12">
        <v>0</v>
      </c>
      <c r="E32" s="12">
        <v>19</v>
      </c>
      <c r="F32" s="12">
        <v>0</v>
      </c>
      <c r="G32" s="12">
        <v>0</v>
      </c>
      <c r="H32" s="12">
        <v>0</v>
      </c>
      <c r="I32" s="12">
        <v>0</v>
      </c>
      <c r="J32" s="12">
        <v>6</v>
      </c>
      <c r="K32" s="12">
        <v>139</v>
      </c>
      <c r="L32" s="12">
        <v>0</v>
      </c>
      <c r="M32" s="12">
        <v>0</v>
      </c>
    </row>
    <row r="33" spans="1:13" x14ac:dyDescent="0.35">
      <c r="A33" s="4" t="s">
        <v>136</v>
      </c>
      <c r="B33" s="4" t="s">
        <v>149</v>
      </c>
      <c r="C33" s="12">
        <v>0</v>
      </c>
      <c r="D33" s="12">
        <v>0</v>
      </c>
      <c r="E33" s="12">
        <v>5</v>
      </c>
      <c r="F33" s="12">
        <v>0</v>
      </c>
      <c r="G33" s="12">
        <v>2</v>
      </c>
      <c r="H33" s="12">
        <v>3</v>
      </c>
      <c r="I33" s="12">
        <v>0</v>
      </c>
      <c r="J33" s="12">
        <v>5</v>
      </c>
      <c r="K33" s="12">
        <v>70</v>
      </c>
      <c r="L33" s="12">
        <v>0</v>
      </c>
      <c r="M33" s="12">
        <v>1</v>
      </c>
    </row>
    <row r="34" spans="1:13" x14ac:dyDescent="0.35">
      <c r="A34" s="4" t="s">
        <v>137</v>
      </c>
      <c r="B34" s="4" t="s">
        <v>493</v>
      </c>
      <c r="C34" s="12">
        <v>0</v>
      </c>
      <c r="D34" s="12">
        <v>0</v>
      </c>
      <c r="E34" s="12">
        <v>13</v>
      </c>
      <c r="F34" s="12">
        <v>0</v>
      </c>
      <c r="G34" s="12">
        <v>16</v>
      </c>
      <c r="H34" s="12">
        <v>1</v>
      </c>
      <c r="I34" s="12">
        <v>13</v>
      </c>
      <c r="J34" s="12">
        <v>9</v>
      </c>
      <c r="K34" s="12">
        <v>112</v>
      </c>
      <c r="L34" s="12">
        <v>0</v>
      </c>
      <c r="M34" s="12">
        <v>0</v>
      </c>
    </row>
    <row r="35" spans="1:13" x14ac:dyDescent="0.35">
      <c r="A35" s="4" t="s">
        <v>138</v>
      </c>
      <c r="B35" s="4" t="s">
        <v>148</v>
      </c>
      <c r="C35" s="12">
        <v>0</v>
      </c>
      <c r="D35" s="12">
        <v>0</v>
      </c>
      <c r="E35" s="12">
        <v>13</v>
      </c>
      <c r="F35" s="12">
        <v>9</v>
      </c>
      <c r="G35" s="12">
        <v>0</v>
      </c>
      <c r="H35" s="12">
        <v>0</v>
      </c>
      <c r="I35" s="12">
        <v>0</v>
      </c>
      <c r="J35" s="12">
        <v>9</v>
      </c>
      <c r="K35" s="12">
        <v>8</v>
      </c>
      <c r="L35" s="12">
        <v>0</v>
      </c>
      <c r="M35" s="12">
        <v>0</v>
      </c>
    </row>
    <row r="36" spans="1:13" x14ac:dyDescent="0.35">
      <c r="A36" s="4" t="s">
        <v>105</v>
      </c>
      <c r="B36" s="4" t="s">
        <v>492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2</v>
      </c>
      <c r="L36" s="12">
        <v>0</v>
      </c>
      <c r="M36" s="12">
        <v>0</v>
      </c>
    </row>
    <row r="37" spans="1:13" x14ac:dyDescent="0.35">
      <c r="A37" s="4" t="s">
        <v>139</v>
      </c>
      <c r="B37" s="4" t="s">
        <v>548</v>
      </c>
      <c r="C37" s="12">
        <v>0</v>
      </c>
      <c r="D37" s="12">
        <v>0</v>
      </c>
      <c r="E37" s="12">
        <v>59</v>
      </c>
      <c r="F37" s="12">
        <v>22</v>
      </c>
      <c r="G37" s="12">
        <v>0</v>
      </c>
      <c r="H37" s="12">
        <v>0</v>
      </c>
      <c r="I37" s="12">
        <v>13</v>
      </c>
      <c r="J37" s="12">
        <v>0</v>
      </c>
      <c r="K37" s="12">
        <v>310</v>
      </c>
      <c r="L37" s="12">
        <v>0</v>
      </c>
      <c r="M37" s="12">
        <v>0</v>
      </c>
    </row>
    <row r="38" spans="1:13" ht="46.5" x14ac:dyDescent="0.35">
      <c r="A38" s="4" t="s">
        <v>140</v>
      </c>
      <c r="B38" s="4" t="s">
        <v>549</v>
      </c>
      <c r="C38" s="12">
        <v>0</v>
      </c>
      <c r="D38" s="12">
        <v>0</v>
      </c>
      <c r="E38" s="12">
        <v>12</v>
      </c>
      <c r="F38" s="12">
        <v>0</v>
      </c>
      <c r="G38" s="12">
        <v>1</v>
      </c>
      <c r="H38" s="12">
        <v>16</v>
      </c>
      <c r="I38" s="12">
        <v>0</v>
      </c>
      <c r="J38" s="12">
        <v>0</v>
      </c>
      <c r="K38" s="12">
        <v>180</v>
      </c>
      <c r="L38" s="12">
        <v>2</v>
      </c>
      <c r="M38" s="12">
        <v>2</v>
      </c>
    </row>
    <row r="39" spans="1:13" x14ac:dyDescent="0.35">
      <c r="A39" t="s">
        <v>491</v>
      </c>
      <c r="B39" s="2" t="s">
        <v>550</v>
      </c>
      <c r="C39" s="8">
        <f>SUM(C3:C38)</f>
        <v>15</v>
      </c>
      <c r="D39" s="8">
        <f t="shared" ref="D39:M39" si="0">SUM(D3:D38)</f>
        <v>40</v>
      </c>
      <c r="E39" s="8">
        <f t="shared" si="0"/>
        <v>636</v>
      </c>
      <c r="F39" s="8">
        <f t="shared" si="0"/>
        <v>81</v>
      </c>
      <c r="G39" s="8">
        <f t="shared" si="0"/>
        <v>208</v>
      </c>
      <c r="H39" s="8">
        <f t="shared" si="0"/>
        <v>163</v>
      </c>
      <c r="I39" s="8">
        <f t="shared" si="0"/>
        <v>74</v>
      </c>
      <c r="J39" s="8">
        <f t="shared" si="0"/>
        <v>256</v>
      </c>
      <c r="K39" s="8">
        <f t="shared" si="0"/>
        <v>5248</v>
      </c>
      <c r="L39" s="8">
        <f t="shared" si="0"/>
        <v>2</v>
      </c>
      <c r="M39" s="8">
        <f t="shared" si="0"/>
        <v>133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53515625" bestFit="1" customWidth="1"/>
    <col min="2" max="2" width="28.765625" bestFit="1" customWidth="1"/>
    <col min="3" max="3" width="16.84375" customWidth="1"/>
    <col min="4" max="4" width="10.23046875" customWidth="1"/>
    <col min="5" max="5" width="7.69140625" customWidth="1"/>
    <col min="6" max="6" width="8.07421875" customWidth="1"/>
    <col min="7" max="7" width="9.765625" customWidth="1"/>
    <col min="8" max="8" width="7.69140625" customWidth="1"/>
    <col min="9" max="9" width="7.3046875" customWidth="1"/>
    <col min="10" max="10" width="9.3046875" customWidth="1"/>
    <col min="11" max="11" width="8.07421875" customWidth="1"/>
    <col min="12" max="12" width="10.84375" customWidth="1"/>
    <col min="13" max="13" width="7.4609375" customWidth="1"/>
  </cols>
  <sheetData>
    <row r="1" spans="1:13" ht="20" x14ac:dyDescent="0.4">
      <c r="A1" s="15" t="s">
        <v>329</v>
      </c>
    </row>
    <row r="2" spans="1:13" ht="31" x14ac:dyDescent="0.35">
      <c r="A2" s="3" t="s">
        <v>622</v>
      </c>
      <c r="B2" s="3" t="s">
        <v>5</v>
      </c>
      <c r="C2" s="1" t="s">
        <v>6</v>
      </c>
      <c r="D2" s="1" t="s">
        <v>7</v>
      </c>
      <c r="E2" s="1" t="s">
        <v>8</v>
      </c>
      <c r="F2" s="1" t="s">
        <v>27</v>
      </c>
      <c r="G2" s="1" t="s">
        <v>98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35">
      <c r="A3" t="s">
        <v>163</v>
      </c>
      <c r="B3" t="s">
        <v>165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24</v>
      </c>
      <c r="L3">
        <v>0</v>
      </c>
      <c r="M3">
        <v>0</v>
      </c>
    </row>
    <row r="4" spans="1:13" x14ac:dyDescent="0.35">
      <c r="A4" t="s">
        <v>520</v>
      </c>
      <c r="B4" s="2" t="s">
        <v>28</v>
      </c>
      <c r="C4">
        <f>SUM(Table18[American Sign Language Total])</f>
        <v>0</v>
      </c>
      <c r="D4">
        <f>SUM(Table18[Cantonese Total])</f>
        <v>0</v>
      </c>
      <c r="E4">
        <f>SUM(Table18[French Total])</f>
        <v>1</v>
      </c>
      <c r="F4">
        <f>SUM(Table18[German Total])</f>
        <v>0</v>
      </c>
      <c r="G4">
        <f>SUM(Table18[Japanese Total])</f>
        <v>0</v>
      </c>
      <c r="H4">
        <f>SUM(Table18[Korean Total])</f>
        <v>0</v>
      </c>
      <c r="I4">
        <f>SUM(Table18[Latin Total])</f>
        <v>0</v>
      </c>
      <c r="J4">
        <f>SUM(Table18[Mandarin Total])</f>
        <v>0</v>
      </c>
      <c r="K4">
        <f>SUM(Table18[Spanish Total])</f>
        <v>24</v>
      </c>
      <c r="L4">
        <f>SUM(Table18[Vietnamese Total])</f>
        <v>0</v>
      </c>
      <c r="M4">
        <f>SUM(Table18[Other Total])</f>
        <v>0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customWidth="1"/>
    <col min="2" max="2" width="29" customWidth="1"/>
    <col min="3" max="3" width="17.3046875" customWidth="1"/>
    <col min="4" max="4" width="10.07421875" customWidth="1"/>
    <col min="5" max="5" width="7.53515625" customWidth="1"/>
    <col min="6" max="6" width="8.07421875" customWidth="1"/>
    <col min="7" max="7" width="9.3046875" customWidth="1"/>
    <col min="8" max="8" width="7.69140625" customWidth="1"/>
    <col min="9" max="9" width="7.53515625" customWidth="1"/>
    <col min="10" max="10" width="9.3046875" customWidth="1"/>
    <col min="11" max="11" width="8.23046875" customWidth="1"/>
    <col min="12" max="12" width="11" customWidth="1"/>
    <col min="13" max="13" width="7.69140625" customWidth="1"/>
  </cols>
  <sheetData>
    <row r="1" spans="1:13" ht="20" x14ac:dyDescent="0.4">
      <c r="A1" s="15" t="s">
        <v>330</v>
      </c>
    </row>
    <row r="2" spans="1:13" ht="31" x14ac:dyDescent="0.35">
      <c r="A2" s="3" t="s">
        <v>4</v>
      </c>
      <c r="B2" s="3" t="s">
        <v>5</v>
      </c>
      <c r="C2" s="1" t="s">
        <v>6</v>
      </c>
      <c r="D2" s="1" t="s">
        <v>7</v>
      </c>
      <c r="E2" s="1" t="s">
        <v>8</v>
      </c>
      <c r="F2" s="1" t="s">
        <v>27</v>
      </c>
      <c r="G2" s="1" t="s">
        <v>98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35">
      <c r="A3" t="s">
        <v>170</v>
      </c>
      <c r="B3" t="s">
        <v>169</v>
      </c>
      <c r="C3">
        <v>0</v>
      </c>
      <c r="D3">
        <v>0</v>
      </c>
      <c r="E3">
        <v>14</v>
      </c>
      <c r="F3">
        <v>0</v>
      </c>
      <c r="G3">
        <v>0</v>
      </c>
      <c r="H3">
        <v>0</v>
      </c>
      <c r="I3">
        <v>4</v>
      </c>
      <c r="J3">
        <v>2</v>
      </c>
      <c r="K3">
        <v>71</v>
      </c>
      <c r="L3">
        <v>0</v>
      </c>
      <c r="M3">
        <v>0</v>
      </c>
    </row>
    <row r="4" spans="1:13" x14ac:dyDescent="0.35">
      <c r="A4" t="s">
        <v>167</v>
      </c>
      <c r="B4" t="s">
        <v>168</v>
      </c>
      <c r="C4">
        <v>0</v>
      </c>
      <c r="D4">
        <v>0</v>
      </c>
      <c r="E4">
        <v>25</v>
      </c>
      <c r="F4">
        <v>1</v>
      </c>
      <c r="G4">
        <v>0</v>
      </c>
      <c r="H4">
        <v>0</v>
      </c>
      <c r="I4">
        <v>0</v>
      </c>
      <c r="J4">
        <v>0</v>
      </c>
      <c r="K4">
        <v>102</v>
      </c>
      <c r="L4">
        <v>0</v>
      </c>
      <c r="M4">
        <v>0</v>
      </c>
    </row>
    <row r="5" spans="1:13" x14ac:dyDescent="0.35">
      <c r="A5" s="10" t="s">
        <v>164</v>
      </c>
      <c r="B5" s="11" t="s">
        <v>166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12</v>
      </c>
      <c r="L5" s="11">
        <v>0</v>
      </c>
      <c r="M5" s="11">
        <v>0</v>
      </c>
    </row>
    <row r="6" spans="1:13" x14ac:dyDescent="0.35">
      <c r="A6" t="s">
        <v>442</v>
      </c>
      <c r="B6" s="2" t="s">
        <v>47</v>
      </c>
      <c r="C6" s="2">
        <f>SUM(Table19[American Sign Language Total])</f>
        <v>0</v>
      </c>
      <c r="D6" s="2">
        <f>SUM(Table19[Cantonese Total])</f>
        <v>0</v>
      </c>
      <c r="E6" s="2">
        <f>SUM(Table19[French Total])</f>
        <v>39</v>
      </c>
      <c r="F6" s="2">
        <f>SUM(Table19[German Total])</f>
        <v>1</v>
      </c>
      <c r="G6" s="2">
        <f>SUM(Table19[Japanese Total])</f>
        <v>0</v>
      </c>
      <c r="H6" s="2">
        <f>SUM(Table19[Korean Total])</f>
        <v>0</v>
      </c>
      <c r="I6" s="2">
        <f>SUM(Table19[Latin Total])</f>
        <v>4</v>
      </c>
      <c r="J6" s="2">
        <f>SUM(Table19[Mandarin Total])</f>
        <v>2</v>
      </c>
      <c r="K6" s="2">
        <f>SUM(Table19[Spanish Total])</f>
        <v>185</v>
      </c>
      <c r="L6" s="2">
        <f>SUM(Table19[Vietnamese Total])</f>
        <v>0</v>
      </c>
      <c r="M6" s="2">
        <f>SUM(Table19[Other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765625" customWidth="1"/>
    <col min="2" max="2" width="28.53515625" bestFit="1" customWidth="1"/>
    <col min="3" max="3" width="16.69140625" customWidth="1"/>
    <col min="4" max="4" width="10.23046875" customWidth="1"/>
    <col min="5" max="5" width="7.4609375" customWidth="1"/>
    <col min="6" max="6" width="8" customWidth="1"/>
    <col min="7" max="7" width="9.69140625" customWidth="1"/>
    <col min="8" max="8" width="7.4609375" customWidth="1"/>
    <col min="9" max="9" width="7.3046875" customWidth="1"/>
    <col min="10" max="10" width="9.07421875" customWidth="1"/>
    <col min="11" max="11" width="8.23046875" customWidth="1"/>
    <col min="12" max="12" width="11.23046875" customWidth="1"/>
    <col min="13" max="13" width="7.53515625" customWidth="1"/>
  </cols>
  <sheetData>
    <row r="1" spans="1:13" s="15" customFormat="1" ht="20" x14ac:dyDescent="0.4">
      <c r="A1" s="15" t="s">
        <v>331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171</v>
      </c>
      <c r="B3" t="s">
        <v>624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14</v>
      </c>
      <c r="L3">
        <v>0</v>
      </c>
      <c r="M3">
        <v>0</v>
      </c>
    </row>
    <row r="4" spans="1:13" x14ac:dyDescent="0.35">
      <c r="A4" t="s">
        <v>173</v>
      </c>
      <c r="B4" t="s">
        <v>172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</row>
    <row r="5" spans="1:13" x14ac:dyDescent="0.35">
      <c r="A5" t="s">
        <v>174</v>
      </c>
      <c r="B5" t="s">
        <v>552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5</v>
      </c>
      <c r="L5">
        <v>0</v>
      </c>
      <c r="M5">
        <v>0</v>
      </c>
    </row>
    <row r="6" spans="1:13" x14ac:dyDescent="0.35">
      <c r="A6" s="3" t="s">
        <v>551</v>
      </c>
      <c r="B6" s="4" t="s">
        <v>443</v>
      </c>
      <c r="C6">
        <v>0</v>
      </c>
      <c r="D6">
        <v>0</v>
      </c>
      <c r="E6">
        <v>0</v>
      </c>
      <c r="F6">
        <v>0</v>
      </c>
      <c r="G6" s="3">
        <v>0</v>
      </c>
      <c r="H6">
        <v>0</v>
      </c>
      <c r="I6">
        <v>0</v>
      </c>
      <c r="J6">
        <v>0</v>
      </c>
      <c r="K6" s="3">
        <v>2</v>
      </c>
      <c r="L6">
        <v>0</v>
      </c>
      <c r="M6">
        <v>0</v>
      </c>
    </row>
    <row r="7" spans="1:13" x14ac:dyDescent="0.35">
      <c r="A7" s="3" t="s">
        <v>175</v>
      </c>
      <c r="B7" s="4" t="s">
        <v>521</v>
      </c>
      <c r="C7">
        <v>0</v>
      </c>
      <c r="D7">
        <v>0</v>
      </c>
      <c r="E7">
        <v>0</v>
      </c>
      <c r="F7">
        <v>0</v>
      </c>
      <c r="G7" s="3">
        <v>1</v>
      </c>
      <c r="H7">
        <v>0</v>
      </c>
      <c r="I7">
        <v>0</v>
      </c>
      <c r="J7">
        <v>0</v>
      </c>
      <c r="K7" s="3">
        <v>38</v>
      </c>
      <c r="L7">
        <v>0</v>
      </c>
      <c r="M7">
        <v>0</v>
      </c>
    </row>
    <row r="8" spans="1:13" x14ac:dyDescent="0.35">
      <c r="A8" t="s">
        <v>444</v>
      </c>
      <c r="B8" s="2" t="s">
        <v>69</v>
      </c>
      <c r="C8" s="2">
        <f>SUM(Table20[American Sign Language Total])</f>
        <v>0</v>
      </c>
      <c r="D8" s="2">
        <f>SUM(Table20[Cantonese Total])</f>
        <v>0</v>
      </c>
      <c r="E8" s="2">
        <f>SUM(Table20[French Total])</f>
        <v>1</v>
      </c>
      <c r="F8" s="2">
        <f>SUM(Table20[German Total])</f>
        <v>0</v>
      </c>
      <c r="G8" s="2">
        <f>SUM(Table20[Japanese Total])</f>
        <v>1</v>
      </c>
      <c r="H8" s="2">
        <f>SUM(Table20[Korean Total])</f>
        <v>0</v>
      </c>
      <c r="I8" s="2">
        <f>SUM(Table20[Latin Total])</f>
        <v>0</v>
      </c>
      <c r="J8" s="2">
        <f>SUM(Table20[Mandarin Total])</f>
        <v>0</v>
      </c>
      <c r="K8" s="2">
        <f>SUM(Table20[Spanish Total])</f>
        <v>60</v>
      </c>
      <c r="L8" s="2">
        <f>SUM(Table20[Vietnamese Total])</f>
        <v>0</v>
      </c>
      <c r="M8" s="2">
        <f>SUM(Table20[Other Total])</f>
        <v>0</v>
      </c>
    </row>
  </sheetData>
  <sortState xmlns:xlrd2="http://schemas.microsoft.com/office/spreadsheetml/2017/richdata2" ref="A2:A5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84375" customWidth="1"/>
    <col min="2" max="2" width="13.23046875" customWidth="1"/>
    <col min="3" max="3" width="17" customWidth="1"/>
    <col min="4" max="4" width="10.07421875" customWidth="1"/>
    <col min="5" max="5" width="7.69140625" customWidth="1"/>
    <col min="6" max="6" width="8" customWidth="1"/>
    <col min="7" max="7" width="9.69140625" customWidth="1"/>
    <col min="8" max="8" width="7.69140625" customWidth="1"/>
    <col min="9" max="9" width="7.23046875" customWidth="1"/>
    <col min="10" max="10" width="9.3046875" customWidth="1"/>
    <col min="11" max="11" width="8.3046875" customWidth="1"/>
    <col min="12" max="12" width="11.07421875" customWidth="1"/>
    <col min="13" max="13" width="7.23046875" customWidth="1"/>
  </cols>
  <sheetData>
    <row r="1" spans="1:13" ht="20" x14ac:dyDescent="0.4">
      <c r="A1" s="15" t="s">
        <v>332</v>
      </c>
    </row>
    <row r="2" spans="1:13" ht="31" x14ac:dyDescent="0.35">
      <c r="A2" s="3" t="s">
        <v>622</v>
      </c>
      <c r="B2" s="4" t="s">
        <v>623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177</v>
      </c>
      <c r="B3" t="s">
        <v>176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27</v>
      </c>
      <c r="L3">
        <v>0</v>
      </c>
      <c r="M3">
        <v>0</v>
      </c>
    </row>
    <row r="4" spans="1:13" x14ac:dyDescent="0.35">
      <c r="A4" t="s">
        <v>178</v>
      </c>
      <c r="B4" s="2" t="s">
        <v>34</v>
      </c>
      <c r="C4">
        <f>SUBTOTAL(109,Table23[American Sign Language Total])</f>
        <v>0</v>
      </c>
      <c r="D4">
        <f>SUBTOTAL(109,Table23[Cantonese Total])</f>
        <v>0</v>
      </c>
      <c r="E4">
        <f>SUBTOTAL(109,Table23[French Total])</f>
        <v>0</v>
      </c>
      <c r="F4">
        <f>SUBTOTAL(109,Table23[German Total])</f>
        <v>0</v>
      </c>
      <c r="G4">
        <f>SUBTOTAL(109,Table23[Japanese Total])</f>
        <v>0</v>
      </c>
      <c r="H4">
        <f>SUBTOTAL(109,Table23[Korean Total])</f>
        <v>0</v>
      </c>
      <c r="I4">
        <f>SUBTOTAL(109,Table23[Latin Total])</f>
        <v>0</v>
      </c>
      <c r="J4">
        <f>SUBTOTAL(109,Table23[Mandarin Total])</f>
        <v>0</v>
      </c>
      <c r="K4">
        <f>SUBTOTAL(109,Table23[Spanish Total])</f>
        <v>27</v>
      </c>
      <c r="L4">
        <f>SUBTOTAL(109,Table23[Vietnamese Total])</f>
        <v>0</v>
      </c>
      <c r="M4">
        <f>SUBTOTAL(109,Table23[Other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4609375" bestFit="1" customWidth="1"/>
    <col min="2" max="2" width="31.84375" bestFit="1" customWidth="1"/>
    <col min="3" max="3" width="17" customWidth="1"/>
    <col min="4" max="4" width="10.3046875" customWidth="1"/>
    <col min="5" max="5" width="8" customWidth="1"/>
    <col min="6" max="6" width="7.84375" customWidth="1"/>
    <col min="7" max="7" width="9.4609375" customWidth="1"/>
    <col min="8" max="8" width="8.07421875" customWidth="1"/>
    <col min="9" max="9" width="7.23046875" customWidth="1"/>
    <col min="10" max="10" width="9.07421875" customWidth="1"/>
    <col min="11" max="11" width="8.3046875" customWidth="1"/>
    <col min="12" max="12" width="11.07421875" customWidth="1"/>
    <col min="13" max="13" width="7.84375" customWidth="1"/>
  </cols>
  <sheetData>
    <row r="1" spans="1:13" ht="20" x14ac:dyDescent="0.4">
      <c r="A1" s="15" t="s">
        <v>315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6.5" x14ac:dyDescent="0.35">
      <c r="A3" s="5" t="s">
        <v>2</v>
      </c>
      <c r="B3" s="1" t="s">
        <v>523</v>
      </c>
      <c r="C3" s="18">
        <v>0</v>
      </c>
      <c r="D3" s="18">
        <v>0</v>
      </c>
      <c r="E3" s="18">
        <v>21</v>
      </c>
      <c r="F3" s="18">
        <v>1</v>
      </c>
      <c r="G3" s="18">
        <v>0</v>
      </c>
      <c r="H3" s="18">
        <v>1</v>
      </c>
      <c r="I3" s="18">
        <v>0</v>
      </c>
      <c r="J3" s="18">
        <v>15</v>
      </c>
      <c r="K3" s="18">
        <v>36</v>
      </c>
      <c r="L3" s="18">
        <v>0</v>
      </c>
      <c r="M3" s="18">
        <v>0</v>
      </c>
    </row>
    <row r="4" spans="1:13" x14ac:dyDescent="0.35">
      <c r="A4" s="6" t="s">
        <v>3</v>
      </c>
      <c r="B4" t="s">
        <v>18</v>
      </c>
      <c r="C4" s="18">
        <v>0</v>
      </c>
      <c r="D4" s="18">
        <v>0</v>
      </c>
      <c r="E4" s="18">
        <v>11</v>
      </c>
      <c r="F4" s="18">
        <v>0</v>
      </c>
      <c r="G4" s="18">
        <v>1</v>
      </c>
      <c r="H4" s="18">
        <v>1</v>
      </c>
      <c r="I4" s="18">
        <v>0</v>
      </c>
      <c r="J4" s="18">
        <v>10</v>
      </c>
      <c r="K4" s="18">
        <v>62</v>
      </c>
      <c r="L4" s="18">
        <v>0</v>
      </c>
      <c r="M4" s="18">
        <v>0</v>
      </c>
    </row>
    <row r="5" spans="1:13" x14ac:dyDescent="0.35">
      <c r="A5" s="5" t="s">
        <v>19</v>
      </c>
      <c r="B5" t="s">
        <v>17</v>
      </c>
      <c r="C5" s="18">
        <v>0</v>
      </c>
      <c r="D5" s="18">
        <v>0</v>
      </c>
      <c r="E5" s="18">
        <v>31</v>
      </c>
      <c r="F5" s="18">
        <v>1</v>
      </c>
      <c r="G5" s="18">
        <v>0</v>
      </c>
      <c r="H5" s="18">
        <v>0</v>
      </c>
      <c r="I5" s="18">
        <v>1</v>
      </c>
      <c r="J5" s="18">
        <v>9</v>
      </c>
      <c r="K5" s="18">
        <v>120</v>
      </c>
      <c r="L5" s="18">
        <v>1</v>
      </c>
      <c r="M5" s="18">
        <v>4</v>
      </c>
    </row>
    <row r="6" spans="1:13" x14ac:dyDescent="0.35">
      <c r="A6" s="6" t="s">
        <v>20</v>
      </c>
      <c r="B6" t="s">
        <v>16</v>
      </c>
      <c r="C6" s="18">
        <v>13</v>
      </c>
      <c r="D6" s="18">
        <v>0</v>
      </c>
      <c r="E6" s="18">
        <v>7</v>
      </c>
      <c r="F6" s="18">
        <v>12</v>
      </c>
      <c r="G6" s="18">
        <v>10</v>
      </c>
      <c r="H6" s="18">
        <v>0</v>
      </c>
      <c r="I6" s="18">
        <v>0</v>
      </c>
      <c r="J6" s="18">
        <v>0</v>
      </c>
      <c r="K6" s="18">
        <v>53</v>
      </c>
      <c r="L6" s="18">
        <v>0</v>
      </c>
      <c r="M6" s="18">
        <v>0</v>
      </c>
    </row>
    <row r="7" spans="1:13" x14ac:dyDescent="0.35">
      <c r="A7" s="5" t="s">
        <v>0</v>
      </c>
      <c r="B7" t="s">
        <v>15</v>
      </c>
      <c r="C7" s="18">
        <v>0</v>
      </c>
      <c r="D7" s="18">
        <v>0</v>
      </c>
      <c r="E7" s="18">
        <v>14</v>
      </c>
      <c r="F7" s="18">
        <v>0</v>
      </c>
      <c r="G7" s="18">
        <v>1</v>
      </c>
      <c r="H7" s="18">
        <v>0</v>
      </c>
      <c r="I7" s="18">
        <v>0</v>
      </c>
      <c r="J7" s="18">
        <v>4</v>
      </c>
      <c r="K7" s="18">
        <v>21</v>
      </c>
      <c r="L7" s="18">
        <v>0</v>
      </c>
      <c r="M7" s="18">
        <v>0</v>
      </c>
    </row>
    <row r="8" spans="1:13" ht="77.5" x14ac:dyDescent="0.35">
      <c r="A8" s="6" t="s">
        <v>21</v>
      </c>
      <c r="B8" s="4" t="s">
        <v>158</v>
      </c>
      <c r="C8" s="18">
        <v>0</v>
      </c>
      <c r="D8" s="18">
        <v>5</v>
      </c>
      <c r="E8" s="18">
        <v>40</v>
      </c>
      <c r="F8" s="18">
        <v>1</v>
      </c>
      <c r="G8" s="18">
        <v>3</v>
      </c>
      <c r="H8" s="18">
        <v>3</v>
      </c>
      <c r="I8" s="18">
        <v>0</v>
      </c>
      <c r="J8" s="18">
        <v>65</v>
      </c>
      <c r="K8" s="18">
        <v>69</v>
      </c>
      <c r="L8" s="18">
        <v>0</v>
      </c>
      <c r="M8" s="18">
        <v>1</v>
      </c>
    </row>
    <row r="9" spans="1:13" ht="46.5" x14ac:dyDescent="0.35">
      <c r="A9" s="3" t="s">
        <v>1</v>
      </c>
      <c r="B9" s="1" t="s">
        <v>524</v>
      </c>
      <c r="C9" s="18">
        <v>0</v>
      </c>
      <c r="D9" s="18">
        <v>0</v>
      </c>
      <c r="E9" s="18">
        <v>15</v>
      </c>
      <c r="F9" s="18">
        <v>4</v>
      </c>
      <c r="G9" s="18">
        <v>20</v>
      </c>
      <c r="H9" s="18">
        <v>0</v>
      </c>
      <c r="I9" s="18">
        <v>0</v>
      </c>
      <c r="J9" s="18">
        <v>3</v>
      </c>
      <c r="K9" s="18">
        <v>145</v>
      </c>
      <c r="L9" s="18">
        <v>0</v>
      </c>
      <c r="M9" s="18">
        <v>0</v>
      </c>
    </row>
    <row r="10" spans="1:13" x14ac:dyDescent="0.35">
      <c r="A10" s="3" t="s">
        <v>22</v>
      </c>
      <c r="B10" t="s">
        <v>106</v>
      </c>
      <c r="C10" s="18">
        <v>1</v>
      </c>
      <c r="D10" s="18">
        <v>0</v>
      </c>
      <c r="E10" s="18">
        <v>11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52</v>
      </c>
      <c r="L10" s="18">
        <v>0</v>
      </c>
      <c r="M10" s="18">
        <v>0</v>
      </c>
    </row>
    <row r="11" spans="1:13" ht="124" x14ac:dyDescent="0.35">
      <c r="A11" s="3" t="s">
        <v>23</v>
      </c>
      <c r="B11" s="1" t="s">
        <v>525</v>
      </c>
      <c r="C11" s="18">
        <v>0</v>
      </c>
      <c r="D11" s="18">
        <v>21</v>
      </c>
      <c r="E11" s="18">
        <v>0</v>
      </c>
      <c r="F11" s="18">
        <v>2</v>
      </c>
      <c r="G11" s="18">
        <v>2</v>
      </c>
      <c r="H11" s="18">
        <v>0</v>
      </c>
      <c r="I11" s="18">
        <v>0</v>
      </c>
      <c r="J11" s="18">
        <v>0</v>
      </c>
      <c r="K11" s="18">
        <v>125</v>
      </c>
      <c r="L11" s="18">
        <v>15</v>
      </c>
      <c r="M11" s="18">
        <v>4</v>
      </c>
    </row>
    <row r="12" spans="1:13" x14ac:dyDescent="0.35">
      <c r="A12" s="3" t="s">
        <v>24</v>
      </c>
      <c r="B12" t="s">
        <v>26</v>
      </c>
      <c r="C12" s="18">
        <v>0</v>
      </c>
      <c r="D12" s="18">
        <v>0</v>
      </c>
      <c r="E12" s="18">
        <v>7</v>
      </c>
      <c r="F12" s="18">
        <v>0</v>
      </c>
      <c r="G12" s="18">
        <v>0</v>
      </c>
      <c r="H12" s="18">
        <v>0</v>
      </c>
      <c r="I12" s="18">
        <v>0</v>
      </c>
      <c r="J12" s="18">
        <v>5</v>
      </c>
      <c r="K12" s="18">
        <v>14</v>
      </c>
      <c r="L12" s="18">
        <v>0</v>
      </c>
      <c r="M12" s="18">
        <v>0</v>
      </c>
    </row>
    <row r="13" spans="1:13" x14ac:dyDescent="0.35">
      <c r="A13" s="3" t="s">
        <v>25</v>
      </c>
      <c r="B13" s="1" t="s">
        <v>478</v>
      </c>
      <c r="C13" s="18">
        <v>0</v>
      </c>
      <c r="D13" s="18">
        <v>6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27</v>
      </c>
      <c r="L13" s="18">
        <v>0</v>
      </c>
      <c r="M13" s="18">
        <v>0</v>
      </c>
    </row>
    <row r="14" spans="1:13" x14ac:dyDescent="0.35">
      <c r="A14" t="s">
        <v>526</v>
      </c>
      <c r="B14" s="7" t="s">
        <v>64</v>
      </c>
      <c r="C14" s="19">
        <f>SUM(C3:C13)</f>
        <v>14</v>
      </c>
      <c r="D14" s="19">
        <f t="shared" ref="D14:M14" si="0">SUM(D3:D13)</f>
        <v>32</v>
      </c>
      <c r="E14" s="19">
        <f t="shared" si="0"/>
        <v>157</v>
      </c>
      <c r="F14" s="19">
        <f t="shared" si="0"/>
        <v>21</v>
      </c>
      <c r="G14" s="19">
        <f t="shared" si="0"/>
        <v>37</v>
      </c>
      <c r="H14" s="19">
        <f t="shared" si="0"/>
        <v>5</v>
      </c>
      <c r="I14" s="19">
        <f t="shared" si="0"/>
        <v>1</v>
      </c>
      <c r="J14" s="19">
        <f t="shared" si="0"/>
        <v>111</v>
      </c>
      <c r="K14" s="19">
        <f t="shared" si="0"/>
        <v>724</v>
      </c>
      <c r="L14" s="19">
        <f t="shared" si="0"/>
        <v>16</v>
      </c>
      <c r="M14" s="19">
        <f t="shared" si="0"/>
        <v>9</v>
      </c>
    </row>
  </sheetData>
  <pageMargins left="0.7" right="0.7" top="0.75" bottom="0.75" header="0.3" footer="0.3"/>
  <pageSetup scale="63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34.69140625" customWidth="1"/>
    <col min="2" max="2" width="27" customWidth="1"/>
    <col min="3" max="3" width="16.53515625" customWidth="1"/>
    <col min="4" max="4" width="10.23046875" customWidth="1"/>
    <col min="5" max="5" width="7.4609375" customWidth="1"/>
    <col min="6" max="6" width="7.84375" customWidth="1"/>
    <col min="7" max="7" width="9.84375" customWidth="1"/>
    <col min="8" max="8" width="7.69140625" customWidth="1"/>
    <col min="9" max="9" width="7.4609375" customWidth="1"/>
    <col min="10" max="10" width="9.23046875" customWidth="1"/>
    <col min="11" max="11" width="8.4609375" customWidth="1"/>
    <col min="12" max="12" width="11.23046875" customWidth="1"/>
    <col min="13" max="13" width="7.765625" customWidth="1"/>
  </cols>
  <sheetData>
    <row r="1" spans="1:13" ht="20" x14ac:dyDescent="0.4">
      <c r="A1" s="15" t="s">
        <v>333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184</v>
      </c>
      <c r="B3" t="s">
        <v>190</v>
      </c>
      <c r="C3">
        <v>0</v>
      </c>
      <c r="D3">
        <v>0</v>
      </c>
      <c r="E3">
        <v>23</v>
      </c>
      <c r="F3">
        <v>0</v>
      </c>
      <c r="G3">
        <v>0</v>
      </c>
      <c r="H3">
        <v>0</v>
      </c>
      <c r="I3">
        <v>0</v>
      </c>
      <c r="J3">
        <v>6</v>
      </c>
      <c r="K3">
        <v>24</v>
      </c>
      <c r="L3">
        <v>0</v>
      </c>
      <c r="M3">
        <v>0</v>
      </c>
    </row>
    <row r="4" spans="1:13" ht="31" x14ac:dyDescent="0.35">
      <c r="A4" s="3" t="s">
        <v>185</v>
      </c>
      <c r="B4" s="4" t="s">
        <v>179</v>
      </c>
      <c r="C4" s="3">
        <v>0</v>
      </c>
      <c r="D4" s="3">
        <v>0</v>
      </c>
      <c r="E4" s="3">
        <v>4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35</v>
      </c>
      <c r="L4" s="3">
        <v>0</v>
      </c>
      <c r="M4" s="3">
        <v>0</v>
      </c>
    </row>
    <row r="5" spans="1:13" x14ac:dyDescent="0.35">
      <c r="A5" t="s">
        <v>186</v>
      </c>
      <c r="B5" t="s">
        <v>180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13</v>
      </c>
      <c r="L5">
        <v>0</v>
      </c>
      <c r="M5">
        <v>0</v>
      </c>
    </row>
    <row r="6" spans="1:13" ht="46.5" x14ac:dyDescent="0.35">
      <c r="A6" s="3" t="s">
        <v>187</v>
      </c>
      <c r="B6" s="4" t="s">
        <v>445</v>
      </c>
      <c r="C6" s="3">
        <v>0</v>
      </c>
      <c r="D6" s="3">
        <v>0</v>
      </c>
      <c r="E6" s="3">
        <v>10</v>
      </c>
      <c r="F6" s="3">
        <v>0</v>
      </c>
      <c r="G6" s="3">
        <v>12</v>
      </c>
      <c r="H6" s="3">
        <v>0</v>
      </c>
      <c r="I6" s="3">
        <v>0</v>
      </c>
      <c r="J6" s="3">
        <v>0</v>
      </c>
      <c r="K6" s="3">
        <v>153</v>
      </c>
      <c r="L6" s="3">
        <v>0</v>
      </c>
      <c r="M6" s="3">
        <v>0</v>
      </c>
    </row>
    <row r="7" spans="1:13" x14ac:dyDescent="0.35">
      <c r="A7" t="s">
        <v>188</v>
      </c>
      <c r="B7" t="s">
        <v>181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9</v>
      </c>
      <c r="L7">
        <v>0</v>
      </c>
      <c r="M7">
        <v>0</v>
      </c>
    </row>
    <row r="8" spans="1:13" x14ac:dyDescent="0.35">
      <c r="A8" t="s">
        <v>182</v>
      </c>
      <c r="B8" t="s">
        <v>183</v>
      </c>
      <c r="C8">
        <v>0</v>
      </c>
      <c r="D8">
        <v>0</v>
      </c>
      <c r="E8">
        <v>9</v>
      </c>
      <c r="F8">
        <v>0</v>
      </c>
      <c r="G8">
        <v>0</v>
      </c>
      <c r="H8">
        <v>0</v>
      </c>
      <c r="I8">
        <v>0</v>
      </c>
      <c r="J8">
        <v>0</v>
      </c>
      <c r="K8">
        <v>29</v>
      </c>
      <c r="L8">
        <v>0</v>
      </c>
      <c r="M8">
        <v>0</v>
      </c>
    </row>
    <row r="9" spans="1:13" x14ac:dyDescent="0.35">
      <c r="A9" t="s">
        <v>446</v>
      </c>
      <c r="B9" s="2" t="s">
        <v>189</v>
      </c>
      <c r="C9" s="2">
        <f>SUM(Table24[American Sign Language Total])</f>
        <v>0</v>
      </c>
      <c r="D9" s="2">
        <f>SUM(Table24[Cantonese Total])</f>
        <v>0</v>
      </c>
      <c r="E9" s="2">
        <f>SUM(Table24[French Total])</f>
        <v>46</v>
      </c>
      <c r="F9" s="2">
        <f>SUM(Table24[German Total])</f>
        <v>0</v>
      </c>
      <c r="G9" s="2">
        <f>SUM(Table24[Japanese Total])</f>
        <v>13</v>
      </c>
      <c r="H9" s="2">
        <f>SUM(Table24[Korean Total])</f>
        <v>0</v>
      </c>
      <c r="I9" s="2">
        <f>SUM(Table24[Latin Total])</f>
        <v>0</v>
      </c>
      <c r="J9" s="2">
        <f>SUM(Table24[Mandarin Total])</f>
        <v>6</v>
      </c>
      <c r="K9" s="2">
        <f>SUM(Table24[Spanish Total])</f>
        <v>263</v>
      </c>
      <c r="L9" s="2">
        <f>SUM(Table24[Vietnamese Total])</f>
        <v>0</v>
      </c>
      <c r="M9" s="2">
        <f>SUM(Table24[Other Total])</f>
        <v>0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07421875" customWidth="1"/>
    <col min="2" max="2" width="25.69140625" customWidth="1"/>
    <col min="3" max="3" width="16.765625" customWidth="1"/>
    <col min="4" max="4" width="10.3046875" customWidth="1"/>
    <col min="5" max="5" width="7.3046875" customWidth="1"/>
    <col min="6" max="6" width="8" customWidth="1"/>
    <col min="7" max="7" width="9.84375" customWidth="1"/>
    <col min="8" max="9" width="7.69140625" customWidth="1"/>
    <col min="10" max="10" width="9.3046875" customWidth="1"/>
    <col min="11" max="11" width="8.07421875" customWidth="1"/>
    <col min="12" max="12" width="10.84375" customWidth="1"/>
    <col min="13" max="13" width="7.765625" customWidth="1"/>
  </cols>
  <sheetData>
    <row r="1" spans="1:13" ht="20" x14ac:dyDescent="0.4">
      <c r="A1" s="15" t="s">
        <v>334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6.5" x14ac:dyDescent="0.35">
      <c r="A3" s="3" t="s">
        <v>192</v>
      </c>
      <c r="B3" s="4" t="s">
        <v>553</v>
      </c>
      <c r="C3" s="3">
        <v>0</v>
      </c>
      <c r="D3" s="3">
        <v>0</v>
      </c>
      <c r="E3" s="3">
        <v>12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127</v>
      </c>
      <c r="L3" s="3">
        <v>0</v>
      </c>
      <c r="M3" s="3">
        <v>0</v>
      </c>
    </row>
    <row r="4" spans="1:13" x14ac:dyDescent="0.35">
      <c r="A4" t="s">
        <v>191</v>
      </c>
      <c r="B4" t="s">
        <v>193</v>
      </c>
      <c r="C4">
        <v>0</v>
      </c>
      <c r="D4">
        <v>0</v>
      </c>
      <c r="E4">
        <v>3</v>
      </c>
      <c r="F4">
        <v>0</v>
      </c>
      <c r="G4">
        <v>0</v>
      </c>
      <c r="H4">
        <v>0</v>
      </c>
      <c r="I4">
        <v>0</v>
      </c>
      <c r="J4">
        <v>0</v>
      </c>
      <c r="K4">
        <v>18</v>
      </c>
      <c r="L4">
        <v>0</v>
      </c>
      <c r="M4">
        <v>0</v>
      </c>
    </row>
    <row r="5" spans="1:13" x14ac:dyDescent="0.35">
      <c r="A5" t="s">
        <v>447</v>
      </c>
      <c r="B5" s="2" t="s">
        <v>47</v>
      </c>
      <c r="C5" s="2">
        <f>SUM(Table25[American Sign Language Total])</f>
        <v>0</v>
      </c>
      <c r="D5" s="2">
        <f>SUM(Table25[Cantonese Total])</f>
        <v>0</v>
      </c>
      <c r="E5" s="2">
        <f>SUM(Table25[French Total])</f>
        <v>15</v>
      </c>
      <c r="F5" s="2">
        <f>SUM(Table25[German Total])</f>
        <v>0</v>
      </c>
      <c r="G5" s="2">
        <f>SUM(Table25[Japanese Total])</f>
        <v>0</v>
      </c>
      <c r="H5" s="2">
        <f>SUM(Table25[Korean Total])</f>
        <v>0</v>
      </c>
      <c r="I5" s="2">
        <f>SUM(Table25[Latin Total])</f>
        <v>0</v>
      </c>
      <c r="J5" s="2">
        <f>SUM(Table25[Mandarin Total])</f>
        <v>0</v>
      </c>
      <c r="K5" s="2">
        <f>SUM(Table25[Spanish Total])</f>
        <v>145</v>
      </c>
      <c r="L5" s="2">
        <f>SUM(Table25[Vietnamese Total])</f>
        <v>0</v>
      </c>
      <c r="M5" s="2">
        <f>SUM(Table25[Other Total])</f>
        <v>0</v>
      </c>
    </row>
  </sheetData>
  <sortState xmlns:xlrd2="http://schemas.microsoft.com/office/spreadsheetml/2017/richdata2" ref="A2:A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30.69140625" customWidth="1"/>
    <col min="2" max="2" width="24.53515625" customWidth="1"/>
    <col min="3" max="3" width="16.765625" customWidth="1"/>
    <col min="4" max="4" width="10.3046875" customWidth="1"/>
    <col min="5" max="6" width="7.84375" customWidth="1"/>
    <col min="7" max="7" width="9.84375" customWidth="1"/>
    <col min="8" max="8" width="7.53515625" customWidth="1"/>
    <col min="9" max="9" width="7.69140625" customWidth="1"/>
    <col min="10" max="10" width="9.3046875" customWidth="1"/>
    <col min="11" max="11" width="8" customWidth="1"/>
    <col min="12" max="12" width="11" customWidth="1"/>
    <col min="13" max="13" width="7.69140625" customWidth="1"/>
  </cols>
  <sheetData>
    <row r="1" spans="1:13" ht="20" x14ac:dyDescent="0.4">
      <c r="A1" s="15" t="s">
        <v>335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4" t="s">
        <v>448</v>
      </c>
      <c r="B3" s="4" t="s">
        <v>555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4</v>
      </c>
      <c r="L3" s="3">
        <v>0</v>
      </c>
      <c r="M3" s="3">
        <v>0</v>
      </c>
    </row>
    <row r="4" spans="1:13" ht="31" x14ac:dyDescent="0.35">
      <c r="A4" s="3" t="s">
        <v>195</v>
      </c>
      <c r="B4" s="4" t="s">
        <v>554</v>
      </c>
      <c r="C4" s="3">
        <v>0</v>
      </c>
      <c r="D4" s="3">
        <v>0</v>
      </c>
      <c r="E4" s="3">
        <v>2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8</v>
      </c>
      <c r="L4" s="3">
        <v>0</v>
      </c>
      <c r="M4" s="3">
        <v>0</v>
      </c>
    </row>
    <row r="5" spans="1:13" s="2" customFormat="1" x14ac:dyDescent="0.35">
      <c r="A5" s="16" t="s">
        <v>449</v>
      </c>
      <c r="B5" s="2" t="s">
        <v>35</v>
      </c>
      <c r="C5" s="2">
        <f>SUM(Table26[American Sign Language Total])</f>
        <v>0</v>
      </c>
      <c r="D5" s="2">
        <f>SUM(Table26[Cantonese Total])</f>
        <v>0</v>
      </c>
      <c r="E5" s="2">
        <f>SUM(Table26[French Total])</f>
        <v>2</v>
      </c>
      <c r="F5" s="2">
        <f>SUM(Table26[German Total])</f>
        <v>0</v>
      </c>
      <c r="G5" s="2">
        <f>SUM(Table26[Japanese Total])</f>
        <v>0</v>
      </c>
      <c r="H5" s="2">
        <f>SUM(Table26[Korean Total])</f>
        <v>0</v>
      </c>
      <c r="I5" s="2">
        <f>SUM(Table26[Latin Total])</f>
        <v>0</v>
      </c>
      <c r="J5" s="2">
        <f>SUM(Table26[Mandarin Total])</f>
        <v>0</v>
      </c>
      <c r="K5" s="2">
        <f>SUM(Table26[Spanish Total])</f>
        <v>12</v>
      </c>
      <c r="L5" s="2">
        <f>SUM(Table26[Vietnamese Total])</f>
        <v>0</v>
      </c>
      <c r="M5" s="2">
        <f>SUM(Table26[Other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84375" bestFit="1" customWidth="1"/>
    <col min="2" max="2" width="31.07421875" customWidth="1"/>
    <col min="3" max="3" width="16.84375" customWidth="1"/>
    <col min="4" max="4" width="10.4609375" customWidth="1"/>
    <col min="5" max="5" width="7.53515625" customWidth="1"/>
    <col min="6" max="6" width="8.07421875" customWidth="1"/>
    <col min="7" max="7" width="9.07421875" customWidth="1"/>
    <col min="8" max="8" width="7.53515625" customWidth="1"/>
    <col min="9" max="9" width="7.69140625" customWidth="1"/>
    <col min="10" max="10" width="9.23046875" customWidth="1"/>
    <col min="11" max="11" width="8.07421875" customWidth="1"/>
    <col min="12" max="12" width="11" customWidth="1"/>
    <col min="13" max="13" width="7.69140625" customWidth="1"/>
  </cols>
  <sheetData>
    <row r="1" spans="1:13" ht="20" x14ac:dyDescent="0.4">
      <c r="A1" s="15" t="s">
        <v>336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77.5" x14ac:dyDescent="0.35">
      <c r="A3" s="3" t="s">
        <v>205</v>
      </c>
      <c r="B3" s="4" t="s">
        <v>556</v>
      </c>
      <c r="C3" s="3">
        <v>0</v>
      </c>
      <c r="D3" s="3">
        <v>0</v>
      </c>
      <c r="E3" s="3">
        <v>80</v>
      </c>
      <c r="F3" s="3">
        <v>0</v>
      </c>
      <c r="G3" s="3">
        <v>17</v>
      </c>
      <c r="H3" s="3">
        <v>62</v>
      </c>
      <c r="I3" s="3">
        <v>0</v>
      </c>
      <c r="J3" s="3">
        <v>16</v>
      </c>
      <c r="K3" s="3">
        <v>715</v>
      </c>
      <c r="L3" s="3">
        <v>11</v>
      </c>
      <c r="M3" s="3">
        <v>3</v>
      </c>
    </row>
    <row r="4" spans="1:13" x14ac:dyDescent="0.35">
      <c r="A4" s="3" t="s">
        <v>206</v>
      </c>
      <c r="B4" s="4" t="s">
        <v>215</v>
      </c>
      <c r="C4" s="3">
        <v>0</v>
      </c>
      <c r="D4" s="3">
        <v>0</v>
      </c>
      <c r="E4" s="3">
        <v>17</v>
      </c>
      <c r="F4" s="3">
        <v>0</v>
      </c>
      <c r="G4" s="3">
        <v>8</v>
      </c>
      <c r="H4" s="3">
        <v>0</v>
      </c>
      <c r="I4" s="3">
        <v>0</v>
      </c>
      <c r="J4" s="3">
        <v>6</v>
      </c>
      <c r="K4" s="3">
        <v>17</v>
      </c>
      <c r="L4" s="3">
        <v>0</v>
      </c>
      <c r="M4" s="3">
        <v>0</v>
      </c>
    </row>
    <row r="5" spans="1:13" ht="77.5" x14ac:dyDescent="0.35">
      <c r="A5" s="3" t="s">
        <v>198</v>
      </c>
      <c r="B5" s="4" t="s">
        <v>557</v>
      </c>
      <c r="C5" s="3">
        <v>13</v>
      </c>
      <c r="D5" s="3">
        <v>0</v>
      </c>
      <c r="E5" s="3">
        <v>119</v>
      </c>
      <c r="F5" s="3">
        <v>7</v>
      </c>
      <c r="G5" s="3">
        <v>5</v>
      </c>
      <c r="H5" s="3">
        <v>8</v>
      </c>
      <c r="I5" s="3">
        <v>0</v>
      </c>
      <c r="J5" s="3">
        <v>7</v>
      </c>
      <c r="K5" s="3">
        <v>385</v>
      </c>
      <c r="L5" s="3">
        <v>0</v>
      </c>
      <c r="M5" s="3">
        <v>1</v>
      </c>
    </row>
    <row r="6" spans="1:13" ht="46.5" x14ac:dyDescent="0.35">
      <c r="A6" s="3" t="s">
        <v>207</v>
      </c>
      <c r="B6" s="4" t="s">
        <v>200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498</v>
      </c>
      <c r="L6" s="3">
        <v>0</v>
      </c>
      <c r="M6" s="3">
        <v>0</v>
      </c>
    </row>
    <row r="7" spans="1:13" ht="62" x14ac:dyDescent="0.35">
      <c r="A7" s="3" t="s">
        <v>208</v>
      </c>
      <c r="B7" s="4" t="s">
        <v>201</v>
      </c>
      <c r="C7" s="3">
        <v>15</v>
      </c>
      <c r="D7" s="3">
        <v>1</v>
      </c>
      <c r="E7" s="3">
        <v>68</v>
      </c>
      <c r="F7" s="3">
        <v>2</v>
      </c>
      <c r="G7" s="3">
        <v>0</v>
      </c>
      <c r="H7" s="3">
        <v>7</v>
      </c>
      <c r="I7" s="3">
        <v>8</v>
      </c>
      <c r="J7" s="3">
        <v>0</v>
      </c>
      <c r="K7" s="3">
        <v>372</v>
      </c>
      <c r="L7" s="3">
        <v>130</v>
      </c>
      <c r="M7" s="3">
        <v>0</v>
      </c>
    </row>
    <row r="8" spans="1:13" ht="62" x14ac:dyDescent="0.35">
      <c r="A8" s="3" t="s">
        <v>209</v>
      </c>
      <c r="B8" s="4" t="s">
        <v>202</v>
      </c>
      <c r="C8" s="3">
        <v>0</v>
      </c>
      <c r="D8" s="3">
        <v>0</v>
      </c>
      <c r="E8" s="3">
        <v>60</v>
      </c>
      <c r="F8" s="3">
        <v>0</v>
      </c>
      <c r="G8" s="3">
        <v>31</v>
      </c>
      <c r="H8" s="3">
        <v>0</v>
      </c>
      <c r="I8" s="3">
        <v>0</v>
      </c>
      <c r="J8" s="3">
        <v>16</v>
      </c>
      <c r="K8" s="3">
        <v>596</v>
      </c>
      <c r="L8" s="3">
        <v>54</v>
      </c>
      <c r="M8" s="3"/>
    </row>
    <row r="9" spans="1:13" ht="31" x14ac:dyDescent="0.35">
      <c r="A9" s="3" t="s">
        <v>210</v>
      </c>
      <c r="B9" s="4" t="s">
        <v>203</v>
      </c>
      <c r="C9" s="3">
        <v>2</v>
      </c>
      <c r="D9" s="3">
        <v>3</v>
      </c>
      <c r="E9" s="3">
        <v>28</v>
      </c>
      <c r="F9" s="3">
        <v>0</v>
      </c>
      <c r="G9" s="3">
        <v>23</v>
      </c>
      <c r="H9" s="3">
        <v>71</v>
      </c>
      <c r="I9" s="3">
        <v>70</v>
      </c>
      <c r="J9" s="3">
        <v>116</v>
      </c>
      <c r="K9" s="3">
        <v>334</v>
      </c>
      <c r="L9" s="3">
        <v>0</v>
      </c>
      <c r="M9" s="3">
        <v>0</v>
      </c>
    </row>
    <row r="10" spans="1:13" x14ac:dyDescent="0.35">
      <c r="A10" s="3" t="s">
        <v>199</v>
      </c>
      <c r="B10" s="4" t="s">
        <v>216</v>
      </c>
      <c r="C10" s="3">
        <v>0</v>
      </c>
      <c r="D10" s="3">
        <v>15</v>
      </c>
      <c r="E10" s="3">
        <v>5</v>
      </c>
      <c r="F10" s="3">
        <v>5</v>
      </c>
      <c r="G10" s="3">
        <v>25</v>
      </c>
      <c r="H10" s="3">
        <v>30</v>
      </c>
      <c r="I10" s="3">
        <v>4</v>
      </c>
      <c r="J10" s="3">
        <v>15</v>
      </c>
      <c r="K10" s="3">
        <v>50</v>
      </c>
      <c r="L10" s="3">
        <v>24</v>
      </c>
      <c r="M10" s="3">
        <v>67</v>
      </c>
    </row>
    <row r="11" spans="1:13" ht="46.5" x14ac:dyDescent="0.35">
      <c r="A11" s="3" t="s">
        <v>211</v>
      </c>
      <c r="B11" s="4" t="s">
        <v>558</v>
      </c>
      <c r="C11" s="3">
        <v>0</v>
      </c>
      <c r="D11" s="3">
        <v>0</v>
      </c>
      <c r="E11" s="3">
        <v>34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221</v>
      </c>
      <c r="L11" s="3">
        <v>0</v>
      </c>
      <c r="M11" s="3">
        <v>0</v>
      </c>
    </row>
    <row r="12" spans="1:13" ht="31" x14ac:dyDescent="0.35">
      <c r="A12" s="3" t="s">
        <v>212</v>
      </c>
      <c r="B12" s="4" t="s">
        <v>204</v>
      </c>
      <c r="C12" s="3">
        <v>0</v>
      </c>
      <c r="D12" s="3">
        <v>0</v>
      </c>
      <c r="E12" s="3">
        <v>44</v>
      </c>
      <c r="F12" s="3">
        <v>10</v>
      </c>
      <c r="G12" s="3">
        <v>0</v>
      </c>
      <c r="H12" s="3">
        <v>2</v>
      </c>
      <c r="I12" s="3">
        <v>0</v>
      </c>
      <c r="J12" s="3">
        <v>9</v>
      </c>
      <c r="K12" s="3">
        <v>112</v>
      </c>
      <c r="L12" s="3">
        <v>0</v>
      </c>
      <c r="M12" s="3">
        <v>0</v>
      </c>
    </row>
    <row r="13" spans="1:13" ht="31" x14ac:dyDescent="0.35">
      <c r="A13" s="3" t="s">
        <v>213</v>
      </c>
      <c r="B13" s="4" t="s">
        <v>363</v>
      </c>
      <c r="C13" s="3">
        <v>0</v>
      </c>
      <c r="D13" s="3">
        <v>0</v>
      </c>
      <c r="E13" s="3">
        <v>14</v>
      </c>
      <c r="F13" s="3">
        <v>51</v>
      </c>
      <c r="G13" s="3">
        <v>15</v>
      </c>
      <c r="H13" s="3">
        <v>1</v>
      </c>
      <c r="I13" s="3">
        <v>0</v>
      </c>
      <c r="J13" s="3">
        <v>13</v>
      </c>
      <c r="K13" s="3">
        <v>167</v>
      </c>
      <c r="L13" s="3">
        <v>0</v>
      </c>
      <c r="M13" s="3">
        <v>0</v>
      </c>
    </row>
    <row r="14" spans="1:13" ht="46.5" x14ac:dyDescent="0.35">
      <c r="A14" s="3" t="s">
        <v>214</v>
      </c>
      <c r="B14" s="4" t="s">
        <v>450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417</v>
      </c>
      <c r="L14" s="3">
        <v>0</v>
      </c>
      <c r="M14" s="3">
        <v>0</v>
      </c>
    </row>
    <row r="15" spans="1:13" ht="108.5" x14ac:dyDescent="0.35">
      <c r="A15" s="3" t="s">
        <v>196</v>
      </c>
      <c r="B15" s="4" t="s">
        <v>559</v>
      </c>
      <c r="C15" s="3">
        <v>1</v>
      </c>
      <c r="D15" s="3">
        <v>0</v>
      </c>
      <c r="E15" s="3">
        <v>45</v>
      </c>
      <c r="F15" s="3">
        <v>0</v>
      </c>
      <c r="G15" s="3">
        <v>2</v>
      </c>
      <c r="H15" s="3">
        <v>5</v>
      </c>
      <c r="I15" s="3">
        <v>0</v>
      </c>
      <c r="J15" s="3">
        <v>4</v>
      </c>
      <c r="K15" s="3">
        <v>845</v>
      </c>
      <c r="L15" s="3">
        <v>5</v>
      </c>
      <c r="M15" s="3">
        <v>8</v>
      </c>
    </row>
    <row r="16" spans="1:13" ht="31" x14ac:dyDescent="0.35">
      <c r="A16" s="3" t="s">
        <v>197</v>
      </c>
      <c r="B16" s="4" t="s">
        <v>364</v>
      </c>
      <c r="C16" s="3">
        <v>0</v>
      </c>
      <c r="D16" s="3">
        <v>0</v>
      </c>
      <c r="E16" s="3">
        <v>115</v>
      </c>
      <c r="F16" s="3">
        <v>0</v>
      </c>
      <c r="G16" s="3">
        <v>0</v>
      </c>
      <c r="H16" s="3">
        <v>0</v>
      </c>
      <c r="I16" s="3">
        <v>20</v>
      </c>
      <c r="J16" s="3">
        <v>100</v>
      </c>
      <c r="K16" s="3">
        <v>234</v>
      </c>
      <c r="L16" s="3">
        <v>0</v>
      </c>
      <c r="M16" s="3">
        <v>0</v>
      </c>
    </row>
    <row r="17" spans="1:13" s="16" customFormat="1" x14ac:dyDescent="0.35">
      <c r="A17" t="s">
        <v>451</v>
      </c>
      <c r="B17" s="2" t="s">
        <v>560</v>
      </c>
      <c r="C17" s="7">
        <f>SUM(Table27[American Sign Language Total])</f>
        <v>31</v>
      </c>
      <c r="D17" s="7">
        <f>SUM(Table27[Cantonese Total])</f>
        <v>19</v>
      </c>
      <c r="E17" s="7">
        <f>SUM(Table27[French Total])</f>
        <v>629</v>
      </c>
      <c r="F17" s="7">
        <f>SUM(Table27[German Total])</f>
        <v>75</v>
      </c>
      <c r="G17" s="7">
        <f>SUM(Table27[Japanese Total])</f>
        <v>126</v>
      </c>
      <c r="H17" s="7">
        <f>SUM(Table27[Korean Total])</f>
        <v>186</v>
      </c>
      <c r="I17" s="7">
        <f>SUM(Table27[Latin Total])</f>
        <v>102</v>
      </c>
      <c r="J17" s="7">
        <f>SUM(Table27[Mandarin Total])</f>
        <v>303</v>
      </c>
      <c r="K17" s="7">
        <f>SUM(Table27[Spanish Total])</f>
        <v>4963</v>
      </c>
      <c r="L17" s="7">
        <f>SUM(Table27[Vietnamese Total])</f>
        <v>224</v>
      </c>
      <c r="M17" s="7">
        <f>SUM(Table27[Other Total])</f>
        <v>79</v>
      </c>
    </row>
  </sheetData>
  <sortState xmlns:xlrd2="http://schemas.microsoft.com/office/spreadsheetml/2017/richdata2" ref="A2:A2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69140625" bestFit="1" customWidth="1"/>
    <col min="2" max="2" width="28.07421875" customWidth="1"/>
    <col min="3" max="3" width="17.23046875" customWidth="1"/>
    <col min="4" max="4" width="10.3046875" customWidth="1"/>
    <col min="5" max="5" width="7.69140625" customWidth="1"/>
    <col min="6" max="6" width="8.07421875" customWidth="1"/>
    <col min="7" max="7" width="9.07421875" customWidth="1"/>
    <col min="8" max="8" width="7.84375" customWidth="1"/>
    <col min="9" max="9" width="7.3046875" customWidth="1"/>
    <col min="10" max="10" width="9.4609375" customWidth="1"/>
    <col min="11" max="11" width="8.3046875" customWidth="1"/>
    <col min="12" max="12" width="11.3046875" customWidth="1"/>
    <col min="13" max="13" width="7.84375" customWidth="1"/>
  </cols>
  <sheetData>
    <row r="1" spans="1:13" ht="20" x14ac:dyDescent="0.4">
      <c r="A1" s="15" t="s">
        <v>337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220</v>
      </c>
      <c r="B3" s="4" t="s">
        <v>365</v>
      </c>
      <c r="C3" s="3">
        <v>0</v>
      </c>
      <c r="D3" s="3">
        <v>0</v>
      </c>
      <c r="E3" s="3">
        <v>9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77</v>
      </c>
      <c r="L3" s="3">
        <v>0</v>
      </c>
      <c r="M3" s="3">
        <v>0</v>
      </c>
    </row>
    <row r="4" spans="1:13" ht="31" x14ac:dyDescent="0.35">
      <c r="A4" s="3" t="s">
        <v>217</v>
      </c>
      <c r="B4" s="4" t="s">
        <v>218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2</v>
      </c>
      <c r="K4" s="3">
        <v>14</v>
      </c>
      <c r="L4" s="3">
        <v>0</v>
      </c>
      <c r="M4" s="3">
        <v>0</v>
      </c>
    </row>
    <row r="5" spans="1:13" ht="46.5" x14ac:dyDescent="0.35">
      <c r="A5" s="3" t="s">
        <v>221</v>
      </c>
      <c r="B5" s="4" t="s">
        <v>366</v>
      </c>
      <c r="C5" s="3">
        <v>0</v>
      </c>
      <c r="D5" s="3">
        <v>0</v>
      </c>
      <c r="E5" s="3">
        <v>27</v>
      </c>
      <c r="F5" s="3">
        <v>0</v>
      </c>
      <c r="G5" s="3">
        <v>8</v>
      </c>
      <c r="H5" s="3">
        <v>0</v>
      </c>
      <c r="I5" s="3">
        <v>0</v>
      </c>
      <c r="J5" s="3">
        <v>0</v>
      </c>
      <c r="K5" s="3">
        <v>193</v>
      </c>
      <c r="L5" s="3">
        <v>0</v>
      </c>
      <c r="M5" s="3">
        <v>4</v>
      </c>
    </row>
    <row r="6" spans="1:13" ht="31" x14ac:dyDescent="0.35">
      <c r="A6" s="3" t="s">
        <v>222</v>
      </c>
      <c r="B6" s="4" t="s">
        <v>219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38</v>
      </c>
      <c r="L6" s="3">
        <v>0</v>
      </c>
      <c r="M6" s="3">
        <v>0</v>
      </c>
    </row>
    <row r="7" spans="1:13" ht="31" x14ac:dyDescent="0.35">
      <c r="A7" s="3" t="s">
        <v>223</v>
      </c>
      <c r="B7" s="4" t="s">
        <v>561</v>
      </c>
      <c r="C7" s="3">
        <v>0</v>
      </c>
      <c r="D7" s="3">
        <v>0</v>
      </c>
      <c r="E7" s="3">
        <v>5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7</v>
      </c>
      <c r="L7" s="3">
        <v>0</v>
      </c>
      <c r="M7" s="3">
        <v>0</v>
      </c>
    </row>
    <row r="8" spans="1:13" s="2" customFormat="1" x14ac:dyDescent="0.35">
      <c r="A8" s="16" t="s">
        <v>224</v>
      </c>
      <c r="B8" s="2" t="s">
        <v>404</v>
      </c>
      <c r="C8" s="2">
        <f>SUM(Table28[American Sign Language Total])</f>
        <v>0</v>
      </c>
      <c r="D8" s="2">
        <f>SUM(Table28[Cantonese Total])</f>
        <v>0</v>
      </c>
      <c r="E8" s="2">
        <f>SUM(Table28[French Total])</f>
        <v>41</v>
      </c>
      <c r="F8" s="2">
        <f>SUM(Table28[German Total])</f>
        <v>0</v>
      </c>
      <c r="G8" s="2">
        <f>SUM(Table28[Japanese Total])</f>
        <v>8</v>
      </c>
      <c r="H8" s="2">
        <f>SUM(Table28[Korean Total])</f>
        <v>0</v>
      </c>
      <c r="I8" s="2">
        <f>SUM(Table28[Latin Total])</f>
        <v>0</v>
      </c>
      <c r="J8" s="2">
        <f>SUM(Table28[Mandarin Total])</f>
        <v>2</v>
      </c>
      <c r="K8" s="2">
        <f>SUM(Table28[Spanish Total])</f>
        <v>329</v>
      </c>
      <c r="L8" s="2">
        <f>SUM(Table28[Vietnamese Total])</f>
        <v>0</v>
      </c>
      <c r="M8" s="2">
        <f>SUM(Table28[Other Total])</f>
        <v>4</v>
      </c>
    </row>
  </sheetData>
  <sortState xmlns:xlrd2="http://schemas.microsoft.com/office/spreadsheetml/2017/richdata2" ref="A2:A7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69140625" bestFit="1" customWidth="1"/>
    <col min="2" max="2" width="23.84375" customWidth="1"/>
    <col min="3" max="3" width="16.84375" customWidth="1"/>
    <col min="4" max="4" width="10.23046875" customWidth="1"/>
    <col min="5" max="5" width="7.69140625" customWidth="1"/>
    <col min="6" max="6" width="7.84375" customWidth="1"/>
    <col min="7" max="7" width="9.23046875" customWidth="1"/>
    <col min="8" max="9" width="7.69140625" customWidth="1"/>
    <col min="10" max="10" width="9.53515625" customWidth="1"/>
    <col min="11" max="11" width="8.4609375" customWidth="1"/>
    <col min="12" max="12" width="11.07421875" customWidth="1"/>
    <col min="13" max="13" width="7.4609375" customWidth="1"/>
  </cols>
  <sheetData>
    <row r="1" spans="1:13" ht="20" x14ac:dyDescent="0.4">
      <c r="A1" s="15" t="s">
        <v>338</v>
      </c>
    </row>
    <row r="2" spans="1:13" ht="31" x14ac:dyDescent="0.35">
      <c r="A2" s="3" t="s">
        <v>622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226</v>
      </c>
      <c r="B3" s="4" t="s">
        <v>562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</v>
      </c>
      <c r="L3" s="3">
        <v>0</v>
      </c>
      <c r="M3" s="3">
        <v>0</v>
      </c>
    </row>
    <row r="4" spans="1:13" s="2" customFormat="1" x14ac:dyDescent="0.35">
      <c r="A4" s="16" t="s">
        <v>227</v>
      </c>
      <c r="B4" s="2" t="s">
        <v>28</v>
      </c>
      <c r="C4" s="2">
        <f>SUM(Table29[American Sign Language Total])</f>
        <v>0</v>
      </c>
      <c r="D4" s="2">
        <f>SUM(Table29[Cantonese Total])</f>
        <v>0</v>
      </c>
      <c r="E4" s="2">
        <f>SUM(Table29[French Total])</f>
        <v>0</v>
      </c>
      <c r="F4" s="2">
        <f>SUM(Table29[German Total])</f>
        <v>0</v>
      </c>
      <c r="G4" s="2">
        <f>SUM(Table29[Japanese Total])</f>
        <v>0</v>
      </c>
      <c r="H4" s="2">
        <f>SUM(Table29[Korean Total])</f>
        <v>0</v>
      </c>
      <c r="I4" s="2">
        <f>SUM(Table29[Latin Total])</f>
        <v>0</v>
      </c>
      <c r="J4" s="2">
        <f>SUM(Table29[Mandarin Total])</f>
        <v>0</v>
      </c>
      <c r="K4" s="2">
        <f>SUM(Table29[Spanish Total])</f>
        <v>2</v>
      </c>
      <c r="L4" s="2">
        <f>SUM(Table29[Vietnamese Total])</f>
        <v>0</v>
      </c>
      <c r="M4" s="2">
        <f>SUM(Table29[Other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3.84375" customWidth="1"/>
    <col min="2" max="2" width="27.3046875" customWidth="1"/>
    <col min="3" max="3" width="16.765625" customWidth="1"/>
    <col min="4" max="4" width="10.69140625" customWidth="1"/>
    <col min="5" max="5" width="7.53515625" customWidth="1"/>
    <col min="6" max="6" width="8.23046875" customWidth="1"/>
    <col min="7" max="7" width="9.3046875" customWidth="1"/>
    <col min="8" max="8" width="7.69140625" customWidth="1"/>
    <col min="9" max="9" width="7.53515625" customWidth="1"/>
    <col min="10" max="10" width="9.3046875" customWidth="1"/>
    <col min="11" max="11" width="8.4609375" customWidth="1"/>
    <col min="12" max="12" width="11.23046875" customWidth="1"/>
    <col min="13" max="13" width="7.84375" customWidth="1"/>
  </cols>
  <sheetData>
    <row r="1" spans="1:13" s="15" customFormat="1" ht="20" x14ac:dyDescent="0.4">
      <c r="A1" s="15" t="s">
        <v>339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241</v>
      </c>
      <c r="B3" s="4" t="s">
        <v>565</v>
      </c>
      <c r="C3" s="3">
        <v>0</v>
      </c>
      <c r="D3" s="3">
        <v>0</v>
      </c>
      <c r="E3" s="3">
        <v>2</v>
      </c>
      <c r="F3" s="3">
        <v>0</v>
      </c>
      <c r="G3" s="3">
        <v>0</v>
      </c>
      <c r="H3" s="3">
        <v>1</v>
      </c>
      <c r="I3" s="3">
        <v>0</v>
      </c>
      <c r="J3" s="3">
        <v>0</v>
      </c>
      <c r="K3" s="3">
        <v>69</v>
      </c>
      <c r="L3" s="3">
        <v>0</v>
      </c>
      <c r="M3" s="3">
        <v>0</v>
      </c>
    </row>
    <row r="4" spans="1:13" x14ac:dyDescent="0.35">
      <c r="A4" s="3" t="s">
        <v>230</v>
      </c>
      <c r="B4" s="4" t="s">
        <v>246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13</v>
      </c>
      <c r="L4" s="3">
        <v>0</v>
      </c>
      <c r="M4" s="3">
        <v>0</v>
      </c>
    </row>
    <row r="5" spans="1:13" x14ac:dyDescent="0.35">
      <c r="A5" s="3" t="s">
        <v>231</v>
      </c>
      <c r="B5" s="4" t="s">
        <v>237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49</v>
      </c>
      <c r="L5" s="3">
        <v>0</v>
      </c>
      <c r="M5" s="3">
        <v>0</v>
      </c>
    </row>
    <row r="6" spans="1:13" ht="31" x14ac:dyDescent="0.35">
      <c r="A6" s="3" t="s">
        <v>232</v>
      </c>
      <c r="B6" s="4" t="s">
        <v>238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210</v>
      </c>
      <c r="L6" s="3">
        <v>0</v>
      </c>
      <c r="M6" s="3">
        <v>0</v>
      </c>
    </row>
    <row r="7" spans="1:13" ht="62" x14ac:dyDescent="0.35">
      <c r="A7" s="3" t="s">
        <v>242</v>
      </c>
      <c r="B7" s="4" t="s">
        <v>566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370</v>
      </c>
      <c r="L7" s="3">
        <v>0</v>
      </c>
      <c r="M7" s="3">
        <v>0</v>
      </c>
    </row>
    <row r="8" spans="1:13" x14ac:dyDescent="0.35">
      <c r="A8" s="3" t="s">
        <v>233</v>
      </c>
      <c r="B8" s="4" t="s">
        <v>563</v>
      </c>
      <c r="C8" s="3">
        <v>0</v>
      </c>
      <c r="D8" s="3">
        <v>0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6</v>
      </c>
      <c r="L8" s="3">
        <v>0</v>
      </c>
      <c r="M8" s="3">
        <v>1</v>
      </c>
    </row>
    <row r="9" spans="1:13" ht="31" x14ac:dyDescent="0.35">
      <c r="A9" s="3" t="s">
        <v>243</v>
      </c>
      <c r="B9" s="4" t="s">
        <v>564</v>
      </c>
      <c r="C9" s="3">
        <v>0</v>
      </c>
      <c r="D9" s="3">
        <v>0</v>
      </c>
      <c r="E9" s="3">
        <v>1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38</v>
      </c>
      <c r="L9" s="3">
        <v>0</v>
      </c>
      <c r="M9" s="3">
        <v>0</v>
      </c>
    </row>
    <row r="10" spans="1:13" ht="62" x14ac:dyDescent="0.35">
      <c r="A10" s="3" t="s">
        <v>234</v>
      </c>
      <c r="B10" s="4" t="s">
        <v>567</v>
      </c>
      <c r="C10" s="3">
        <v>0</v>
      </c>
      <c r="D10" s="3">
        <v>0</v>
      </c>
      <c r="E10" s="3">
        <v>6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v>73</v>
      </c>
      <c r="L10" s="3">
        <v>0</v>
      </c>
      <c r="M10" s="3">
        <v>0</v>
      </c>
    </row>
    <row r="11" spans="1:13" ht="31" x14ac:dyDescent="0.35">
      <c r="A11" s="3" t="s">
        <v>247</v>
      </c>
      <c r="B11" s="4" t="s">
        <v>568</v>
      </c>
      <c r="C11" s="3">
        <v>21</v>
      </c>
      <c r="D11" s="3">
        <v>0</v>
      </c>
      <c r="E11" s="3">
        <v>50</v>
      </c>
      <c r="F11" s="3">
        <v>4</v>
      </c>
      <c r="G11" s="3">
        <v>0</v>
      </c>
      <c r="H11" s="3">
        <v>0</v>
      </c>
      <c r="I11" s="3">
        <v>0</v>
      </c>
      <c r="J11" s="3">
        <v>2</v>
      </c>
      <c r="K11" s="3">
        <v>97</v>
      </c>
      <c r="L11" s="3">
        <v>0</v>
      </c>
      <c r="M11" s="3">
        <v>0</v>
      </c>
    </row>
    <row r="12" spans="1:13" ht="31" x14ac:dyDescent="0.35">
      <c r="A12" s="3" t="s">
        <v>244</v>
      </c>
      <c r="B12" s="4" t="s">
        <v>452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23</v>
      </c>
      <c r="J12" s="3">
        <v>0</v>
      </c>
      <c r="K12" s="3">
        <v>41</v>
      </c>
      <c r="L12" s="3">
        <v>0</v>
      </c>
      <c r="M12" s="3">
        <v>0</v>
      </c>
    </row>
    <row r="13" spans="1:13" ht="31" x14ac:dyDescent="0.35">
      <c r="A13" s="3" t="s">
        <v>245</v>
      </c>
      <c r="B13" s="4" t="s">
        <v>239</v>
      </c>
      <c r="C13" s="3">
        <v>7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106</v>
      </c>
      <c r="L13" s="3">
        <v>0</v>
      </c>
      <c r="M13" s="3">
        <v>0</v>
      </c>
    </row>
    <row r="14" spans="1:13" ht="77.5" x14ac:dyDescent="0.35">
      <c r="A14" s="3" t="s">
        <v>228</v>
      </c>
      <c r="B14" s="4" t="s">
        <v>569</v>
      </c>
      <c r="C14" s="3">
        <v>0</v>
      </c>
      <c r="D14" s="3">
        <v>0</v>
      </c>
      <c r="E14" s="3">
        <v>17</v>
      </c>
      <c r="F14" s="3">
        <v>0</v>
      </c>
      <c r="G14" s="3">
        <v>0</v>
      </c>
      <c r="H14" s="3">
        <v>2</v>
      </c>
      <c r="I14" s="3">
        <v>0</v>
      </c>
      <c r="J14" s="3">
        <v>21</v>
      </c>
      <c r="K14" s="3">
        <v>243</v>
      </c>
      <c r="L14" s="3">
        <v>0</v>
      </c>
      <c r="M14" s="3">
        <v>0</v>
      </c>
    </row>
    <row r="15" spans="1:13" ht="31" x14ac:dyDescent="0.35">
      <c r="A15" s="3" t="s">
        <v>235</v>
      </c>
      <c r="B15" s="4" t="s">
        <v>240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45</v>
      </c>
      <c r="L15" s="3">
        <v>0</v>
      </c>
      <c r="M15" s="3">
        <v>1</v>
      </c>
    </row>
    <row r="16" spans="1:13" ht="46.5" x14ac:dyDescent="0.35">
      <c r="A16" s="3" t="s">
        <v>229</v>
      </c>
      <c r="B16" s="4" t="s">
        <v>453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275</v>
      </c>
      <c r="L16" s="3">
        <v>0</v>
      </c>
      <c r="M16" s="3">
        <v>0</v>
      </c>
    </row>
    <row r="17" spans="1:13" ht="31" x14ac:dyDescent="0.35">
      <c r="A17" s="3" t="s">
        <v>236</v>
      </c>
      <c r="B17" s="4" t="s">
        <v>454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86</v>
      </c>
      <c r="L17" s="3">
        <v>0</v>
      </c>
      <c r="M17" s="3">
        <v>0</v>
      </c>
    </row>
    <row r="18" spans="1:13" s="2" customFormat="1" x14ac:dyDescent="0.35">
      <c r="A18" s="16" t="s">
        <v>570</v>
      </c>
      <c r="B18" s="2" t="s">
        <v>571</v>
      </c>
      <c r="C18" s="7">
        <f>SUM(Table31[American Sign Language Total])</f>
        <v>28</v>
      </c>
      <c r="D18" s="7">
        <f>SUM(Table31[Cantonese Total])</f>
        <v>0</v>
      </c>
      <c r="E18" s="7">
        <f>SUM(Table31[French Total])</f>
        <v>78</v>
      </c>
      <c r="F18" s="7">
        <f>SUM(Table31[German Total])</f>
        <v>5</v>
      </c>
      <c r="G18" s="7">
        <f>SUM(Table31[Japanese Total])</f>
        <v>1</v>
      </c>
      <c r="H18" s="7">
        <f>SUM(Table31[Korean Total])</f>
        <v>3</v>
      </c>
      <c r="I18" s="7">
        <f>SUM(Table31[Latin Total])</f>
        <v>23</v>
      </c>
      <c r="J18" s="7">
        <f>SUM(Table31[Mandarin Total])</f>
        <v>24</v>
      </c>
      <c r="K18" s="7">
        <f>SUM(Table31[Spanish Total])</f>
        <v>1721</v>
      </c>
      <c r="L18" s="7">
        <f>SUM(Table31[Vietnamese Total])</f>
        <v>0</v>
      </c>
      <c r="M18" s="7">
        <f>SUM(Table31[Other Total])</f>
        <v>2</v>
      </c>
    </row>
  </sheetData>
  <sortState xmlns:xlrd2="http://schemas.microsoft.com/office/spreadsheetml/2017/richdata2" ref="A2:A33">
    <sortCondition ref="A3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69140625" bestFit="1" customWidth="1"/>
    <col min="2" max="2" width="26.84375" customWidth="1"/>
    <col min="3" max="3" width="17" customWidth="1"/>
    <col min="4" max="4" width="10.4609375" customWidth="1"/>
    <col min="5" max="5" width="7.765625" customWidth="1"/>
    <col min="6" max="6" width="8" customWidth="1"/>
    <col min="7" max="7" width="9.69140625" customWidth="1"/>
    <col min="8" max="8" width="7.84375" customWidth="1"/>
    <col min="9" max="9" width="7.3046875" customWidth="1"/>
    <col min="10" max="10" width="9.53515625" customWidth="1"/>
    <col min="11" max="11" width="8.07421875" customWidth="1"/>
    <col min="12" max="12" width="11.23046875" customWidth="1"/>
    <col min="13" max="13" width="7.53515625" customWidth="1"/>
  </cols>
  <sheetData>
    <row r="1" spans="1:13" ht="20" x14ac:dyDescent="0.4">
      <c r="A1" s="15" t="s">
        <v>439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253</v>
      </c>
      <c r="B3" t="s">
        <v>258</v>
      </c>
      <c r="C3">
        <v>0</v>
      </c>
      <c r="D3">
        <v>0</v>
      </c>
      <c r="E3">
        <v>2</v>
      </c>
      <c r="F3">
        <v>0</v>
      </c>
      <c r="G3">
        <v>0</v>
      </c>
      <c r="H3">
        <v>0</v>
      </c>
      <c r="I3">
        <v>0</v>
      </c>
      <c r="J3">
        <v>0</v>
      </c>
      <c r="K3">
        <v>25</v>
      </c>
      <c r="L3">
        <v>0</v>
      </c>
      <c r="M3">
        <v>9</v>
      </c>
    </row>
    <row r="4" spans="1:13" ht="108.5" x14ac:dyDescent="0.35">
      <c r="A4" s="3" t="s">
        <v>254</v>
      </c>
      <c r="B4" s="4" t="s">
        <v>573</v>
      </c>
      <c r="C4" s="3">
        <v>0</v>
      </c>
      <c r="D4" s="3">
        <v>2</v>
      </c>
      <c r="E4" s="3">
        <v>53</v>
      </c>
      <c r="F4" s="3">
        <v>6</v>
      </c>
      <c r="G4" s="3">
        <v>51</v>
      </c>
      <c r="H4" s="3">
        <v>2</v>
      </c>
      <c r="I4" s="3">
        <v>2</v>
      </c>
      <c r="J4" s="3">
        <v>2</v>
      </c>
      <c r="K4" s="3">
        <v>340</v>
      </c>
      <c r="L4" s="3">
        <v>0</v>
      </c>
      <c r="M4" s="3">
        <v>2</v>
      </c>
    </row>
    <row r="5" spans="1:13" ht="31" x14ac:dyDescent="0.35">
      <c r="A5" s="3" t="s">
        <v>455</v>
      </c>
      <c r="B5" s="4" t="s">
        <v>456</v>
      </c>
      <c r="C5" s="3">
        <v>0</v>
      </c>
      <c r="D5" s="3">
        <v>0</v>
      </c>
      <c r="E5" s="3">
        <v>37</v>
      </c>
      <c r="F5" s="3">
        <v>17</v>
      </c>
      <c r="G5" s="3">
        <v>2</v>
      </c>
      <c r="H5" s="3">
        <v>2</v>
      </c>
      <c r="I5" s="3">
        <v>0</v>
      </c>
      <c r="J5" s="3">
        <v>8</v>
      </c>
      <c r="K5" s="3">
        <v>85</v>
      </c>
      <c r="L5" s="3">
        <v>4</v>
      </c>
      <c r="M5" s="3">
        <v>30</v>
      </c>
    </row>
    <row r="6" spans="1:13" x14ac:dyDescent="0.35">
      <c r="A6" s="3" t="s">
        <v>255</v>
      </c>
      <c r="B6" s="4" t="s">
        <v>251</v>
      </c>
      <c r="C6" s="3">
        <v>0</v>
      </c>
      <c r="D6" s="3">
        <v>0</v>
      </c>
      <c r="E6" s="3">
        <v>0</v>
      </c>
      <c r="F6" s="3">
        <v>6</v>
      </c>
      <c r="G6" s="3">
        <v>0</v>
      </c>
      <c r="H6" s="3">
        <v>0</v>
      </c>
      <c r="I6" s="3">
        <v>0</v>
      </c>
      <c r="J6" s="3">
        <v>0</v>
      </c>
      <c r="K6" s="3">
        <v>40</v>
      </c>
      <c r="L6" s="3">
        <v>0</v>
      </c>
      <c r="M6" s="3">
        <v>0</v>
      </c>
    </row>
    <row r="7" spans="1:13" x14ac:dyDescent="0.35">
      <c r="A7" s="3" t="s">
        <v>249</v>
      </c>
      <c r="B7" s="4" t="s">
        <v>572</v>
      </c>
      <c r="C7" s="3">
        <v>0</v>
      </c>
      <c r="D7" s="3">
        <v>0</v>
      </c>
      <c r="E7" s="3">
        <v>11</v>
      </c>
      <c r="F7" s="3">
        <v>1</v>
      </c>
      <c r="G7" s="3">
        <v>0</v>
      </c>
      <c r="H7" s="3">
        <v>0</v>
      </c>
      <c r="I7" s="3">
        <v>0</v>
      </c>
      <c r="J7" s="3">
        <v>0</v>
      </c>
      <c r="K7" s="3">
        <v>37</v>
      </c>
      <c r="L7" s="3">
        <v>0</v>
      </c>
      <c r="M7" s="3">
        <v>8</v>
      </c>
    </row>
    <row r="8" spans="1:13" x14ac:dyDescent="0.35">
      <c r="A8" s="3" t="s">
        <v>256</v>
      </c>
      <c r="B8" s="4" t="s">
        <v>252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13</v>
      </c>
      <c r="L8" s="3">
        <v>0</v>
      </c>
      <c r="M8" s="3">
        <v>0</v>
      </c>
    </row>
    <row r="9" spans="1:13" ht="108.5" x14ac:dyDescent="0.35">
      <c r="A9" s="3" t="s">
        <v>250</v>
      </c>
      <c r="B9" s="4" t="s">
        <v>574</v>
      </c>
      <c r="C9" s="3">
        <v>0</v>
      </c>
      <c r="D9" s="3">
        <v>0</v>
      </c>
      <c r="E9" s="3">
        <v>40</v>
      </c>
      <c r="F9" s="3">
        <v>9</v>
      </c>
      <c r="G9" s="3">
        <v>27</v>
      </c>
      <c r="H9" s="3">
        <v>0</v>
      </c>
      <c r="I9" s="3">
        <v>14</v>
      </c>
      <c r="J9" s="3">
        <v>10</v>
      </c>
      <c r="K9" s="3">
        <v>74</v>
      </c>
      <c r="L9" s="3">
        <v>0</v>
      </c>
      <c r="M9" s="3">
        <v>10</v>
      </c>
    </row>
    <row r="10" spans="1:13" ht="139.5" x14ac:dyDescent="0.35">
      <c r="A10" s="3" t="s">
        <v>257</v>
      </c>
      <c r="B10" s="4" t="s">
        <v>575</v>
      </c>
      <c r="C10" s="3">
        <v>0</v>
      </c>
      <c r="D10" s="3">
        <v>0</v>
      </c>
      <c r="E10" s="3">
        <v>94</v>
      </c>
      <c r="F10" s="3">
        <v>4</v>
      </c>
      <c r="G10" s="3">
        <v>35</v>
      </c>
      <c r="H10" s="3">
        <v>3</v>
      </c>
      <c r="I10" s="3">
        <v>0</v>
      </c>
      <c r="J10" s="3">
        <v>44</v>
      </c>
      <c r="K10" s="3">
        <v>225</v>
      </c>
      <c r="L10" s="3">
        <v>0</v>
      </c>
      <c r="M10" s="3">
        <v>16</v>
      </c>
    </row>
    <row r="11" spans="1:13" ht="93" x14ac:dyDescent="0.35">
      <c r="A11" s="3" t="s">
        <v>248</v>
      </c>
      <c r="B11" s="4" t="s">
        <v>576</v>
      </c>
      <c r="C11" s="3">
        <v>0</v>
      </c>
      <c r="D11" s="3">
        <v>0</v>
      </c>
      <c r="E11" s="3">
        <v>7</v>
      </c>
      <c r="F11" s="3">
        <v>20</v>
      </c>
      <c r="G11" s="3">
        <v>0</v>
      </c>
      <c r="H11" s="3">
        <v>0</v>
      </c>
      <c r="I11" s="3">
        <v>0</v>
      </c>
      <c r="J11" s="3">
        <v>0</v>
      </c>
      <c r="K11" s="3">
        <v>78</v>
      </c>
      <c r="L11" s="3">
        <v>0</v>
      </c>
      <c r="M11" s="3">
        <v>29</v>
      </c>
    </row>
    <row r="12" spans="1:13" s="2" customFormat="1" x14ac:dyDescent="0.35">
      <c r="A12" s="16" t="s">
        <v>464</v>
      </c>
      <c r="B12" s="7" t="s">
        <v>463</v>
      </c>
      <c r="C12" s="7">
        <f>SUM(Table32[American Sign Language Total])</f>
        <v>0</v>
      </c>
      <c r="D12" s="7">
        <f>SUM(Table32[Cantonese Total])</f>
        <v>2</v>
      </c>
      <c r="E12" s="7">
        <f>SUM(Table32[French Total])</f>
        <v>244</v>
      </c>
      <c r="F12" s="7">
        <f>SUM(Table32[German Total])</f>
        <v>63</v>
      </c>
      <c r="G12" s="7">
        <f>SUM(Table32[Japanese Total])</f>
        <v>115</v>
      </c>
      <c r="H12" s="7">
        <f>SUM(Table32[Korean Total])</f>
        <v>7</v>
      </c>
      <c r="I12" s="7">
        <f>SUM(Table32[Latin Total])</f>
        <v>16</v>
      </c>
      <c r="J12" s="7">
        <f>SUM(Table32[Mandarin Total])</f>
        <v>64</v>
      </c>
      <c r="K12" s="7">
        <f>SUM(Table32[Spanish Total])</f>
        <v>917</v>
      </c>
      <c r="L12" s="7">
        <f>SUM(Table32[Vietnamese Total])</f>
        <v>4</v>
      </c>
      <c r="M12" s="7">
        <f>SUM(Table32[Other Total])</f>
        <v>104</v>
      </c>
    </row>
  </sheetData>
  <sortState xmlns:xlrd2="http://schemas.microsoft.com/office/spreadsheetml/2017/richdata2" ref="A2:A1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69140625" bestFit="1" customWidth="1"/>
    <col min="2" max="2" width="14.69140625" customWidth="1"/>
    <col min="3" max="3" width="17" customWidth="1"/>
    <col min="4" max="4" width="10.3046875" customWidth="1"/>
    <col min="5" max="5" width="7.765625" customWidth="1"/>
    <col min="6" max="6" width="8.07421875" customWidth="1"/>
    <col min="7" max="7" width="9.69140625" customWidth="1"/>
    <col min="8" max="8" width="7.69140625" customWidth="1"/>
    <col min="9" max="9" width="7.4609375" customWidth="1"/>
    <col min="10" max="10" width="9.07421875" customWidth="1"/>
    <col min="11" max="11" width="8.07421875" customWidth="1"/>
    <col min="12" max="12" width="11.07421875" customWidth="1"/>
    <col min="13" max="13" width="7.84375" customWidth="1"/>
  </cols>
  <sheetData>
    <row r="1" spans="1:13" ht="20" x14ac:dyDescent="0.4">
      <c r="A1" s="15" t="s">
        <v>341</v>
      </c>
    </row>
    <row r="2" spans="1:13" ht="31" x14ac:dyDescent="0.35">
      <c r="A2" s="3" t="s">
        <v>622</v>
      </c>
      <c r="B2" s="4" t="s">
        <v>623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259</v>
      </c>
      <c r="B3" t="s">
        <v>259</v>
      </c>
      <c r="C3">
        <v>13</v>
      </c>
      <c r="D3">
        <v>0</v>
      </c>
      <c r="E3">
        <v>19</v>
      </c>
      <c r="F3">
        <v>0</v>
      </c>
      <c r="G3">
        <v>0</v>
      </c>
      <c r="H3">
        <v>0</v>
      </c>
      <c r="I3">
        <v>0</v>
      </c>
      <c r="J3">
        <v>0</v>
      </c>
      <c r="K3">
        <v>40</v>
      </c>
      <c r="L3">
        <v>0</v>
      </c>
      <c r="M3">
        <v>0</v>
      </c>
    </row>
    <row r="4" spans="1:13" s="2" customFormat="1" x14ac:dyDescent="0.35">
      <c r="A4" s="16" t="s">
        <v>536</v>
      </c>
      <c r="B4" s="7" t="s">
        <v>34</v>
      </c>
      <c r="C4" s="7">
        <f>SUM(Table3216[American Sign Language Total])</f>
        <v>13</v>
      </c>
      <c r="D4" s="7">
        <f>SUM(Table3216[Cantonese Total])</f>
        <v>0</v>
      </c>
      <c r="E4" s="7">
        <f>SUM(Table3216[French Total])</f>
        <v>19</v>
      </c>
      <c r="F4" s="7">
        <f>SUM(Table3216[German Total])</f>
        <v>0</v>
      </c>
      <c r="G4" s="7">
        <f>SUM(Table3216[Japanese Total])</f>
        <v>0</v>
      </c>
      <c r="H4" s="7">
        <f>SUM(Table3216[Korean Total])</f>
        <v>0</v>
      </c>
      <c r="I4" s="7">
        <f>SUM(Table3216[Latin Total])</f>
        <v>0</v>
      </c>
      <c r="J4" s="7">
        <f>SUM(Table3216[Mandarin Total])</f>
        <v>0</v>
      </c>
      <c r="K4" s="7">
        <f>SUM(Table3216[Spanish Total])</f>
        <v>40</v>
      </c>
      <c r="L4" s="7">
        <f>SUM(Table3216[Vietnamese Total])</f>
        <v>0</v>
      </c>
      <c r="M4" s="7">
        <f>SUM(Table3216[Other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1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9.53515625" customWidth="1"/>
    <col min="2" max="2" width="27.07421875" customWidth="1"/>
    <col min="3" max="3" width="17.07421875" customWidth="1"/>
    <col min="4" max="4" width="10.07421875" customWidth="1"/>
    <col min="5" max="5" width="7.4609375" customWidth="1"/>
    <col min="6" max="6" width="7.84375" customWidth="1"/>
    <col min="7" max="7" width="9.3046875" customWidth="1"/>
    <col min="8" max="8" width="7.53515625" customWidth="1"/>
    <col min="9" max="9" width="7.3046875" customWidth="1"/>
    <col min="10" max="10" width="9.3046875" customWidth="1"/>
    <col min="11" max="11" width="8" customWidth="1"/>
    <col min="12" max="12" width="11.07421875" customWidth="1"/>
    <col min="13" max="13" width="7.765625" customWidth="1"/>
  </cols>
  <sheetData>
    <row r="1" spans="1:13" ht="20" x14ac:dyDescent="0.4">
      <c r="A1" s="15" t="s">
        <v>342</v>
      </c>
    </row>
    <row r="2" spans="1:13" ht="31" x14ac:dyDescent="0.35">
      <c r="A2" s="3" t="s">
        <v>4</v>
      </c>
      <c r="B2" s="3" t="s">
        <v>5</v>
      </c>
      <c r="C2" s="1" t="s">
        <v>6</v>
      </c>
      <c r="D2" s="1" t="s">
        <v>7</v>
      </c>
      <c r="E2" s="1" t="s">
        <v>8</v>
      </c>
      <c r="F2" s="1" t="s">
        <v>27</v>
      </c>
      <c r="G2" s="1" t="s">
        <v>98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ht="31" x14ac:dyDescent="0.35">
      <c r="A3" s="3" t="s">
        <v>264</v>
      </c>
      <c r="B3" s="4" t="s">
        <v>262</v>
      </c>
      <c r="C3" s="3">
        <v>0</v>
      </c>
      <c r="D3" s="3">
        <v>0</v>
      </c>
      <c r="E3" s="3">
        <v>5</v>
      </c>
      <c r="F3" s="3">
        <v>0</v>
      </c>
      <c r="G3" s="3">
        <v>1</v>
      </c>
      <c r="H3" s="3">
        <v>1</v>
      </c>
      <c r="I3" s="3">
        <v>0</v>
      </c>
      <c r="J3" s="3">
        <v>0</v>
      </c>
      <c r="K3" s="3">
        <v>39</v>
      </c>
      <c r="L3" s="3">
        <v>0</v>
      </c>
      <c r="M3" s="3">
        <v>2</v>
      </c>
    </row>
    <row r="4" spans="1:13" x14ac:dyDescent="0.35">
      <c r="A4" s="3" t="s">
        <v>457</v>
      </c>
      <c r="B4" s="4" t="s">
        <v>458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</v>
      </c>
      <c r="L4" s="3">
        <v>0</v>
      </c>
      <c r="M4" s="3">
        <v>0</v>
      </c>
    </row>
    <row r="5" spans="1:13" ht="77.5" x14ac:dyDescent="0.35">
      <c r="A5" s="3" t="s">
        <v>265</v>
      </c>
      <c r="B5" s="4" t="s">
        <v>459</v>
      </c>
      <c r="C5" s="3">
        <v>0</v>
      </c>
      <c r="D5" s="3">
        <v>0</v>
      </c>
      <c r="E5" s="3">
        <v>71</v>
      </c>
      <c r="F5" s="3">
        <v>0</v>
      </c>
      <c r="G5" s="3">
        <v>0</v>
      </c>
      <c r="H5" s="3">
        <v>0</v>
      </c>
      <c r="I5" s="3">
        <v>21</v>
      </c>
      <c r="J5" s="3">
        <v>8</v>
      </c>
      <c r="K5" s="3">
        <v>615</v>
      </c>
      <c r="L5" s="3">
        <v>0</v>
      </c>
      <c r="M5" s="3">
        <v>0</v>
      </c>
    </row>
    <row r="6" spans="1:13" ht="46.5" x14ac:dyDescent="0.35">
      <c r="A6" s="3" t="s">
        <v>261</v>
      </c>
      <c r="B6" s="4" t="s">
        <v>577</v>
      </c>
      <c r="C6" s="3">
        <v>0</v>
      </c>
      <c r="D6" s="3">
        <v>4</v>
      </c>
      <c r="E6" s="3">
        <v>0</v>
      </c>
      <c r="F6" s="3">
        <v>0</v>
      </c>
      <c r="G6" s="3">
        <v>0</v>
      </c>
      <c r="H6" s="3">
        <v>5</v>
      </c>
      <c r="I6" s="3">
        <v>0</v>
      </c>
      <c r="J6" s="3">
        <v>8</v>
      </c>
      <c r="K6" s="3">
        <v>8</v>
      </c>
      <c r="L6" s="3">
        <v>2</v>
      </c>
      <c r="M6" s="3">
        <v>3</v>
      </c>
    </row>
    <row r="7" spans="1:13" ht="31" x14ac:dyDescent="0.35">
      <c r="A7" s="3" t="s">
        <v>266</v>
      </c>
      <c r="B7" s="4" t="s">
        <v>460</v>
      </c>
      <c r="C7" s="3">
        <v>0</v>
      </c>
      <c r="D7" s="3">
        <v>0</v>
      </c>
      <c r="E7" s="3">
        <v>8</v>
      </c>
      <c r="F7" s="3">
        <v>2</v>
      </c>
      <c r="G7" s="3">
        <v>0</v>
      </c>
      <c r="H7" s="3">
        <v>0</v>
      </c>
      <c r="I7" s="3">
        <v>0</v>
      </c>
      <c r="J7" s="3">
        <v>0</v>
      </c>
      <c r="K7" s="3">
        <v>53</v>
      </c>
      <c r="L7" s="3">
        <v>0</v>
      </c>
      <c r="M7" s="3">
        <v>0</v>
      </c>
    </row>
    <row r="8" spans="1:13" ht="62" x14ac:dyDescent="0.35">
      <c r="A8" s="3" t="s">
        <v>267</v>
      </c>
      <c r="B8" s="4" t="s">
        <v>367</v>
      </c>
      <c r="C8" s="3">
        <v>0</v>
      </c>
      <c r="D8" s="3">
        <v>1</v>
      </c>
      <c r="E8" s="3">
        <v>25</v>
      </c>
      <c r="F8" s="3">
        <v>0</v>
      </c>
      <c r="G8" s="3">
        <v>0</v>
      </c>
      <c r="H8" s="3">
        <v>0</v>
      </c>
      <c r="I8" s="3">
        <v>0</v>
      </c>
      <c r="J8" s="3">
        <v>1</v>
      </c>
      <c r="K8" s="3">
        <v>268</v>
      </c>
      <c r="L8" s="3">
        <v>0</v>
      </c>
      <c r="M8" s="3">
        <v>2</v>
      </c>
    </row>
    <row r="9" spans="1:13" x14ac:dyDescent="0.35">
      <c r="A9" s="3" t="s">
        <v>260</v>
      </c>
      <c r="B9" s="4" t="s">
        <v>263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3">
        <v>0</v>
      </c>
      <c r="M9" s="3">
        <v>0</v>
      </c>
    </row>
    <row r="10" spans="1:13" ht="46.5" x14ac:dyDescent="0.35">
      <c r="A10" s="3" t="s">
        <v>268</v>
      </c>
      <c r="B10" s="4" t="s">
        <v>368</v>
      </c>
      <c r="C10" s="3">
        <v>0</v>
      </c>
      <c r="D10" s="3">
        <v>0</v>
      </c>
      <c r="E10" s="3">
        <v>7</v>
      </c>
      <c r="F10" s="3">
        <v>0</v>
      </c>
      <c r="G10" s="3">
        <v>0</v>
      </c>
      <c r="H10" s="3">
        <v>1</v>
      </c>
      <c r="I10" s="3">
        <v>4</v>
      </c>
      <c r="J10" s="3">
        <v>3</v>
      </c>
      <c r="K10" s="3">
        <v>93</v>
      </c>
      <c r="L10" s="3">
        <v>0</v>
      </c>
      <c r="M10" s="3">
        <v>0</v>
      </c>
    </row>
    <row r="11" spans="1:13" ht="31" x14ac:dyDescent="0.35">
      <c r="A11" s="3" t="s">
        <v>269</v>
      </c>
      <c r="B11" s="4" t="s">
        <v>369</v>
      </c>
      <c r="C11" s="3">
        <v>0</v>
      </c>
      <c r="D11" s="3">
        <v>0</v>
      </c>
      <c r="E11" s="3">
        <v>17</v>
      </c>
      <c r="F11" s="3">
        <v>2</v>
      </c>
      <c r="G11" s="3">
        <v>1</v>
      </c>
      <c r="H11" s="3">
        <v>0</v>
      </c>
      <c r="I11" s="3">
        <v>0</v>
      </c>
      <c r="J11" s="3">
        <v>1</v>
      </c>
      <c r="K11" s="3">
        <v>91</v>
      </c>
      <c r="L11" s="3">
        <v>0</v>
      </c>
      <c r="M11" s="3">
        <v>0</v>
      </c>
    </row>
    <row r="12" spans="1:13" ht="93" x14ac:dyDescent="0.35">
      <c r="A12" s="3" t="s">
        <v>270</v>
      </c>
      <c r="B12" s="4" t="s">
        <v>578</v>
      </c>
      <c r="C12" s="3">
        <v>0</v>
      </c>
      <c r="D12" s="3">
        <v>0</v>
      </c>
      <c r="E12" s="3">
        <v>29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190</v>
      </c>
      <c r="L12" s="3">
        <v>1</v>
      </c>
      <c r="M12" s="3"/>
    </row>
    <row r="13" spans="1:13" x14ac:dyDescent="0.35">
      <c r="A13" s="3" t="s">
        <v>271</v>
      </c>
      <c r="B13" s="4" t="s">
        <v>579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3</v>
      </c>
      <c r="I13" s="3">
        <v>0</v>
      </c>
      <c r="J13" s="3">
        <v>1</v>
      </c>
      <c r="K13" s="3">
        <v>70</v>
      </c>
      <c r="L13" s="3">
        <v>0</v>
      </c>
      <c r="M13" s="3">
        <v>0</v>
      </c>
    </row>
    <row r="14" spans="1:13" x14ac:dyDescent="0.35">
      <c r="A14" s="3" t="s">
        <v>272</v>
      </c>
      <c r="B14" s="4" t="s">
        <v>580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</row>
    <row r="15" spans="1:13" x14ac:dyDescent="0.35">
      <c r="A15" t="s">
        <v>466</v>
      </c>
      <c r="B15" s="2" t="s">
        <v>581</v>
      </c>
      <c r="C15" s="7">
        <f>SUM(Table3458[American Sign Language Total])</f>
        <v>0</v>
      </c>
      <c r="D15" s="7">
        <f>SUM(Table3458[Cantonese Total])</f>
        <v>5</v>
      </c>
      <c r="E15" s="7">
        <f>SUM(Table3458[French Total])</f>
        <v>163</v>
      </c>
      <c r="F15" s="7">
        <f>SUM(Table3458[German Total])</f>
        <v>4</v>
      </c>
      <c r="G15" s="7">
        <f>SUM(Table3458[Japanese Total])</f>
        <v>2</v>
      </c>
      <c r="H15" s="7">
        <f>SUM(Table3458[Korean Total])</f>
        <v>10</v>
      </c>
      <c r="I15" s="7">
        <f>SUM(Table3458[Latin Total])</f>
        <v>25</v>
      </c>
      <c r="J15" s="7">
        <f>SUM(Table3458[Mandarin Total])</f>
        <v>22</v>
      </c>
      <c r="K15" s="7">
        <f>SUM(Table3458[Spanish Total])</f>
        <v>1430</v>
      </c>
      <c r="L15" s="7">
        <f>SUM(Table3458[Vietnamese Total])</f>
        <v>3</v>
      </c>
      <c r="M15" s="7">
        <f>SUM(Table3458[Other Total])</f>
        <v>7</v>
      </c>
    </row>
  </sheetData>
  <sortState xmlns:xlrd2="http://schemas.microsoft.com/office/spreadsheetml/2017/richdata2" ref="A2:A19">
    <sortCondition ref="A2"/>
  </sortState>
  <pageMargins left="0.7" right="0.7" top="0.75" bottom="0.75" header="0.3" footer="0.3"/>
  <pageSetup scale="5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30.765625" customWidth="1"/>
    <col min="3" max="3" width="17.07421875" customWidth="1"/>
    <col min="4" max="4" width="11" customWidth="1"/>
    <col min="5" max="5" width="8.23046875" customWidth="1"/>
    <col min="6" max="6" width="8.84375" customWidth="1"/>
    <col min="7" max="7" width="10" customWidth="1"/>
    <col min="8" max="8" width="8.07421875" customWidth="1"/>
    <col min="9" max="9" width="7.765625" customWidth="1"/>
    <col min="10" max="10" width="9.69140625" customWidth="1"/>
    <col min="11" max="11" width="9" customWidth="1"/>
    <col min="12" max="12" width="11.4609375" customWidth="1"/>
    <col min="13" max="13" width="7.84375" customWidth="1"/>
  </cols>
  <sheetData>
    <row r="1" spans="1:13" ht="20" x14ac:dyDescent="0.4">
      <c r="A1" s="15" t="s">
        <v>316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31</v>
      </c>
      <c r="B3" s="1" t="s">
        <v>527</v>
      </c>
      <c r="C3" s="18">
        <v>0</v>
      </c>
      <c r="D3" s="18">
        <v>0</v>
      </c>
      <c r="E3" s="18">
        <v>13</v>
      </c>
      <c r="F3" s="18">
        <v>0</v>
      </c>
      <c r="G3" s="18">
        <v>4</v>
      </c>
      <c r="H3" s="18">
        <v>0</v>
      </c>
      <c r="I3" s="18">
        <v>0</v>
      </c>
      <c r="J3" s="18">
        <v>0</v>
      </c>
      <c r="K3" s="18">
        <v>111</v>
      </c>
      <c r="L3" s="18">
        <v>0</v>
      </c>
      <c r="M3" s="18">
        <v>0</v>
      </c>
    </row>
    <row r="4" spans="1:13" x14ac:dyDescent="0.35">
      <c r="A4" t="s">
        <v>32</v>
      </c>
      <c r="B4" t="s">
        <v>30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23</v>
      </c>
      <c r="L4" s="18">
        <v>0</v>
      </c>
      <c r="M4" s="18">
        <v>0</v>
      </c>
    </row>
    <row r="5" spans="1:13" x14ac:dyDescent="0.35">
      <c r="A5" t="s">
        <v>33</v>
      </c>
      <c r="B5" t="s">
        <v>29</v>
      </c>
      <c r="C5" s="18">
        <v>0</v>
      </c>
      <c r="D5" s="18">
        <v>0</v>
      </c>
      <c r="E5" s="18">
        <v>4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1</v>
      </c>
      <c r="L5" s="18">
        <v>0</v>
      </c>
      <c r="M5" s="18">
        <v>0</v>
      </c>
    </row>
    <row r="6" spans="1:13" x14ac:dyDescent="0.35">
      <c r="A6" t="s">
        <v>479</v>
      </c>
      <c r="B6" s="2" t="s">
        <v>47</v>
      </c>
      <c r="C6" s="2">
        <f>SUM(C3:C5)</f>
        <v>0</v>
      </c>
      <c r="D6" s="2">
        <f t="shared" ref="D6:M6" si="0">SUM(D3:D5)</f>
        <v>0</v>
      </c>
      <c r="E6" s="2">
        <f t="shared" si="0"/>
        <v>17</v>
      </c>
      <c r="F6" s="2">
        <f t="shared" si="0"/>
        <v>0</v>
      </c>
      <c r="G6" s="2">
        <f t="shared" si="0"/>
        <v>4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135</v>
      </c>
      <c r="L6" s="2">
        <f t="shared" si="0"/>
        <v>0</v>
      </c>
      <c r="M6" s="2">
        <f t="shared" si="0"/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7"/>
  <sheetViews>
    <sheetView zoomScaleNormal="100" workbookViewId="0">
      <pane xSplit="1" ySplit="2" topLeftCell="B9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07421875" customWidth="1"/>
    <col min="2" max="2" width="30.23046875" customWidth="1"/>
    <col min="3" max="3" width="16.53515625" customWidth="1"/>
    <col min="4" max="4" width="10.07421875" customWidth="1"/>
    <col min="5" max="5" width="7.53515625" customWidth="1"/>
    <col min="6" max="6" width="7.84375" customWidth="1"/>
    <col min="7" max="7" width="9.3046875" customWidth="1"/>
    <col min="8" max="9" width="7.4609375" customWidth="1"/>
    <col min="10" max="10" width="9.07421875" customWidth="1"/>
    <col min="11" max="11" width="8.3046875" customWidth="1"/>
    <col min="12" max="12" width="11" customWidth="1"/>
    <col min="13" max="13" width="7.53515625" customWidth="1"/>
  </cols>
  <sheetData>
    <row r="1" spans="1:13" ht="20" x14ac:dyDescent="0.4">
      <c r="A1" s="15" t="s">
        <v>343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311</v>
      </c>
      <c r="B3" s="4" t="s">
        <v>582</v>
      </c>
      <c r="C3" s="3">
        <v>12</v>
      </c>
      <c r="D3" s="3">
        <v>0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81</v>
      </c>
      <c r="L3" s="3">
        <v>0</v>
      </c>
      <c r="M3" s="3">
        <v>0</v>
      </c>
    </row>
    <row r="4" spans="1:13" ht="31" x14ac:dyDescent="0.35">
      <c r="A4" s="3" t="s">
        <v>273</v>
      </c>
      <c r="B4" s="4" t="s">
        <v>468</v>
      </c>
      <c r="C4" s="3">
        <v>0</v>
      </c>
      <c r="D4" s="3">
        <v>0</v>
      </c>
      <c r="E4" s="3">
        <v>8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180</v>
      </c>
      <c r="L4" s="3">
        <v>0</v>
      </c>
      <c r="M4" s="3">
        <v>0</v>
      </c>
    </row>
    <row r="5" spans="1:13" ht="108.5" x14ac:dyDescent="0.35">
      <c r="A5" s="3" t="s">
        <v>312</v>
      </c>
      <c r="B5" s="4" t="s">
        <v>586</v>
      </c>
      <c r="C5" s="3">
        <v>0</v>
      </c>
      <c r="D5" s="3">
        <v>0</v>
      </c>
      <c r="E5" s="3">
        <v>24</v>
      </c>
      <c r="F5" s="3">
        <v>4</v>
      </c>
      <c r="G5" s="3">
        <v>1</v>
      </c>
      <c r="H5" s="3">
        <v>0</v>
      </c>
      <c r="I5" s="3">
        <v>0</v>
      </c>
      <c r="J5" s="3">
        <v>1</v>
      </c>
      <c r="K5" s="3">
        <v>195</v>
      </c>
      <c r="L5" s="3">
        <v>0</v>
      </c>
      <c r="M5" s="3">
        <v>0</v>
      </c>
    </row>
    <row r="6" spans="1:13" x14ac:dyDescent="0.35">
      <c r="A6" s="3" t="s">
        <v>274</v>
      </c>
      <c r="B6" s="4" t="s">
        <v>583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3</v>
      </c>
      <c r="L6" s="3">
        <v>0</v>
      </c>
      <c r="M6" s="3">
        <v>0</v>
      </c>
    </row>
    <row r="7" spans="1:13" ht="31" x14ac:dyDescent="0.35">
      <c r="A7" s="3" t="s">
        <v>587</v>
      </c>
      <c r="B7" s="4" t="s">
        <v>588</v>
      </c>
      <c r="C7" s="3">
        <v>0</v>
      </c>
      <c r="D7" s="3">
        <v>0</v>
      </c>
      <c r="E7" s="3">
        <v>0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23</v>
      </c>
      <c r="L7" s="3">
        <v>0</v>
      </c>
      <c r="M7" s="3">
        <v>0</v>
      </c>
    </row>
    <row r="8" spans="1:13" x14ac:dyDescent="0.35">
      <c r="A8" s="3" t="s">
        <v>584</v>
      </c>
      <c r="B8" s="4" t="s">
        <v>585</v>
      </c>
      <c r="C8" s="3">
        <v>0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1</v>
      </c>
      <c r="K8" s="3">
        <v>49</v>
      </c>
      <c r="L8" s="3">
        <v>13</v>
      </c>
      <c r="M8" s="3">
        <v>4</v>
      </c>
    </row>
    <row r="9" spans="1:13" ht="31" x14ac:dyDescent="0.35">
      <c r="A9" s="3" t="s">
        <v>469</v>
      </c>
      <c r="B9" s="4" t="s">
        <v>470</v>
      </c>
      <c r="C9" s="3">
        <v>0</v>
      </c>
      <c r="D9" s="3">
        <v>0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0</v>
      </c>
      <c r="M9" s="3">
        <v>0</v>
      </c>
    </row>
    <row r="10" spans="1:13" ht="108.5" x14ac:dyDescent="0.35">
      <c r="A10" s="3" t="s">
        <v>313</v>
      </c>
      <c r="B10" s="4" t="s">
        <v>275</v>
      </c>
      <c r="C10" s="3">
        <v>0</v>
      </c>
      <c r="D10" s="3">
        <v>0</v>
      </c>
      <c r="E10" s="3">
        <v>68</v>
      </c>
      <c r="F10" s="3">
        <v>12</v>
      </c>
      <c r="G10" s="3">
        <v>16</v>
      </c>
      <c r="H10" s="3">
        <v>13</v>
      </c>
      <c r="I10" s="3">
        <v>33</v>
      </c>
      <c r="J10" s="3">
        <v>14</v>
      </c>
      <c r="K10" s="3">
        <v>952</v>
      </c>
      <c r="L10" s="3">
        <v>0</v>
      </c>
      <c r="M10" s="3">
        <v>81</v>
      </c>
    </row>
    <row r="11" spans="1:13" ht="31" x14ac:dyDescent="0.35">
      <c r="A11" s="3" t="s">
        <v>314</v>
      </c>
      <c r="B11" s="4" t="s">
        <v>370</v>
      </c>
      <c r="C11" s="3">
        <v>7</v>
      </c>
      <c r="D11" s="3">
        <v>0</v>
      </c>
      <c r="E11" s="3">
        <v>8</v>
      </c>
      <c r="F11" s="3">
        <v>7</v>
      </c>
      <c r="G11" s="3">
        <v>0</v>
      </c>
      <c r="H11" s="3">
        <v>0</v>
      </c>
      <c r="I11" s="3">
        <v>0</v>
      </c>
      <c r="J11" s="3">
        <v>0</v>
      </c>
      <c r="K11" s="3">
        <v>162</v>
      </c>
      <c r="L11" s="3">
        <v>0</v>
      </c>
      <c r="M11" s="3">
        <v>0</v>
      </c>
    </row>
    <row r="12" spans="1:13" x14ac:dyDescent="0.35">
      <c r="A12" t="s">
        <v>589</v>
      </c>
      <c r="B12" s="2" t="s">
        <v>477</v>
      </c>
      <c r="C12" s="7">
        <f>SUM(Table35[American Sign Language Total])</f>
        <v>19</v>
      </c>
      <c r="D12" s="7">
        <f>SUM(Table35[Cantonese Total])</f>
        <v>1</v>
      </c>
      <c r="E12" s="7">
        <f>SUM(Table35[French Total])</f>
        <v>110</v>
      </c>
      <c r="F12" s="7">
        <f>SUM(Table35[German Total])</f>
        <v>23</v>
      </c>
      <c r="G12" s="7">
        <f>SUM(Table35[Japanese Total])</f>
        <v>18</v>
      </c>
      <c r="H12" s="7">
        <f>SUM(Table35[Korean Total])</f>
        <v>13</v>
      </c>
      <c r="I12" s="7">
        <f>SUM(Table35[Latin Total])</f>
        <v>33</v>
      </c>
      <c r="J12" s="7">
        <f>SUM(Table35[Mandarin Total])</f>
        <v>16</v>
      </c>
      <c r="K12" s="7">
        <f>SUM(Table35[Spanish Total])</f>
        <v>1646</v>
      </c>
      <c r="L12" s="7">
        <f>SUM(Table35[Vietnamese Total])</f>
        <v>13</v>
      </c>
      <c r="M12" s="7">
        <f>SUM(Table35[Other Total])</f>
        <v>85</v>
      </c>
    </row>
    <row r="17" spans="8:8" x14ac:dyDescent="0.35">
      <c r="H17" t="s">
        <v>467</v>
      </c>
    </row>
  </sheetData>
  <sortState xmlns:xlrd2="http://schemas.microsoft.com/office/spreadsheetml/2017/richdata2" ref="A2:A28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765625" bestFit="1" customWidth="1"/>
    <col min="2" max="2" width="36.69140625" customWidth="1"/>
    <col min="3" max="3" width="16.765625" customWidth="1"/>
    <col min="4" max="4" width="10.07421875" customWidth="1"/>
    <col min="5" max="5" width="7.53515625" customWidth="1"/>
    <col min="6" max="6" width="7.765625" customWidth="1"/>
    <col min="7" max="7" width="9.3046875" customWidth="1"/>
    <col min="8" max="8" width="7.53515625" customWidth="1"/>
    <col min="9" max="9" width="7.3046875" customWidth="1"/>
    <col min="10" max="10" width="9.3046875" customWidth="1"/>
    <col min="11" max="11" width="8.4609375" customWidth="1"/>
    <col min="12" max="12" width="11.07421875" customWidth="1"/>
    <col min="13" max="13" width="7.69140625" customWidth="1"/>
  </cols>
  <sheetData>
    <row r="1" spans="1:13" ht="20" x14ac:dyDescent="0.4">
      <c r="A1" s="15" t="s">
        <v>344</v>
      </c>
    </row>
    <row r="2" spans="1:13" ht="31" x14ac:dyDescent="0.35">
      <c r="A2" s="3" t="s">
        <v>622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124" x14ac:dyDescent="0.35">
      <c r="A3" s="3" t="s">
        <v>362</v>
      </c>
      <c r="B3" s="4" t="s">
        <v>590</v>
      </c>
      <c r="C3" s="3">
        <v>0</v>
      </c>
      <c r="D3" s="3">
        <v>0</v>
      </c>
      <c r="E3" s="3">
        <v>7</v>
      </c>
      <c r="F3" s="3">
        <v>0</v>
      </c>
      <c r="G3" s="3">
        <v>36</v>
      </c>
      <c r="H3" s="3">
        <v>1</v>
      </c>
      <c r="I3" s="3">
        <v>13</v>
      </c>
      <c r="J3" s="3">
        <v>236</v>
      </c>
      <c r="K3" s="3">
        <v>89</v>
      </c>
      <c r="L3" s="3">
        <v>0</v>
      </c>
      <c r="M3" s="3">
        <v>31</v>
      </c>
    </row>
    <row r="4" spans="1:13" s="2" customFormat="1" x14ac:dyDescent="0.35">
      <c r="A4" s="16" t="s">
        <v>371</v>
      </c>
      <c r="B4" s="2" t="s">
        <v>465</v>
      </c>
      <c r="C4" s="2">
        <f>SUM(Table36[American Sign Language Total])</f>
        <v>0</v>
      </c>
      <c r="D4" s="2">
        <f>SUM(Table36[Cantonese Total])</f>
        <v>0</v>
      </c>
      <c r="E4" s="2">
        <f>SUM(Table36[French Total])</f>
        <v>7</v>
      </c>
      <c r="F4" s="2">
        <f>SUM(Table36[German Total])</f>
        <v>0</v>
      </c>
      <c r="G4" s="2">
        <f>SUM(Table36[Japanese Total])</f>
        <v>36</v>
      </c>
      <c r="H4" s="2">
        <f>SUM(Table36[Korean Total])</f>
        <v>1</v>
      </c>
      <c r="I4" s="2">
        <f>SUM(Table36[Latin Total])</f>
        <v>13</v>
      </c>
      <c r="J4" s="2">
        <f>SUM(Table36[Mandarin Total])</f>
        <v>236</v>
      </c>
      <c r="K4" s="2">
        <f>SUM(Table36[Spanish Total])</f>
        <v>89</v>
      </c>
      <c r="L4" s="2">
        <f>SUM(Table36[Vietnamese Total])</f>
        <v>0</v>
      </c>
      <c r="M4" s="2">
        <f>SUM(Table36[Other Total])</f>
        <v>31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6.07421875" customWidth="1"/>
    <col min="2" max="2" width="25.3046875" customWidth="1"/>
    <col min="3" max="3" width="16.765625" customWidth="1"/>
    <col min="4" max="4" width="10.3046875" customWidth="1"/>
    <col min="5" max="5" width="7.3046875" customWidth="1"/>
    <col min="6" max="6" width="7.69140625" customWidth="1"/>
    <col min="7" max="7" width="9.07421875" customWidth="1"/>
    <col min="8" max="8" width="7.53515625" customWidth="1"/>
    <col min="9" max="9" width="7.3046875" customWidth="1"/>
    <col min="10" max="10" width="9.23046875" customWidth="1"/>
    <col min="11" max="11" width="8.3046875" customWidth="1"/>
    <col min="12" max="12" width="11.07421875" customWidth="1"/>
    <col min="13" max="13" width="7.53515625" customWidth="1"/>
  </cols>
  <sheetData>
    <row r="1" spans="1:13" s="15" customFormat="1" ht="20" x14ac:dyDescent="0.4">
      <c r="A1" s="15" t="s">
        <v>345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277</v>
      </c>
      <c r="B3" s="4" t="s">
        <v>375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9</v>
      </c>
      <c r="L3" s="3">
        <v>0</v>
      </c>
      <c r="M3" s="3">
        <v>0</v>
      </c>
    </row>
    <row r="4" spans="1:13" x14ac:dyDescent="0.35">
      <c r="A4" s="3" t="s">
        <v>276</v>
      </c>
      <c r="B4" s="4" t="s">
        <v>281</v>
      </c>
      <c r="C4" s="3">
        <v>0</v>
      </c>
      <c r="D4" s="3">
        <v>0</v>
      </c>
      <c r="E4" s="3">
        <v>0</v>
      </c>
      <c r="F4" s="3">
        <v>0</v>
      </c>
      <c r="G4" s="3">
        <v>8</v>
      </c>
      <c r="H4" s="3">
        <v>0</v>
      </c>
      <c r="I4" s="3">
        <v>0</v>
      </c>
      <c r="J4" s="3">
        <v>0</v>
      </c>
      <c r="K4" s="3">
        <v>25</v>
      </c>
      <c r="L4" s="3">
        <v>0</v>
      </c>
      <c r="M4" s="3">
        <v>13</v>
      </c>
    </row>
    <row r="5" spans="1:13" x14ac:dyDescent="0.35">
      <c r="A5" s="3" t="s">
        <v>372</v>
      </c>
      <c r="B5" s="4" t="s">
        <v>376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7</v>
      </c>
      <c r="L5" s="3">
        <v>0</v>
      </c>
      <c r="M5" s="3">
        <v>0</v>
      </c>
    </row>
    <row r="6" spans="1:13" ht="31" x14ac:dyDescent="0.35">
      <c r="A6" s="3" t="s">
        <v>279</v>
      </c>
      <c r="B6" s="4" t="s">
        <v>471</v>
      </c>
      <c r="C6" s="3">
        <v>0</v>
      </c>
      <c r="D6" s="3">
        <v>0</v>
      </c>
      <c r="E6" s="3">
        <v>5</v>
      </c>
      <c r="F6" s="3">
        <v>0</v>
      </c>
      <c r="G6" s="3">
        <v>4</v>
      </c>
      <c r="H6" s="3">
        <v>0</v>
      </c>
      <c r="I6" s="3">
        <v>0</v>
      </c>
      <c r="J6" s="3">
        <v>0</v>
      </c>
      <c r="K6" s="3">
        <v>24</v>
      </c>
      <c r="L6" s="3">
        <v>0</v>
      </c>
      <c r="M6" s="3">
        <v>0</v>
      </c>
    </row>
    <row r="7" spans="1:13" ht="46.5" x14ac:dyDescent="0.35">
      <c r="A7" s="3" t="s">
        <v>373</v>
      </c>
      <c r="B7" s="4" t="s">
        <v>472</v>
      </c>
      <c r="C7" s="3">
        <v>0</v>
      </c>
      <c r="D7" s="3">
        <v>0</v>
      </c>
      <c r="E7" s="3">
        <v>5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50</v>
      </c>
      <c r="L7" s="3">
        <v>1</v>
      </c>
      <c r="M7" s="3">
        <v>4</v>
      </c>
    </row>
    <row r="8" spans="1:13" x14ac:dyDescent="0.35">
      <c r="A8" s="3" t="s">
        <v>280</v>
      </c>
      <c r="B8" s="4" t="s">
        <v>594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12</v>
      </c>
      <c r="L8" s="3">
        <v>0</v>
      </c>
      <c r="M8" s="3">
        <v>0</v>
      </c>
    </row>
    <row r="9" spans="1:13" ht="31" x14ac:dyDescent="0.35">
      <c r="A9" s="3" t="s">
        <v>278</v>
      </c>
      <c r="B9" s="4" t="s">
        <v>621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9</v>
      </c>
      <c r="L9" s="3">
        <v>0</v>
      </c>
      <c r="M9" s="3">
        <v>1</v>
      </c>
    </row>
    <row r="10" spans="1:13" ht="31" x14ac:dyDescent="0.35">
      <c r="A10" s="3" t="s">
        <v>374</v>
      </c>
      <c r="B10" s="4" t="s">
        <v>593</v>
      </c>
      <c r="C10" s="3">
        <v>0</v>
      </c>
      <c r="D10" s="3">
        <v>0</v>
      </c>
      <c r="E10" s="3">
        <v>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65</v>
      </c>
      <c r="L10" s="3">
        <v>0</v>
      </c>
      <c r="M10" s="3">
        <v>0</v>
      </c>
    </row>
    <row r="11" spans="1:13" x14ac:dyDescent="0.35">
      <c r="A11" t="s">
        <v>473</v>
      </c>
      <c r="B11" s="2" t="s">
        <v>461</v>
      </c>
      <c r="C11" s="2">
        <f>SUM(Table37[American Sign Language Total])</f>
        <v>1</v>
      </c>
      <c r="D11" s="2">
        <f>SUM(Table37[Cantonese Total])</f>
        <v>0</v>
      </c>
      <c r="E11" s="2">
        <f>SUM(Table37[French Total])</f>
        <v>15</v>
      </c>
      <c r="F11" s="2">
        <f>SUM(Table37[German Total])</f>
        <v>0</v>
      </c>
      <c r="G11" s="2">
        <f>SUM(Table37[Japanese Total])</f>
        <v>12</v>
      </c>
      <c r="H11" s="2">
        <f>SUM(Table37[Korean Total])</f>
        <v>0</v>
      </c>
      <c r="I11" s="2">
        <f>SUM(Table37[Latin Total])</f>
        <v>0</v>
      </c>
      <c r="J11" s="2">
        <f>SUM(Table37[Mandarin Total])</f>
        <v>0</v>
      </c>
      <c r="K11" s="2">
        <f>SUM(Table37[Spanish Total])</f>
        <v>201</v>
      </c>
      <c r="L11" s="2">
        <f>SUM(Table37[Vietnamese Total])</f>
        <v>1</v>
      </c>
      <c r="M11" s="2">
        <f>SUM(Table37[Other Total])</f>
        <v>18</v>
      </c>
    </row>
  </sheetData>
  <sortState xmlns:xlrd2="http://schemas.microsoft.com/office/spreadsheetml/2017/richdata2" ref="A2:A13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9.84375" bestFit="1" customWidth="1"/>
    <col min="2" max="2" width="21.84375" customWidth="1"/>
    <col min="3" max="3" width="16.53515625" customWidth="1"/>
    <col min="4" max="4" width="10.23046875" customWidth="1"/>
    <col min="5" max="5" width="7.53515625" customWidth="1"/>
    <col min="6" max="6" width="7.84375" customWidth="1"/>
    <col min="7" max="7" width="9.23046875" customWidth="1"/>
    <col min="8" max="8" width="7.3046875" customWidth="1"/>
    <col min="9" max="9" width="7.23046875" customWidth="1"/>
    <col min="10" max="10" width="9.07421875" customWidth="1"/>
    <col min="11" max="11" width="8.07421875" customWidth="1"/>
    <col min="12" max="12" width="11.07421875" customWidth="1"/>
    <col min="13" max="13" width="7.3046875" customWidth="1"/>
  </cols>
  <sheetData>
    <row r="1" spans="1:13" ht="20" x14ac:dyDescent="0.4">
      <c r="A1" s="15" t="s">
        <v>346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377</v>
      </c>
      <c r="B3" t="s">
        <v>380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16</v>
      </c>
      <c r="L3">
        <v>0</v>
      </c>
      <c r="M3">
        <v>0</v>
      </c>
    </row>
    <row r="4" spans="1:13" ht="31" x14ac:dyDescent="0.35">
      <c r="A4" s="3" t="s">
        <v>378</v>
      </c>
      <c r="B4" s="4" t="s">
        <v>283</v>
      </c>
      <c r="C4" s="3">
        <v>0</v>
      </c>
      <c r="D4" s="3">
        <v>0</v>
      </c>
      <c r="E4" s="3">
        <v>10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14</v>
      </c>
      <c r="L4" s="3">
        <v>0</v>
      </c>
      <c r="M4" s="3">
        <v>0</v>
      </c>
    </row>
    <row r="5" spans="1:13" x14ac:dyDescent="0.35">
      <c r="A5" t="s">
        <v>282</v>
      </c>
      <c r="B5" t="s">
        <v>592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1</v>
      </c>
      <c r="K5">
        <v>22</v>
      </c>
      <c r="L5">
        <v>0</v>
      </c>
      <c r="M5">
        <v>0</v>
      </c>
    </row>
    <row r="6" spans="1:13" ht="31" x14ac:dyDescent="0.35">
      <c r="A6" s="3" t="s">
        <v>379</v>
      </c>
      <c r="B6" s="4" t="s">
        <v>284</v>
      </c>
      <c r="C6" s="3">
        <v>20</v>
      </c>
      <c r="D6" s="3">
        <v>0</v>
      </c>
      <c r="E6" s="3">
        <v>10</v>
      </c>
      <c r="F6" s="3">
        <v>0</v>
      </c>
      <c r="G6" s="3">
        <v>0</v>
      </c>
      <c r="H6" s="3">
        <v>0</v>
      </c>
      <c r="I6" s="3">
        <v>14</v>
      </c>
      <c r="J6" s="3">
        <v>0</v>
      </c>
      <c r="K6" s="3">
        <v>51</v>
      </c>
      <c r="L6" s="3">
        <v>0</v>
      </c>
      <c r="M6" s="3">
        <v>0</v>
      </c>
    </row>
    <row r="7" spans="1:13" x14ac:dyDescent="0.35">
      <c r="A7" t="s">
        <v>591</v>
      </c>
      <c r="B7" t="s">
        <v>474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4</v>
      </c>
      <c r="L7">
        <v>0</v>
      </c>
      <c r="M7">
        <v>0</v>
      </c>
    </row>
    <row r="8" spans="1:13" x14ac:dyDescent="0.35">
      <c r="A8" t="s">
        <v>475</v>
      </c>
      <c r="B8" s="2" t="s">
        <v>194</v>
      </c>
      <c r="C8" s="2">
        <f>SUM(Table38[American Sign Language Total])</f>
        <v>20</v>
      </c>
      <c r="D8" s="2">
        <f>SUM(Table38[Cantonese Total])</f>
        <v>0</v>
      </c>
      <c r="E8" s="2">
        <f>SUM(Table38[French Total])</f>
        <v>20</v>
      </c>
      <c r="F8" s="2">
        <f>SUM(Table38[German Total])</f>
        <v>0</v>
      </c>
      <c r="G8" s="2">
        <f>SUM(Table38[Japanese Total])</f>
        <v>0</v>
      </c>
      <c r="H8" s="2">
        <f>SUM(Table38[Korean Total])</f>
        <v>0</v>
      </c>
      <c r="I8" s="2">
        <f>SUM(Table38[Latin Total])</f>
        <v>14</v>
      </c>
      <c r="J8" s="2">
        <f>SUM(Table38[Mandarin Total])</f>
        <v>1</v>
      </c>
      <c r="K8" s="2">
        <f>SUM(Table38[Spanish Total])</f>
        <v>107</v>
      </c>
      <c r="L8" s="2">
        <f>SUM(Table38[Vietnamese Total])</f>
        <v>0</v>
      </c>
      <c r="M8" s="2">
        <f>SUM(Table38[Other Total])</f>
        <v>0</v>
      </c>
    </row>
  </sheetData>
  <sortState xmlns:xlrd2="http://schemas.microsoft.com/office/spreadsheetml/2017/richdata2" ref="A2:A5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69140625" bestFit="1" customWidth="1"/>
    <col min="2" max="2" width="22.4609375" customWidth="1"/>
    <col min="3" max="3" width="16.53515625" customWidth="1"/>
    <col min="4" max="4" width="10.23046875" customWidth="1"/>
    <col min="5" max="5" width="7.3046875" customWidth="1"/>
    <col min="6" max="6" width="7.69140625" customWidth="1"/>
    <col min="7" max="7" width="9.07421875" customWidth="1"/>
    <col min="8" max="9" width="7.3046875" customWidth="1"/>
    <col min="10" max="10" width="9.07421875" customWidth="1"/>
    <col min="11" max="11" width="8.07421875" customWidth="1"/>
    <col min="12" max="12" width="10.84375" customWidth="1"/>
    <col min="13" max="13" width="7.07421875" customWidth="1"/>
  </cols>
  <sheetData>
    <row r="1" spans="1:13" ht="20" x14ac:dyDescent="0.4">
      <c r="A1" s="15" t="s">
        <v>347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381</v>
      </c>
      <c r="B3" s="4" t="s">
        <v>385</v>
      </c>
      <c r="C3" s="3">
        <v>0</v>
      </c>
      <c r="D3" s="3">
        <v>0</v>
      </c>
      <c r="E3" s="3">
        <v>2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36</v>
      </c>
      <c r="L3" s="3">
        <v>0</v>
      </c>
      <c r="M3" s="3">
        <v>0</v>
      </c>
    </row>
    <row r="4" spans="1:13" ht="31" x14ac:dyDescent="0.35">
      <c r="A4" s="3" t="s">
        <v>285</v>
      </c>
      <c r="B4" s="4" t="s">
        <v>596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10</v>
      </c>
      <c r="L4" s="3">
        <v>0</v>
      </c>
      <c r="M4" s="3">
        <v>0</v>
      </c>
    </row>
    <row r="5" spans="1:13" ht="62" x14ac:dyDescent="0.35">
      <c r="A5" s="3" t="s">
        <v>382</v>
      </c>
      <c r="B5" s="4" t="s">
        <v>476</v>
      </c>
      <c r="C5" s="3">
        <v>0</v>
      </c>
      <c r="D5" s="3">
        <v>0</v>
      </c>
      <c r="E5" s="3">
        <v>22</v>
      </c>
      <c r="F5" s="3">
        <v>0</v>
      </c>
      <c r="G5" s="3">
        <v>17</v>
      </c>
      <c r="H5" s="3">
        <v>0</v>
      </c>
      <c r="I5" s="3">
        <v>0</v>
      </c>
      <c r="J5" s="3">
        <v>61</v>
      </c>
      <c r="K5" s="3">
        <v>320</v>
      </c>
      <c r="L5" s="3">
        <v>0</v>
      </c>
      <c r="M5" s="3">
        <v>21</v>
      </c>
    </row>
    <row r="6" spans="1:13" ht="46.5" x14ac:dyDescent="0.35">
      <c r="A6" s="3" t="s">
        <v>383</v>
      </c>
      <c r="B6" s="4" t="s">
        <v>597</v>
      </c>
      <c r="C6" s="3">
        <v>0</v>
      </c>
      <c r="D6" s="3">
        <v>0</v>
      </c>
      <c r="E6" s="3">
        <v>85</v>
      </c>
      <c r="F6" s="3">
        <v>2</v>
      </c>
      <c r="G6" s="3">
        <v>1</v>
      </c>
      <c r="H6" s="3">
        <v>0</v>
      </c>
      <c r="I6" s="3">
        <v>14</v>
      </c>
      <c r="J6" s="3">
        <v>7</v>
      </c>
      <c r="K6" s="3">
        <v>274</v>
      </c>
      <c r="L6" s="3">
        <v>0</v>
      </c>
      <c r="M6" s="3"/>
    </row>
    <row r="7" spans="1:13" ht="31" x14ac:dyDescent="0.35">
      <c r="A7" s="3" t="s">
        <v>384</v>
      </c>
      <c r="B7" s="4" t="s">
        <v>595</v>
      </c>
      <c r="C7" s="3">
        <v>0</v>
      </c>
      <c r="D7" s="3">
        <v>0</v>
      </c>
      <c r="E7" s="3">
        <v>8</v>
      </c>
      <c r="F7" s="3">
        <v>1</v>
      </c>
      <c r="G7" s="3">
        <v>0</v>
      </c>
      <c r="H7" s="3">
        <v>0</v>
      </c>
      <c r="I7" s="3">
        <v>0</v>
      </c>
      <c r="J7" s="3">
        <v>1</v>
      </c>
      <c r="K7" s="3">
        <v>18</v>
      </c>
      <c r="L7" s="3">
        <v>0</v>
      </c>
      <c r="M7" s="3">
        <v>7</v>
      </c>
    </row>
    <row r="8" spans="1:13" x14ac:dyDescent="0.35">
      <c r="A8" t="s">
        <v>522</v>
      </c>
      <c r="B8" s="2" t="s">
        <v>225</v>
      </c>
      <c r="C8" s="2">
        <f>SUM(Table39[American Sign Language Total])</f>
        <v>0</v>
      </c>
      <c r="D8" s="2">
        <f>SUM(Table39[Cantonese Total])</f>
        <v>0</v>
      </c>
      <c r="E8" s="2">
        <f>SUM(Table39[French Total])</f>
        <v>117</v>
      </c>
      <c r="F8" s="2">
        <f>SUM(Table39[German Total])</f>
        <v>3</v>
      </c>
      <c r="G8" s="2">
        <f>SUM(Table39[Japanese Total])</f>
        <v>18</v>
      </c>
      <c r="H8" s="2">
        <f>SUM(Table39[Korean Total])</f>
        <v>0</v>
      </c>
      <c r="I8" s="2">
        <f>SUM(Table39[Latin Total])</f>
        <v>14</v>
      </c>
      <c r="J8" s="2">
        <f>SUM(Table39[Mandarin Total])</f>
        <v>69</v>
      </c>
      <c r="K8" s="2">
        <f>SUM(Table39[Spanish Total])</f>
        <v>658</v>
      </c>
      <c r="L8" s="2">
        <f>SUM(Table39[Vietnamese Total])</f>
        <v>0</v>
      </c>
      <c r="M8" s="2">
        <f>SUM(Table39[Other Total])</f>
        <v>28</v>
      </c>
    </row>
  </sheetData>
  <sortState xmlns:xlrd2="http://schemas.microsoft.com/office/spreadsheetml/2017/richdata2" ref="A2:A11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53515625" customWidth="1"/>
    <col min="2" max="2" width="25.765625" customWidth="1"/>
    <col min="3" max="3" width="16.765625" customWidth="1"/>
    <col min="4" max="4" width="10.3046875" customWidth="1"/>
    <col min="5" max="5" width="7.23046875" customWidth="1"/>
    <col min="6" max="6" width="7.84375" customWidth="1"/>
    <col min="7" max="7" width="9.3046875" customWidth="1"/>
    <col min="8" max="8" width="7.53515625" customWidth="1"/>
    <col min="9" max="9" width="7.3046875" customWidth="1"/>
    <col min="10" max="10" width="9.07421875" customWidth="1"/>
    <col min="11" max="11" width="8.07421875" customWidth="1"/>
    <col min="12" max="12" width="11.07421875" customWidth="1"/>
    <col min="13" max="13" width="7.69140625" customWidth="1"/>
  </cols>
  <sheetData>
    <row r="1" spans="1:13" ht="20" x14ac:dyDescent="0.4">
      <c r="A1" s="15" t="s">
        <v>348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386</v>
      </c>
      <c r="B3" s="4" t="s">
        <v>287</v>
      </c>
      <c r="C3" s="3">
        <v>0</v>
      </c>
      <c r="D3" s="3">
        <v>0</v>
      </c>
      <c r="E3" s="3">
        <v>3</v>
      </c>
      <c r="F3" s="3">
        <v>0</v>
      </c>
      <c r="G3" s="3">
        <v>0</v>
      </c>
      <c r="H3" s="3">
        <v>0</v>
      </c>
      <c r="I3" s="3">
        <v>0</v>
      </c>
      <c r="J3" s="3">
        <v>1</v>
      </c>
      <c r="K3" s="3">
        <v>28</v>
      </c>
      <c r="L3" s="3">
        <v>0</v>
      </c>
      <c r="M3" s="3">
        <v>0</v>
      </c>
    </row>
    <row r="4" spans="1:13" x14ac:dyDescent="0.35">
      <c r="A4" s="3" t="s">
        <v>286</v>
      </c>
      <c r="B4" s="4" t="s">
        <v>598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3</v>
      </c>
      <c r="L4" s="3">
        <v>0</v>
      </c>
      <c r="M4" s="3">
        <v>0</v>
      </c>
    </row>
    <row r="5" spans="1:13" ht="62" x14ac:dyDescent="0.35">
      <c r="A5" s="3" t="s">
        <v>387</v>
      </c>
      <c r="B5" s="4" t="s">
        <v>599</v>
      </c>
      <c r="C5" s="3">
        <v>0</v>
      </c>
      <c r="D5" s="3">
        <v>0</v>
      </c>
      <c r="E5" s="3">
        <v>18</v>
      </c>
      <c r="F5" s="3">
        <v>0</v>
      </c>
      <c r="G5" s="3">
        <v>0</v>
      </c>
      <c r="H5" s="3">
        <v>0</v>
      </c>
      <c r="I5" s="3">
        <v>20</v>
      </c>
      <c r="J5" s="3">
        <v>0</v>
      </c>
      <c r="K5" s="3">
        <v>86</v>
      </c>
      <c r="L5" s="3">
        <v>0</v>
      </c>
      <c r="M5" s="3">
        <v>1</v>
      </c>
    </row>
    <row r="6" spans="1:13" ht="46.5" x14ac:dyDescent="0.35">
      <c r="A6" s="3" t="s">
        <v>388</v>
      </c>
      <c r="B6" s="4" t="s">
        <v>288</v>
      </c>
      <c r="C6" s="3">
        <v>0</v>
      </c>
      <c r="D6" s="3">
        <v>0</v>
      </c>
      <c r="E6" s="3">
        <v>23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126</v>
      </c>
      <c r="L6" s="3">
        <v>0</v>
      </c>
      <c r="M6" s="3">
        <v>0</v>
      </c>
    </row>
    <row r="7" spans="1:13" x14ac:dyDescent="0.35">
      <c r="A7" t="s">
        <v>600</v>
      </c>
      <c r="B7" s="2" t="s">
        <v>389</v>
      </c>
      <c r="C7" s="2">
        <f>SUM(Table40[American Sign Language Total])</f>
        <v>0</v>
      </c>
      <c r="D7" s="2">
        <f>SUM(Table40[Cantonese Total])</f>
        <v>0</v>
      </c>
      <c r="E7" s="2">
        <f>SUM(Table40[French Total])</f>
        <v>44</v>
      </c>
      <c r="F7" s="2">
        <f>SUM(Table40[German Total])</f>
        <v>0</v>
      </c>
      <c r="G7" s="2">
        <f>SUM(Table40[Japanese Total])</f>
        <v>0</v>
      </c>
      <c r="H7" s="2">
        <f>SUM(Table40[Korean Total])</f>
        <v>0</v>
      </c>
      <c r="I7" s="2">
        <f>SUM(Table40[Latin Total])</f>
        <v>20</v>
      </c>
      <c r="J7" s="2">
        <f>SUM(Table40[Mandarin Total])</f>
        <v>1</v>
      </c>
      <c r="K7" s="2">
        <f>SUM(Table40[Spanish Total])</f>
        <v>243</v>
      </c>
      <c r="L7" s="2">
        <f>SUM(Table40[Vietnamese Total])</f>
        <v>0</v>
      </c>
      <c r="M7" s="2">
        <f>SUM(Table40[Other Total])</f>
        <v>1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pageSetup scale="57" orientation="landscape" horizontalDpi="1200" verticalDpi="1200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M11"/>
  <sheetViews>
    <sheetView zoomScaleNormal="100" workbookViewId="0">
      <pane xSplit="1" ySplit="2" topLeftCell="B9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23046875" customWidth="1"/>
    <col min="2" max="2" width="26.3046875" customWidth="1"/>
    <col min="3" max="3" width="16.3046875" customWidth="1"/>
    <col min="4" max="4" width="10.07421875" customWidth="1"/>
    <col min="5" max="5" width="7.4609375" customWidth="1"/>
    <col min="6" max="6" width="7.765625" customWidth="1"/>
    <col min="7" max="7" width="9.23046875" customWidth="1"/>
    <col min="8" max="8" width="7.3046875" customWidth="1"/>
    <col min="9" max="9" width="7.4609375" customWidth="1"/>
    <col min="10" max="10" width="9.07421875" customWidth="1"/>
    <col min="11" max="11" width="7.84375" customWidth="1"/>
    <col min="12" max="12" width="11.07421875" customWidth="1"/>
    <col min="13" max="13" width="7.3046875" customWidth="1"/>
  </cols>
  <sheetData>
    <row r="1" spans="1:13" ht="20" x14ac:dyDescent="0.4">
      <c r="A1" s="15" t="s">
        <v>349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6.5" x14ac:dyDescent="0.35">
      <c r="A3" s="3" t="s">
        <v>390</v>
      </c>
      <c r="B3" s="4" t="s">
        <v>391</v>
      </c>
      <c r="C3" s="3">
        <v>0</v>
      </c>
      <c r="D3" s="3">
        <v>1</v>
      </c>
      <c r="E3" s="3">
        <v>24</v>
      </c>
      <c r="F3" s="3">
        <v>1</v>
      </c>
      <c r="G3" s="3">
        <v>7</v>
      </c>
      <c r="H3" s="3">
        <v>5</v>
      </c>
      <c r="I3" s="3">
        <v>0</v>
      </c>
      <c r="J3" s="3">
        <v>13</v>
      </c>
      <c r="K3" s="3">
        <v>105</v>
      </c>
      <c r="L3" s="3">
        <v>0</v>
      </c>
      <c r="M3" s="3">
        <v>0</v>
      </c>
    </row>
    <row r="4" spans="1:13" ht="31" x14ac:dyDescent="0.35">
      <c r="A4" s="3" t="s">
        <v>290</v>
      </c>
      <c r="B4" s="4" t="s">
        <v>505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19</v>
      </c>
      <c r="L4" s="3">
        <v>0</v>
      </c>
      <c r="M4" s="3">
        <v>0</v>
      </c>
    </row>
    <row r="5" spans="1:13" ht="46.5" x14ac:dyDescent="0.35">
      <c r="A5" s="3" t="s">
        <v>601</v>
      </c>
      <c r="B5" s="4" t="s">
        <v>602</v>
      </c>
      <c r="C5" s="3">
        <v>0</v>
      </c>
      <c r="D5" s="3">
        <v>0</v>
      </c>
      <c r="E5" s="3">
        <v>5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77</v>
      </c>
      <c r="L5" s="3">
        <v>0</v>
      </c>
      <c r="M5" s="3">
        <v>0</v>
      </c>
    </row>
    <row r="6" spans="1:13" ht="31" x14ac:dyDescent="0.35">
      <c r="A6" s="3" t="s">
        <v>289</v>
      </c>
      <c r="B6" s="4" t="s">
        <v>603</v>
      </c>
      <c r="C6" s="3">
        <v>0</v>
      </c>
      <c r="D6" s="3">
        <v>0</v>
      </c>
      <c r="E6" s="3">
        <v>6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64</v>
      </c>
      <c r="L6" s="3">
        <v>0</v>
      </c>
      <c r="M6" s="3">
        <v>0</v>
      </c>
    </row>
    <row r="7" spans="1:13" ht="31" x14ac:dyDescent="0.35">
      <c r="A7" s="4" t="s">
        <v>294</v>
      </c>
      <c r="B7" s="4" t="s">
        <v>295</v>
      </c>
      <c r="C7" s="3">
        <v>0</v>
      </c>
      <c r="D7" s="3">
        <v>0</v>
      </c>
      <c r="E7" s="3">
        <v>47</v>
      </c>
      <c r="F7" s="3">
        <v>3</v>
      </c>
      <c r="G7" s="3">
        <v>13</v>
      </c>
      <c r="H7" s="3">
        <v>1</v>
      </c>
      <c r="I7" s="3">
        <v>12</v>
      </c>
      <c r="J7" s="3">
        <v>26</v>
      </c>
      <c r="K7" s="3">
        <v>156</v>
      </c>
      <c r="L7" s="3">
        <v>0</v>
      </c>
      <c r="M7" s="3">
        <v>1</v>
      </c>
    </row>
    <row r="8" spans="1:13" ht="62" x14ac:dyDescent="0.35">
      <c r="A8" s="3" t="s">
        <v>292</v>
      </c>
      <c r="B8" s="4" t="s">
        <v>504</v>
      </c>
      <c r="C8" s="3">
        <v>0</v>
      </c>
      <c r="D8" s="3">
        <v>0</v>
      </c>
      <c r="E8" s="3">
        <v>32</v>
      </c>
      <c r="F8" s="3">
        <v>0</v>
      </c>
      <c r="G8" s="3">
        <v>0</v>
      </c>
      <c r="H8" s="3">
        <v>0</v>
      </c>
      <c r="I8" s="3">
        <v>0</v>
      </c>
      <c r="J8" s="3">
        <v>2</v>
      </c>
      <c r="K8" s="3">
        <v>156</v>
      </c>
      <c r="L8" s="3">
        <v>0</v>
      </c>
      <c r="M8" s="3">
        <v>12</v>
      </c>
    </row>
    <row r="9" spans="1:13" ht="77.5" x14ac:dyDescent="0.35">
      <c r="A9" s="4" t="s">
        <v>293</v>
      </c>
      <c r="B9" s="4" t="s">
        <v>604</v>
      </c>
      <c r="C9" s="3">
        <v>0</v>
      </c>
      <c r="D9" s="3">
        <v>0</v>
      </c>
      <c r="E9" s="3">
        <v>51</v>
      </c>
      <c r="F9" s="3">
        <v>1</v>
      </c>
      <c r="G9" s="3">
        <v>4</v>
      </c>
      <c r="H9" s="3">
        <v>0</v>
      </c>
      <c r="I9" s="3">
        <v>0</v>
      </c>
      <c r="J9" s="3">
        <v>59</v>
      </c>
      <c r="K9" s="3">
        <v>180</v>
      </c>
      <c r="L9" s="3">
        <v>0</v>
      </c>
      <c r="M9" s="3">
        <v>3</v>
      </c>
    </row>
    <row r="10" spans="1:13" ht="31" x14ac:dyDescent="0.35">
      <c r="A10" s="3" t="s">
        <v>291</v>
      </c>
      <c r="B10" s="4" t="s">
        <v>296</v>
      </c>
      <c r="C10" s="3">
        <v>0</v>
      </c>
      <c r="D10" s="3">
        <v>0</v>
      </c>
      <c r="E10" s="3">
        <v>15</v>
      </c>
      <c r="F10" s="3">
        <v>1</v>
      </c>
      <c r="G10" s="3">
        <v>20</v>
      </c>
      <c r="H10" s="3">
        <v>0</v>
      </c>
      <c r="I10" s="3">
        <v>0</v>
      </c>
      <c r="J10" s="3">
        <v>0</v>
      </c>
      <c r="K10" s="3">
        <v>44</v>
      </c>
      <c r="L10" s="3">
        <v>0</v>
      </c>
      <c r="M10" s="3">
        <v>0</v>
      </c>
    </row>
    <row r="11" spans="1:13" x14ac:dyDescent="0.35">
      <c r="A11" t="s">
        <v>605</v>
      </c>
      <c r="B11" s="2" t="s">
        <v>87</v>
      </c>
      <c r="C11" s="8">
        <f>SUM(Table41[American Sign Language Total])</f>
        <v>0</v>
      </c>
      <c r="D11" s="8">
        <f>SUM(Table41[Cantonese Total])</f>
        <v>1</v>
      </c>
      <c r="E11" s="8">
        <f>SUM(Table41[French Total])</f>
        <v>180</v>
      </c>
      <c r="F11" s="8">
        <f>SUM(Table41[German Total])</f>
        <v>6</v>
      </c>
      <c r="G11" s="8">
        <f>SUM(Table41[Japanese Total])</f>
        <v>44</v>
      </c>
      <c r="H11" s="8">
        <f>SUM(Table41[Korean Total])</f>
        <v>6</v>
      </c>
      <c r="I11" s="8">
        <f>SUM(Table41[Latin Total])</f>
        <v>12</v>
      </c>
      <c r="J11" s="8">
        <f>SUM(Table41[Mandarin Total])</f>
        <v>100</v>
      </c>
      <c r="K11" s="8">
        <f>SUM(Table41[Spanish Total])</f>
        <v>801</v>
      </c>
      <c r="L11" s="8">
        <f>SUM(Table41[Vietnamese Total])</f>
        <v>0</v>
      </c>
      <c r="M11" s="8">
        <f>SUM(Table41[Other Total])</f>
        <v>16</v>
      </c>
    </row>
  </sheetData>
  <pageMargins left="0.7" right="0.7" top="0.75" bottom="0.75" header="0.3" footer="0.3"/>
  <pageSetup scale="55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23046875" customWidth="1"/>
    <col min="2" max="2" width="26.3046875" customWidth="1"/>
    <col min="3" max="3" width="16.3046875" customWidth="1"/>
    <col min="4" max="4" width="10.07421875" customWidth="1"/>
    <col min="5" max="5" width="7.4609375" customWidth="1"/>
    <col min="6" max="6" width="7.765625" customWidth="1"/>
    <col min="7" max="7" width="9.23046875" customWidth="1"/>
    <col min="8" max="8" width="7.3046875" customWidth="1"/>
    <col min="9" max="9" width="7.4609375" customWidth="1"/>
    <col min="10" max="10" width="9.07421875" customWidth="1"/>
    <col min="11" max="11" width="7.84375" customWidth="1"/>
    <col min="12" max="12" width="11.07421875" customWidth="1"/>
    <col min="13" max="13" width="7.3046875" customWidth="1"/>
  </cols>
  <sheetData>
    <row r="1" spans="1:13" ht="20" x14ac:dyDescent="0.4">
      <c r="A1" s="15" t="s">
        <v>350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607</v>
      </c>
      <c r="B3" s="4" t="s">
        <v>608</v>
      </c>
      <c r="C3" s="3">
        <v>0</v>
      </c>
      <c r="D3" s="3">
        <v>0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79</v>
      </c>
      <c r="L3" s="3">
        <v>0</v>
      </c>
      <c r="M3" s="3">
        <v>1</v>
      </c>
    </row>
    <row r="4" spans="1:13" x14ac:dyDescent="0.35">
      <c r="A4" s="3" t="s">
        <v>609</v>
      </c>
      <c r="B4" s="4" t="s">
        <v>610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5</v>
      </c>
      <c r="L4" s="3">
        <v>0</v>
      </c>
      <c r="M4" s="3">
        <v>0</v>
      </c>
    </row>
    <row r="5" spans="1:13" x14ac:dyDescent="0.35">
      <c r="A5" t="s">
        <v>606</v>
      </c>
      <c r="B5" s="2" t="s">
        <v>94</v>
      </c>
      <c r="C5" s="8">
        <f>SUM(Table4144[American Sign Language Total])</f>
        <v>0</v>
      </c>
      <c r="D5" s="8">
        <f>SUM(Table4144[Cantonese Total])</f>
        <v>0</v>
      </c>
      <c r="E5" s="8">
        <f>SUM(Table4144[French Total])</f>
        <v>1</v>
      </c>
      <c r="F5" s="8">
        <f>SUM(Table4144[German Total])</f>
        <v>0</v>
      </c>
      <c r="G5" s="8">
        <f>SUM(Table4144[Japanese Total])</f>
        <v>0</v>
      </c>
      <c r="H5" s="8">
        <f>SUM(Table4144[Korean Total])</f>
        <v>0</v>
      </c>
      <c r="I5" s="8">
        <f>SUM(Table4144[Latin Total])</f>
        <v>0</v>
      </c>
      <c r="J5" s="8">
        <f>SUM(Table4144[Mandarin Total])</f>
        <v>0</v>
      </c>
      <c r="K5" s="8">
        <f>SUM(Table4144[Spanish Total])</f>
        <v>84</v>
      </c>
      <c r="L5" s="8">
        <f>SUM(Table4144[Vietnamese Total])</f>
        <v>0</v>
      </c>
      <c r="M5" s="8">
        <f>SUM(Table4144[Other Total])</f>
        <v>1</v>
      </c>
    </row>
  </sheetData>
  <pageMargins left="0.7" right="0.7" top="0.75" bottom="0.75" header="0.3" footer="0.3"/>
  <pageSetup scale="55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84375" customWidth="1"/>
    <col min="2" max="2" width="17.3046875" customWidth="1"/>
    <col min="3" max="3" width="16.4609375" customWidth="1"/>
    <col min="4" max="4" width="10.23046875" customWidth="1"/>
    <col min="5" max="5" width="7.3046875" customWidth="1"/>
    <col min="6" max="6" width="7.84375" customWidth="1"/>
    <col min="7" max="7" width="9.07421875" customWidth="1"/>
    <col min="8" max="8" width="7.4609375" customWidth="1"/>
    <col min="9" max="9" width="7.3046875" customWidth="1"/>
    <col min="10" max="10" width="9.07421875" customWidth="1"/>
    <col min="11" max="11" width="8.07421875" customWidth="1"/>
    <col min="12" max="12" width="11" customWidth="1"/>
    <col min="13" max="13" width="7.4609375" customWidth="1"/>
  </cols>
  <sheetData>
    <row r="1" spans="1:13" ht="20" x14ac:dyDescent="0.4">
      <c r="A1" s="15" t="s">
        <v>351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297</v>
      </c>
      <c r="B3" t="s">
        <v>392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7</v>
      </c>
      <c r="L3">
        <v>0</v>
      </c>
      <c r="M3">
        <v>0</v>
      </c>
    </row>
    <row r="4" spans="1:13" s="2" customFormat="1" x14ac:dyDescent="0.35">
      <c r="A4" s="16" t="s">
        <v>393</v>
      </c>
      <c r="B4" s="2" t="s">
        <v>34</v>
      </c>
      <c r="C4" s="2" t="s">
        <v>441</v>
      </c>
      <c r="D4" s="2" t="s">
        <v>441</v>
      </c>
      <c r="E4" s="2" t="s">
        <v>441</v>
      </c>
      <c r="F4" s="2" t="s">
        <v>441</v>
      </c>
      <c r="G4" s="2" t="s">
        <v>441</v>
      </c>
      <c r="H4" s="2" t="s">
        <v>441</v>
      </c>
      <c r="I4" s="2" t="s">
        <v>441</v>
      </c>
      <c r="J4" s="2" t="s">
        <v>441</v>
      </c>
      <c r="K4" s="2" t="s">
        <v>194</v>
      </c>
      <c r="L4" s="2" t="s">
        <v>441</v>
      </c>
      <c r="M4" s="2" t="s">
        <v>441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1.69140625" customWidth="1"/>
    <col min="3" max="3" width="16.69140625" customWidth="1"/>
    <col min="4" max="4" width="10.23046875" customWidth="1"/>
    <col min="5" max="5" width="7.4609375" customWidth="1"/>
    <col min="6" max="6" width="7.765625" customWidth="1"/>
    <col min="7" max="7" width="9.07421875" customWidth="1"/>
    <col min="8" max="8" width="7.53515625" customWidth="1"/>
    <col min="9" max="9" width="7.4609375" customWidth="1"/>
    <col min="10" max="10" width="9.3046875" customWidth="1"/>
    <col min="11" max="11" width="8" customWidth="1"/>
    <col min="12" max="12" width="11" customWidth="1"/>
    <col min="13" max="13" width="7.4609375" customWidth="1"/>
  </cols>
  <sheetData>
    <row r="1" spans="1:13" s="15" customFormat="1" ht="20" x14ac:dyDescent="0.4">
      <c r="A1" s="15" t="s">
        <v>352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394</v>
      </c>
      <c r="B3" s="4" t="s">
        <v>507</v>
      </c>
      <c r="C3" s="3">
        <v>0</v>
      </c>
      <c r="D3" s="3">
        <v>0</v>
      </c>
      <c r="E3" s="3">
        <v>28</v>
      </c>
      <c r="F3" s="3">
        <v>25</v>
      </c>
      <c r="G3" s="3">
        <v>0</v>
      </c>
      <c r="H3" s="3">
        <v>0</v>
      </c>
      <c r="I3" s="3">
        <v>0</v>
      </c>
      <c r="J3" s="3">
        <v>0</v>
      </c>
      <c r="K3" s="3">
        <v>71</v>
      </c>
      <c r="L3" s="3">
        <v>0</v>
      </c>
      <c r="M3" s="3">
        <v>0</v>
      </c>
    </row>
    <row r="4" spans="1:13" ht="62" x14ac:dyDescent="0.35">
      <c r="A4" s="3" t="s">
        <v>395</v>
      </c>
      <c r="B4" s="4" t="s">
        <v>611</v>
      </c>
      <c r="C4" s="3">
        <v>0</v>
      </c>
      <c r="D4" s="3">
        <v>0</v>
      </c>
      <c r="E4" s="3">
        <v>4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66</v>
      </c>
      <c r="L4" s="3">
        <v>0</v>
      </c>
      <c r="M4" s="3">
        <v>0</v>
      </c>
    </row>
    <row r="5" spans="1:13" x14ac:dyDescent="0.35">
      <c r="A5" s="3" t="s">
        <v>298</v>
      </c>
      <c r="B5" s="4" t="s">
        <v>396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15</v>
      </c>
      <c r="K5" s="3">
        <v>15</v>
      </c>
      <c r="L5" s="3">
        <v>0</v>
      </c>
      <c r="M5" s="3">
        <v>0</v>
      </c>
    </row>
    <row r="6" spans="1:13" s="2" customFormat="1" x14ac:dyDescent="0.35">
      <c r="A6" s="16" t="s">
        <v>506</v>
      </c>
      <c r="B6" s="2" t="s">
        <v>194</v>
      </c>
      <c r="C6" s="2">
        <f>SUM(Table44[American Sign Language Total])</f>
        <v>0</v>
      </c>
      <c r="D6" s="2">
        <f>SUM(Table44[Cantonese Total])</f>
        <v>0</v>
      </c>
      <c r="E6" s="2">
        <f>SUM(Table44[French Total])</f>
        <v>32</v>
      </c>
      <c r="F6" s="2">
        <f>SUM(Table44[German Total])</f>
        <v>25</v>
      </c>
      <c r="G6" s="2">
        <f>SUM(Table44[Japanese Total])</f>
        <v>0</v>
      </c>
      <c r="H6" s="2">
        <f>SUM(Table44[Korean Total])</f>
        <v>0</v>
      </c>
      <c r="I6" s="2">
        <f>SUM(Table44[Latin Total])</f>
        <v>0</v>
      </c>
      <c r="J6" s="2">
        <f>SUM(Table44[Mandarin Total])</f>
        <v>15</v>
      </c>
      <c r="K6" s="2">
        <f>SUM(Table44[Spanish Total])</f>
        <v>152</v>
      </c>
      <c r="L6" s="2">
        <f>SUM(Table44[Vietnamese Total])</f>
        <v>0</v>
      </c>
      <c r="M6" s="2">
        <f>SUM(Table44[Other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69140625" customWidth="1"/>
    <col min="2" max="2" width="21.4609375" customWidth="1"/>
    <col min="3" max="3" width="17.3046875" customWidth="1"/>
    <col min="4" max="4" width="10.23046875" customWidth="1"/>
    <col min="5" max="5" width="7.69140625" customWidth="1"/>
    <col min="6" max="6" width="7.84375" customWidth="1"/>
    <col min="7" max="7" width="9.84375" customWidth="1"/>
    <col min="8" max="8" width="8" customWidth="1"/>
    <col min="9" max="9" width="7.4609375" customWidth="1"/>
    <col min="10" max="10" width="9.3046875" customWidth="1"/>
    <col min="11" max="11" width="8.4609375" customWidth="1"/>
    <col min="12" max="12" width="11.3046875" customWidth="1"/>
    <col min="13" max="13" width="7.765625" customWidth="1"/>
  </cols>
  <sheetData>
    <row r="1" spans="1:13" ht="20" x14ac:dyDescent="0.4">
      <c r="A1" s="15" t="s">
        <v>317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62" x14ac:dyDescent="0.35">
      <c r="A3" s="4" t="s">
        <v>482</v>
      </c>
      <c r="B3" s="4" t="s">
        <v>481</v>
      </c>
      <c r="C3" s="20">
        <v>0</v>
      </c>
      <c r="D3" s="20">
        <v>0</v>
      </c>
      <c r="E3" s="20">
        <v>79</v>
      </c>
      <c r="F3" s="20">
        <v>10</v>
      </c>
      <c r="G3" s="20">
        <v>22</v>
      </c>
      <c r="H3" s="20">
        <v>0</v>
      </c>
      <c r="I3" s="20">
        <v>26</v>
      </c>
      <c r="J3" s="20">
        <v>50</v>
      </c>
      <c r="K3" s="20">
        <v>268</v>
      </c>
      <c r="L3" s="20">
        <v>0</v>
      </c>
      <c r="M3" s="20">
        <v>0</v>
      </c>
    </row>
    <row r="4" spans="1:13" ht="46.5" x14ac:dyDescent="0.35">
      <c r="A4" s="4" t="s">
        <v>36</v>
      </c>
      <c r="B4" s="4" t="s">
        <v>107</v>
      </c>
      <c r="C4" s="18">
        <v>1</v>
      </c>
      <c r="D4" s="18">
        <v>1</v>
      </c>
      <c r="E4" s="18">
        <v>6</v>
      </c>
      <c r="F4" s="18">
        <v>0</v>
      </c>
      <c r="G4" s="18">
        <v>5</v>
      </c>
      <c r="H4" s="18">
        <v>0</v>
      </c>
      <c r="I4" s="18">
        <v>0</v>
      </c>
      <c r="J4" s="18">
        <v>0</v>
      </c>
      <c r="K4" s="18">
        <v>31</v>
      </c>
      <c r="L4" s="18">
        <v>2</v>
      </c>
      <c r="M4" s="18">
        <v>8</v>
      </c>
    </row>
    <row r="5" spans="1:13" x14ac:dyDescent="0.35">
      <c r="A5" s="4" t="s">
        <v>40</v>
      </c>
      <c r="B5" s="4" t="s">
        <v>39</v>
      </c>
      <c r="C5" s="18">
        <v>0</v>
      </c>
      <c r="D5" s="18">
        <v>1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4</v>
      </c>
      <c r="L5" s="18">
        <v>0</v>
      </c>
      <c r="M5" s="18">
        <v>0</v>
      </c>
    </row>
    <row r="6" spans="1:13" ht="31" x14ac:dyDescent="0.35">
      <c r="A6" s="4" t="s">
        <v>41</v>
      </c>
      <c r="B6" s="4" t="s">
        <v>108</v>
      </c>
      <c r="C6" s="18">
        <v>0</v>
      </c>
      <c r="D6" s="18">
        <v>0</v>
      </c>
      <c r="E6" s="18">
        <v>28</v>
      </c>
      <c r="F6" s="18">
        <v>7</v>
      </c>
      <c r="G6" s="18">
        <v>0</v>
      </c>
      <c r="H6" s="18">
        <v>0</v>
      </c>
      <c r="I6" s="18">
        <v>0</v>
      </c>
      <c r="J6" s="18">
        <v>0</v>
      </c>
      <c r="K6" s="18">
        <v>71</v>
      </c>
      <c r="L6" s="18">
        <v>0</v>
      </c>
      <c r="M6" s="18">
        <v>0</v>
      </c>
    </row>
    <row r="7" spans="1:13" ht="77.5" x14ac:dyDescent="0.35">
      <c r="A7" s="4" t="s">
        <v>42</v>
      </c>
      <c r="B7" s="4" t="s">
        <v>480</v>
      </c>
      <c r="C7" s="18">
        <v>0</v>
      </c>
      <c r="D7" s="18">
        <v>0</v>
      </c>
      <c r="E7" s="18">
        <v>46</v>
      </c>
      <c r="F7" s="18">
        <v>30</v>
      </c>
      <c r="G7" s="18">
        <v>1</v>
      </c>
      <c r="H7" s="18">
        <v>0</v>
      </c>
      <c r="I7" s="18">
        <v>1</v>
      </c>
      <c r="J7" s="18">
        <v>0</v>
      </c>
      <c r="K7" s="18">
        <v>180</v>
      </c>
      <c r="L7" s="18">
        <v>0</v>
      </c>
      <c r="M7" s="18">
        <v>0</v>
      </c>
    </row>
    <row r="8" spans="1:13" x14ac:dyDescent="0.35">
      <c r="A8" s="4" t="s">
        <v>43</v>
      </c>
      <c r="B8" s="4" t="s">
        <v>38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35</v>
      </c>
      <c r="L8" s="18">
        <v>0</v>
      </c>
      <c r="M8" s="18">
        <v>0</v>
      </c>
    </row>
    <row r="9" spans="1:13" ht="77.5" x14ac:dyDescent="0.35">
      <c r="A9" s="4" t="s">
        <v>44</v>
      </c>
      <c r="B9" s="4" t="s">
        <v>109</v>
      </c>
      <c r="C9" s="18">
        <v>0</v>
      </c>
      <c r="D9" s="18">
        <v>0</v>
      </c>
      <c r="E9" s="18">
        <v>172</v>
      </c>
      <c r="F9" s="18">
        <v>1</v>
      </c>
      <c r="G9" s="18">
        <v>15</v>
      </c>
      <c r="H9" s="18">
        <v>25</v>
      </c>
      <c r="I9" s="18">
        <v>0</v>
      </c>
      <c r="J9" s="18">
        <v>81</v>
      </c>
      <c r="K9" s="18">
        <v>558</v>
      </c>
      <c r="L9" s="18">
        <v>0</v>
      </c>
      <c r="M9" s="18">
        <v>0</v>
      </c>
    </row>
    <row r="10" spans="1:13" ht="124" x14ac:dyDescent="0.35">
      <c r="A10" s="4" t="s">
        <v>37</v>
      </c>
      <c r="B10" s="4" t="s">
        <v>528</v>
      </c>
      <c r="C10" s="18">
        <v>0</v>
      </c>
      <c r="D10" s="18">
        <v>0</v>
      </c>
      <c r="E10" s="18">
        <v>15</v>
      </c>
      <c r="F10" s="18">
        <v>0</v>
      </c>
      <c r="G10" s="18">
        <v>3</v>
      </c>
      <c r="H10" s="18">
        <v>0</v>
      </c>
      <c r="I10" s="18">
        <v>0</v>
      </c>
      <c r="J10" s="18">
        <v>0</v>
      </c>
      <c r="K10" s="18">
        <v>146</v>
      </c>
      <c r="L10" s="18">
        <v>0</v>
      </c>
      <c r="M10" s="18">
        <v>0</v>
      </c>
    </row>
    <row r="11" spans="1:13" x14ac:dyDescent="0.35">
      <c r="A11" t="s">
        <v>519</v>
      </c>
      <c r="B11" s="9" t="s">
        <v>529</v>
      </c>
      <c r="C11" s="19">
        <f>SUM(Table7[American Sign Language Total])</f>
        <v>1</v>
      </c>
      <c r="D11" s="19">
        <f>SUM(Table7[Cantonese Total])</f>
        <v>2</v>
      </c>
      <c r="E11" s="19">
        <f>SUM(Table7[French Total])</f>
        <v>346</v>
      </c>
      <c r="F11" s="19">
        <f>SUM(Table7[German Total])</f>
        <v>48</v>
      </c>
      <c r="G11" s="19">
        <f>SUM(Table7[Japanese Total])</f>
        <v>46</v>
      </c>
      <c r="H11" s="19">
        <f>SUM(Table7[Korean Total])</f>
        <v>25</v>
      </c>
      <c r="I11" s="19">
        <f>SUM(Table7[Latin Total])</f>
        <v>27</v>
      </c>
      <c r="J11" s="19">
        <f>SUM(Table7[Mandarin Total])</f>
        <v>131</v>
      </c>
      <c r="K11" s="19">
        <f>SUM(Table7[Spanish Total])</f>
        <v>1293</v>
      </c>
      <c r="L11" s="19">
        <f>SUM(Table7[Vietnamese Total])</f>
        <v>2</v>
      </c>
      <c r="M11" s="19">
        <f>SUM(Table7[Other Total])</f>
        <v>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9" bestFit="1" customWidth="1"/>
    <col min="2" max="2" width="24.3046875" customWidth="1"/>
    <col min="3" max="3" width="16.84375" customWidth="1"/>
    <col min="4" max="4" width="10.07421875" customWidth="1"/>
    <col min="5" max="5" width="7.69140625" customWidth="1"/>
    <col min="6" max="6" width="7.84375" customWidth="1"/>
    <col min="7" max="7" width="9.07421875" customWidth="1"/>
    <col min="8" max="9" width="7.3046875" customWidth="1"/>
    <col min="10" max="10" width="9.07421875" customWidth="1"/>
    <col min="11" max="11" width="8.07421875" customWidth="1"/>
    <col min="12" max="12" width="10.84375" customWidth="1"/>
    <col min="13" max="13" width="7.3046875" customWidth="1"/>
  </cols>
  <sheetData>
    <row r="1" spans="1:13" ht="20" x14ac:dyDescent="0.4">
      <c r="A1" s="15" t="s">
        <v>353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303</v>
      </c>
      <c r="B3" s="4" t="s">
        <v>399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15</v>
      </c>
      <c r="L3" s="3">
        <v>0</v>
      </c>
      <c r="M3" s="3">
        <v>0</v>
      </c>
    </row>
    <row r="4" spans="1:13" x14ac:dyDescent="0.35">
      <c r="A4" s="3" t="s">
        <v>301</v>
      </c>
      <c r="B4" s="4" t="s">
        <v>400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13</v>
      </c>
      <c r="L4" s="3">
        <v>0</v>
      </c>
      <c r="M4" s="3">
        <v>0</v>
      </c>
    </row>
    <row r="5" spans="1:13" ht="31" x14ac:dyDescent="0.35">
      <c r="A5" s="3" t="s">
        <v>302</v>
      </c>
      <c r="B5" s="4" t="s">
        <v>304</v>
      </c>
      <c r="C5" s="3">
        <v>6</v>
      </c>
      <c r="D5" s="3">
        <v>1</v>
      </c>
      <c r="E5" s="3">
        <v>1</v>
      </c>
      <c r="F5" s="3">
        <v>2</v>
      </c>
      <c r="G5" s="3">
        <v>0</v>
      </c>
      <c r="H5" s="3">
        <v>1</v>
      </c>
      <c r="I5" s="3">
        <v>0</v>
      </c>
      <c r="J5" s="3">
        <v>1</v>
      </c>
      <c r="K5" s="3">
        <v>60</v>
      </c>
      <c r="L5" s="3">
        <v>0</v>
      </c>
      <c r="M5" s="3">
        <v>3</v>
      </c>
    </row>
    <row r="6" spans="1:13" x14ac:dyDescent="0.35">
      <c r="A6" s="3" t="s">
        <v>299</v>
      </c>
      <c r="B6" s="4" t="s">
        <v>305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26</v>
      </c>
      <c r="L6" s="3">
        <v>0</v>
      </c>
      <c r="M6" s="3">
        <v>0</v>
      </c>
    </row>
    <row r="7" spans="1:13" ht="62" x14ac:dyDescent="0.35">
      <c r="A7" s="3" t="s">
        <v>300</v>
      </c>
      <c r="B7" s="4" t="s">
        <v>401</v>
      </c>
      <c r="C7" s="3">
        <v>0</v>
      </c>
      <c r="D7" s="3">
        <v>0</v>
      </c>
      <c r="E7" s="3">
        <v>58</v>
      </c>
      <c r="F7" s="3">
        <v>0</v>
      </c>
      <c r="G7" s="3">
        <v>0</v>
      </c>
      <c r="H7" s="3">
        <v>0</v>
      </c>
      <c r="I7" s="3">
        <v>8</v>
      </c>
      <c r="J7" s="3">
        <v>9</v>
      </c>
      <c r="K7" s="3">
        <v>282</v>
      </c>
      <c r="L7" s="3">
        <v>0</v>
      </c>
      <c r="M7" s="3">
        <v>0</v>
      </c>
    </row>
    <row r="8" spans="1:13" x14ac:dyDescent="0.35">
      <c r="A8" s="3" t="s">
        <v>397</v>
      </c>
      <c r="B8" s="4" t="s">
        <v>402</v>
      </c>
      <c r="C8" s="3">
        <v>0</v>
      </c>
      <c r="D8" s="3">
        <v>0</v>
      </c>
      <c r="E8" s="3">
        <v>5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36</v>
      </c>
      <c r="L8" s="3">
        <v>0</v>
      </c>
      <c r="M8" s="3">
        <v>0</v>
      </c>
    </row>
    <row r="9" spans="1:13" x14ac:dyDescent="0.35">
      <c r="A9" s="3" t="s">
        <v>398</v>
      </c>
      <c r="B9" s="4" t="s">
        <v>403</v>
      </c>
      <c r="C9" s="3">
        <v>0</v>
      </c>
      <c r="D9" s="3">
        <v>0</v>
      </c>
      <c r="E9" s="3">
        <v>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64</v>
      </c>
      <c r="L9" s="3">
        <v>0</v>
      </c>
      <c r="M9" s="3">
        <v>0</v>
      </c>
    </row>
    <row r="10" spans="1:13" x14ac:dyDescent="0.35">
      <c r="A10" s="3" t="s">
        <v>509</v>
      </c>
      <c r="B10" s="4" t="s">
        <v>508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29</v>
      </c>
      <c r="L10" s="3">
        <v>0</v>
      </c>
      <c r="M10" s="3">
        <v>0</v>
      </c>
    </row>
    <row r="11" spans="1:13" x14ac:dyDescent="0.35">
      <c r="A11" t="s">
        <v>612</v>
      </c>
      <c r="B11" s="2" t="s">
        <v>404</v>
      </c>
      <c r="C11">
        <f>SUM(Table45[American Sign Language Total])</f>
        <v>6</v>
      </c>
      <c r="D11">
        <f>SUM(Table45[Cantonese Total])</f>
        <v>1</v>
      </c>
      <c r="E11">
        <f>SUM(Table45[French Total])</f>
        <v>70</v>
      </c>
      <c r="F11">
        <f>SUM(Table45[German Total])</f>
        <v>2</v>
      </c>
      <c r="G11">
        <f>SUM(Table45[Japanese Total])</f>
        <v>0</v>
      </c>
      <c r="H11">
        <f>SUM(Table45[Korean Total])</f>
        <v>1</v>
      </c>
      <c r="I11">
        <f>SUM(Table45[Latin Total])</f>
        <v>8</v>
      </c>
      <c r="J11">
        <f>SUM(Table45[Mandarin Total])</f>
        <v>10</v>
      </c>
      <c r="K11">
        <f>SUM(Table45[Spanish Total])</f>
        <v>525</v>
      </c>
      <c r="L11">
        <f>SUM(Table45[Vietnamese Total])</f>
        <v>0</v>
      </c>
      <c r="M11">
        <f>SUM(Table45[Other Total])</f>
        <v>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3046875" bestFit="1" customWidth="1"/>
    <col min="2" max="2" width="32.3046875" customWidth="1"/>
    <col min="3" max="3" width="16.84375" customWidth="1"/>
    <col min="4" max="4" width="10.3046875" customWidth="1"/>
    <col min="5" max="5" width="7.3046875" customWidth="1"/>
    <col min="6" max="6" width="7.765625" customWidth="1"/>
    <col min="7" max="7" width="9.3046875" customWidth="1"/>
    <col min="8" max="9" width="7.69140625" customWidth="1"/>
    <col min="10" max="10" width="9.3046875" customWidth="1"/>
    <col min="11" max="11" width="8.23046875" customWidth="1"/>
    <col min="12" max="12" width="11.07421875" customWidth="1"/>
    <col min="13" max="13" width="7.4609375" customWidth="1"/>
  </cols>
  <sheetData>
    <row r="1" spans="1:13" ht="20" x14ac:dyDescent="0.4">
      <c r="A1" s="15" t="s">
        <v>354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307</v>
      </c>
      <c r="B3" t="s">
        <v>407</v>
      </c>
      <c r="C3">
        <v>0</v>
      </c>
      <c r="D3">
        <v>0</v>
      </c>
      <c r="E3">
        <v>0</v>
      </c>
      <c r="F3">
        <v>6</v>
      </c>
      <c r="G3">
        <v>0</v>
      </c>
      <c r="H3">
        <v>0</v>
      </c>
      <c r="I3">
        <v>0</v>
      </c>
      <c r="J3">
        <v>0</v>
      </c>
      <c r="K3">
        <v>57</v>
      </c>
      <c r="L3">
        <v>0</v>
      </c>
      <c r="M3">
        <v>0</v>
      </c>
    </row>
    <row r="4" spans="1:13" ht="77.5" x14ac:dyDescent="0.35">
      <c r="A4" s="3" t="s">
        <v>306</v>
      </c>
      <c r="B4" s="4" t="s">
        <v>613</v>
      </c>
      <c r="C4" s="3">
        <v>0</v>
      </c>
      <c r="D4" s="3">
        <v>0</v>
      </c>
      <c r="E4" s="3">
        <v>27</v>
      </c>
      <c r="F4" s="3">
        <v>8</v>
      </c>
      <c r="G4" s="3">
        <v>0</v>
      </c>
      <c r="H4" s="3">
        <v>0</v>
      </c>
      <c r="I4" s="3">
        <v>0</v>
      </c>
      <c r="J4" s="3">
        <v>1</v>
      </c>
      <c r="K4" s="3">
        <v>111</v>
      </c>
      <c r="L4" s="3">
        <v>0</v>
      </c>
      <c r="M4" s="3">
        <v>0</v>
      </c>
    </row>
    <row r="5" spans="1:13" x14ac:dyDescent="0.35">
      <c r="A5" t="s">
        <v>405</v>
      </c>
      <c r="B5" t="s">
        <v>408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31</v>
      </c>
      <c r="L5" s="3">
        <v>0</v>
      </c>
      <c r="M5" s="3">
        <v>0</v>
      </c>
    </row>
    <row r="6" spans="1:13" x14ac:dyDescent="0.35">
      <c r="A6" s="3" t="s">
        <v>406</v>
      </c>
      <c r="B6" s="4" t="s">
        <v>614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76</v>
      </c>
      <c r="L6" s="3">
        <v>0</v>
      </c>
      <c r="M6" s="3">
        <v>0</v>
      </c>
    </row>
    <row r="7" spans="1:13" x14ac:dyDescent="0.35">
      <c r="A7" t="s">
        <v>512</v>
      </c>
      <c r="B7" s="2" t="s">
        <v>189</v>
      </c>
      <c r="C7">
        <f>SUM(Table46[American Sign Language Total])</f>
        <v>0</v>
      </c>
      <c r="D7">
        <f>SUM(Table46[Cantonese Total])</f>
        <v>0</v>
      </c>
      <c r="E7">
        <f>SUM(Table46[French Total])</f>
        <v>27</v>
      </c>
      <c r="F7">
        <f>SUM(Table46[German Total])</f>
        <v>14</v>
      </c>
      <c r="G7">
        <f>SUM(Table46[Japanese Total])</f>
        <v>0</v>
      </c>
      <c r="H7">
        <f>SUM(Table46[Korean Total])</f>
        <v>0</v>
      </c>
      <c r="I7">
        <f>SUM(Table46[Latin Total])</f>
        <v>0</v>
      </c>
      <c r="J7">
        <f>SUM(Table46[Mandarin Total])</f>
        <v>1</v>
      </c>
      <c r="K7">
        <f>SUM(Table46[Spanish Total])</f>
        <v>275</v>
      </c>
      <c r="L7">
        <f>SUM(Table46[Vietnamese Total])</f>
        <v>0</v>
      </c>
      <c r="M7">
        <f>SUM(Table46[Other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84375" customWidth="1"/>
    <col min="2" max="2" width="28.3046875" customWidth="1"/>
    <col min="3" max="3" width="16.765625" customWidth="1"/>
    <col min="4" max="4" width="10.23046875" customWidth="1"/>
    <col min="5" max="5" width="7.3046875" customWidth="1"/>
    <col min="6" max="6" width="7.84375" customWidth="1"/>
    <col min="7" max="7" width="9" customWidth="1"/>
    <col min="8" max="9" width="7.3046875" customWidth="1"/>
    <col min="10" max="10" width="9.3046875" customWidth="1"/>
    <col min="11" max="11" width="8.07421875" customWidth="1"/>
    <col min="12" max="12" width="11.07421875" customWidth="1"/>
    <col min="13" max="13" width="7.3046875" customWidth="1"/>
  </cols>
  <sheetData>
    <row r="1" spans="1:13" ht="20" x14ac:dyDescent="0.4">
      <c r="A1" s="15" t="s">
        <v>355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409</v>
      </c>
      <c r="B3" t="s">
        <v>412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4</v>
      </c>
      <c r="L3">
        <v>0</v>
      </c>
      <c r="M3">
        <v>0</v>
      </c>
    </row>
    <row r="4" spans="1:13" x14ac:dyDescent="0.35">
      <c r="A4" t="s">
        <v>410</v>
      </c>
      <c r="B4" t="s">
        <v>413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22</v>
      </c>
      <c r="L4">
        <v>0</v>
      </c>
      <c r="M4">
        <v>0</v>
      </c>
    </row>
    <row r="5" spans="1:13" x14ac:dyDescent="0.35">
      <c r="A5" t="s">
        <v>411</v>
      </c>
      <c r="B5" t="s">
        <v>414</v>
      </c>
      <c r="C5">
        <v>0</v>
      </c>
      <c r="D5">
        <v>0</v>
      </c>
      <c r="E5">
        <v>6</v>
      </c>
      <c r="F5">
        <v>8</v>
      </c>
      <c r="G5">
        <v>0</v>
      </c>
      <c r="H5">
        <v>0</v>
      </c>
      <c r="I5">
        <v>0</v>
      </c>
      <c r="J5">
        <v>0</v>
      </c>
      <c r="K5">
        <v>30</v>
      </c>
      <c r="L5">
        <v>0</v>
      </c>
      <c r="M5">
        <v>1</v>
      </c>
    </row>
    <row r="6" spans="1:13" x14ac:dyDescent="0.35">
      <c r="A6" t="s">
        <v>510</v>
      </c>
      <c r="B6" s="2" t="s">
        <v>94</v>
      </c>
      <c r="C6">
        <f>SUBTOTAL(109,Table47[American Sign Language Total])</f>
        <v>0</v>
      </c>
      <c r="D6">
        <f>SUBTOTAL(109,Table47[Cantonese Total])</f>
        <v>0</v>
      </c>
      <c r="E6">
        <f>SUBTOTAL(109,Table47[French Total])</f>
        <v>6</v>
      </c>
      <c r="F6">
        <f>SUBTOTAL(109,Table47[German Total])</f>
        <v>8</v>
      </c>
      <c r="G6">
        <f>SUBTOTAL(109,Table47[Japanese Total])</f>
        <v>0</v>
      </c>
      <c r="H6">
        <f>SUBTOTAL(109,Table47[Korean Total])</f>
        <v>0</v>
      </c>
      <c r="I6">
        <f>SUBTOTAL(109,Table47[Latin Total])</f>
        <v>0</v>
      </c>
      <c r="J6">
        <f>SUBTOTAL(109,Table47[Mandarin Total])</f>
        <v>0</v>
      </c>
      <c r="K6">
        <f>SUBTOTAL(109,Table47[Spanish Total])</f>
        <v>56</v>
      </c>
      <c r="L6">
        <f>SUBTOTAL(109,Table47[Vietnamese Total])</f>
        <v>0</v>
      </c>
      <c r="M6">
        <f>SUBTOTAL(109,Table47[Other Total])</f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84375" customWidth="1"/>
    <col min="2" max="2" width="14.69140625" customWidth="1"/>
    <col min="3" max="3" width="16.69140625" customWidth="1"/>
    <col min="4" max="4" width="10.3046875" customWidth="1"/>
    <col min="5" max="5" width="7.3046875" customWidth="1"/>
    <col min="6" max="6" width="7.765625" customWidth="1"/>
    <col min="7" max="7" width="9.07421875" customWidth="1"/>
    <col min="8" max="8" width="7.69140625" customWidth="1"/>
    <col min="9" max="9" width="7.4609375" customWidth="1"/>
    <col min="10" max="10" width="9" customWidth="1"/>
    <col min="11" max="11" width="8.23046875" customWidth="1"/>
    <col min="12" max="12" width="11.07421875" customWidth="1"/>
    <col min="13" max="13" width="7.3046875" customWidth="1"/>
  </cols>
  <sheetData>
    <row r="1" spans="1:13" ht="20" x14ac:dyDescent="0.4">
      <c r="A1" s="15" t="s">
        <v>356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415</v>
      </c>
      <c r="B3" t="s">
        <v>418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4</v>
      </c>
      <c r="L3">
        <v>0</v>
      </c>
      <c r="M3">
        <v>0</v>
      </c>
    </row>
    <row r="4" spans="1:13" x14ac:dyDescent="0.35">
      <c r="A4" t="s">
        <v>416</v>
      </c>
      <c r="B4" t="s">
        <v>416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8</v>
      </c>
      <c r="L4">
        <v>0</v>
      </c>
      <c r="M4">
        <v>0</v>
      </c>
    </row>
    <row r="5" spans="1:13" x14ac:dyDescent="0.35">
      <c r="A5" t="s">
        <v>417</v>
      </c>
      <c r="B5" s="2" t="s">
        <v>28</v>
      </c>
      <c r="C5">
        <f>SUBTOTAL(109,Table48[American Sign Language Total])</f>
        <v>0</v>
      </c>
      <c r="D5">
        <f>SUBTOTAL(105,Table48[Cantonese Total])</f>
        <v>0</v>
      </c>
      <c r="E5">
        <f>SUBTOTAL(109,Table48[French Total])</f>
        <v>0</v>
      </c>
      <c r="F5">
        <f>SUBTOTAL(109,Table48[German Total])</f>
        <v>0</v>
      </c>
      <c r="G5">
        <f>SUBTOTAL(109,Table48[Japanese Total])</f>
        <v>0</v>
      </c>
      <c r="H5">
        <f>SUBTOTAL(109,Table48[Korean Total])</f>
        <v>0</v>
      </c>
      <c r="I5">
        <f>SUBTOTAL(109,Table48[Latin Total])</f>
        <v>0</v>
      </c>
      <c r="J5">
        <f>SUBTOTAL(109,Table48[Mandarin Total])</f>
        <v>0</v>
      </c>
      <c r="K5">
        <f>SUBTOTAL(109,Table48[Spanish Total])</f>
        <v>12</v>
      </c>
      <c r="L5">
        <f>SUBTOTAL(109,Table48[Vietnamese Total])</f>
        <v>0</v>
      </c>
      <c r="M5">
        <f>SUBTOTAL(109,Table48[Other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84375" customWidth="1"/>
    <col min="2" max="2" width="23.53515625" customWidth="1"/>
    <col min="3" max="3" width="16.765625" customWidth="1"/>
    <col min="4" max="4" width="10.3046875" customWidth="1"/>
    <col min="5" max="5" width="7.4609375" customWidth="1"/>
    <col min="6" max="6" width="7.69140625" customWidth="1"/>
    <col min="7" max="7" width="9.23046875" customWidth="1"/>
    <col min="8" max="9" width="7.53515625" customWidth="1"/>
    <col min="10" max="10" width="9.23046875" customWidth="1"/>
    <col min="11" max="11" width="8" customWidth="1"/>
    <col min="12" max="12" width="10.84375" customWidth="1"/>
    <col min="13" max="13" width="7.3046875" customWidth="1"/>
  </cols>
  <sheetData>
    <row r="1" spans="1:13" ht="20" x14ac:dyDescent="0.4">
      <c r="A1" s="15" t="s">
        <v>357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1" t="s">
        <v>615</v>
      </c>
      <c r="B3" s="4" t="s">
        <v>511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18</v>
      </c>
      <c r="L3" s="4">
        <v>0</v>
      </c>
      <c r="M3" s="4">
        <v>0</v>
      </c>
    </row>
    <row r="4" spans="1:13" x14ac:dyDescent="0.35">
      <c r="A4" s="3" t="s">
        <v>419</v>
      </c>
      <c r="B4" s="4" t="s">
        <v>420</v>
      </c>
      <c r="C4" s="4">
        <v>0</v>
      </c>
      <c r="D4" s="4">
        <v>0</v>
      </c>
      <c r="E4" s="3">
        <v>9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3">
        <v>20</v>
      </c>
      <c r="L4" s="4">
        <v>0</v>
      </c>
      <c r="M4" s="4">
        <v>0</v>
      </c>
    </row>
    <row r="5" spans="1:13" x14ac:dyDescent="0.35">
      <c r="A5" s="3" t="s">
        <v>421</v>
      </c>
      <c r="B5" s="4" t="s">
        <v>424</v>
      </c>
      <c r="C5" s="4">
        <v>0</v>
      </c>
      <c r="D5" s="4">
        <v>0</v>
      </c>
      <c r="E5" s="3">
        <v>3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3">
        <v>11</v>
      </c>
      <c r="L5" s="4">
        <v>0</v>
      </c>
      <c r="M5" s="4">
        <v>0</v>
      </c>
    </row>
    <row r="6" spans="1:13" ht="77.5" x14ac:dyDescent="0.35">
      <c r="A6" s="3" t="s">
        <v>422</v>
      </c>
      <c r="B6" s="4" t="s">
        <v>426</v>
      </c>
      <c r="C6" s="4">
        <v>0</v>
      </c>
      <c r="D6" s="4">
        <v>0</v>
      </c>
      <c r="E6" s="3">
        <v>6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3">
        <v>110</v>
      </c>
      <c r="L6" s="4">
        <v>0</v>
      </c>
      <c r="M6" s="4">
        <v>0</v>
      </c>
    </row>
    <row r="7" spans="1:13" ht="46.5" x14ac:dyDescent="0.35">
      <c r="A7" s="3" t="s">
        <v>423</v>
      </c>
      <c r="B7" s="4" t="s">
        <v>427</v>
      </c>
      <c r="C7" s="4">
        <v>0</v>
      </c>
      <c r="D7" s="4">
        <v>0</v>
      </c>
      <c r="E7" s="3"/>
      <c r="F7" s="4">
        <v>0</v>
      </c>
      <c r="G7" s="4">
        <v>0</v>
      </c>
      <c r="H7" s="4">
        <v>0</v>
      </c>
      <c r="I7" s="4">
        <v>0</v>
      </c>
      <c r="J7" s="4">
        <v>0</v>
      </c>
      <c r="K7" s="3">
        <v>102</v>
      </c>
      <c r="L7" s="4">
        <v>0</v>
      </c>
      <c r="M7" s="3">
        <v>18</v>
      </c>
    </row>
    <row r="8" spans="1:13" ht="46.5" x14ac:dyDescent="0.35">
      <c r="A8" s="3" t="s">
        <v>308</v>
      </c>
      <c r="B8" s="4" t="s">
        <v>425</v>
      </c>
      <c r="C8" s="4">
        <v>0</v>
      </c>
      <c r="D8" s="4">
        <v>0</v>
      </c>
      <c r="E8" s="3">
        <v>11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3">
        <v>177</v>
      </c>
      <c r="L8" s="4">
        <v>0</v>
      </c>
      <c r="M8" s="3">
        <v>0</v>
      </c>
    </row>
    <row r="9" spans="1:13" x14ac:dyDescent="0.35">
      <c r="A9" t="s">
        <v>513</v>
      </c>
      <c r="B9" s="2" t="s">
        <v>225</v>
      </c>
      <c r="C9">
        <f>SUBTOTAL(109,Table50[American Sign Language Total])</f>
        <v>0</v>
      </c>
      <c r="D9">
        <f>SUBTOTAL(109,Table50[Cantonese Total])</f>
        <v>0</v>
      </c>
      <c r="E9">
        <f>SUBTOTAL(109,Table50[French Total])</f>
        <v>29</v>
      </c>
      <c r="F9">
        <f>SUBTOTAL(109,Table50[German Total])</f>
        <v>0</v>
      </c>
      <c r="G9">
        <f>SUBTOTAL(109,Table50[Japanese Total])</f>
        <v>0</v>
      </c>
      <c r="H9">
        <f>SUBTOTAL(109,Table50[Korean Total])</f>
        <v>0</v>
      </c>
      <c r="I9">
        <f>SUBTOTAL(109,Table50[Latin Total])</f>
        <v>0</v>
      </c>
      <c r="J9">
        <f>SUBTOTAL(109,Table50[Mandarin Total])</f>
        <v>0</v>
      </c>
      <c r="K9">
        <f>SUBTOTAL(109,Table50[Spanish Total])</f>
        <v>438</v>
      </c>
      <c r="L9">
        <f>SUBTOTAL(109,Table50[Vietnamese Total])</f>
        <v>0</v>
      </c>
      <c r="M9">
        <f>SUBTOTAL(109,Table50[Other Total])</f>
        <v>18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1.69140625" customWidth="1"/>
    <col min="3" max="3" width="16.765625" customWidth="1"/>
    <col min="4" max="4" width="10.07421875" customWidth="1"/>
    <col min="5" max="5" width="7.53515625" customWidth="1"/>
    <col min="6" max="6" width="7.765625" customWidth="1"/>
    <col min="7" max="7" width="9.23046875" customWidth="1"/>
    <col min="8" max="8" width="7.53515625" customWidth="1"/>
    <col min="9" max="9" width="7.23046875" customWidth="1"/>
    <col min="10" max="10" width="9.23046875" customWidth="1"/>
    <col min="11" max="11" width="8.23046875" customWidth="1"/>
    <col min="12" max="12" width="11" customWidth="1"/>
    <col min="13" max="13" width="7.53515625" customWidth="1"/>
  </cols>
  <sheetData>
    <row r="1" spans="1:13" ht="20" x14ac:dyDescent="0.4">
      <c r="A1" s="15" t="s">
        <v>358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428</v>
      </c>
      <c r="B3" s="4" t="s">
        <v>310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29</v>
      </c>
      <c r="L3" s="3">
        <v>0</v>
      </c>
      <c r="M3" s="3">
        <v>0</v>
      </c>
    </row>
    <row r="4" spans="1:13" x14ac:dyDescent="0.35">
      <c r="A4" s="3" t="s">
        <v>309</v>
      </c>
      <c r="B4" s="4" t="s">
        <v>431</v>
      </c>
      <c r="C4" s="3">
        <v>0</v>
      </c>
      <c r="D4" s="3">
        <v>0</v>
      </c>
      <c r="E4" s="3">
        <v>9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29</v>
      </c>
      <c r="L4" s="3">
        <v>0</v>
      </c>
      <c r="M4" s="3">
        <v>0</v>
      </c>
    </row>
    <row r="5" spans="1:13" ht="77.5" x14ac:dyDescent="0.35">
      <c r="A5" s="3" t="s">
        <v>429</v>
      </c>
      <c r="B5" s="4" t="s">
        <v>514</v>
      </c>
      <c r="C5" s="3">
        <v>0</v>
      </c>
      <c r="D5" s="3">
        <v>0</v>
      </c>
      <c r="E5" s="3">
        <v>37</v>
      </c>
      <c r="F5" s="3">
        <v>10</v>
      </c>
      <c r="G5" s="3">
        <v>0</v>
      </c>
      <c r="H5" s="3">
        <v>0</v>
      </c>
      <c r="I5" s="3">
        <v>0</v>
      </c>
      <c r="J5" s="3">
        <v>1</v>
      </c>
      <c r="K5" s="3">
        <v>246</v>
      </c>
      <c r="L5" s="3">
        <v>0</v>
      </c>
      <c r="M5" s="3">
        <v>0</v>
      </c>
    </row>
    <row r="6" spans="1:13" ht="46.5" x14ac:dyDescent="0.35">
      <c r="A6" s="3" t="s">
        <v>430</v>
      </c>
      <c r="B6" s="4" t="s">
        <v>515</v>
      </c>
      <c r="C6" s="3">
        <v>0</v>
      </c>
      <c r="D6" s="3">
        <v>0</v>
      </c>
      <c r="E6" s="3">
        <v>14</v>
      </c>
      <c r="F6" s="3">
        <v>20</v>
      </c>
      <c r="G6" s="3">
        <v>0</v>
      </c>
      <c r="H6" s="3">
        <v>0</v>
      </c>
      <c r="I6" s="3">
        <v>0</v>
      </c>
      <c r="J6" s="3">
        <v>1</v>
      </c>
      <c r="K6" s="3">
        <v>143</v>
      </c>
      <c r="L6" s="3">
        <v>0</v>
      </c>
      <c r="M6" s="3">
        <v>7</v>
      </c>
    </row>
    <row r="7" spans="1:13" x14ac:dyDescent="0.35">
      <c r="A7" t="s">
        <v>517</v>
      </c>
      <c r="B7" s="2" t="s">
        <v>516</v>
      </c>
      <c r="C7">
        <f>SUBTOTAL(109,Table51[American Sign Language Total])</f>
        <v>0</v>
      </c>
      <c r="D7">
        <f>SUBTOTAL(109,Table51[Cantonese Total])</f>
        <v>0</v>
      </c>
      <c r="E7">
        <f>SUBTOTAL(109,Table51[French Total])</f>
        <v>60</v>
      </c>
      <c r="F7">
        <f>SUBTOTAL(109,Table51[German Total])</f>
        <v>30</v>
      </c>
      <c r="G7">
        <f>SUBTOTAL(109,Table51[Japanese Total])</f>
        <v>0</v>
      </c>
      <c r="H7">
        <f>SUBTOTAL(109,Table51[Korean Total])</f>
        <v>0</v>
      </c>
      <c r="I7">
        <f>SUBTOTAL(109,Table51[Latin Total])</f>
        <v>0</v>
      </c>
      <c r="J7">
        <f>SUBTOTAL(109,Table51[Mandarin Total])</f>
        <v>2</v>
      </c>
      <c r="K7">
        <f>SUBTOTAL(109,Table51[Spanish Total])</f>
        <v>447</v>
      </c>
      <c r="L7">
        <f>SUBTOTAL(109,Table51[Vietnamese Total])</f>
        <v>0</v>
      </c>
      <c r="M7">
        <f>SUBTOTAL(109,Table51[Other Total])</f>
        <v>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1.84375" customWidth="1"/>
    <col min="3" max="3" width="16.765625" customWidth="1"/>
    <col min="4" max="4" width="10.3046875" customWidth="1"/>
    <col min="5" max="5" width="7.3046875" customWidth="1"/>
    <col min="6" max="6" width="7.84375" customWidth="1"/>
    <col min="7" max="7" width="9.07421875" customWidth="1"/>
    <col min="8" max="8" width="7.4609375" customWidth="1"/>
    <col min="9" max="9" width="7.23046875" customWidth="1"/>
    <col min="10" max="10" width="9.07421875" customWidth="1"/>
    <col min="11" max="11" width="8.07421875" customWidth="1"/>
    <col min="12" max="12" width="11" customWidth="1"/>
    <col min="13" max="13" width="7.4609375" customWidth="1"/>
  </cols>
  <sheetData>
    <row r="1" spans="1:13" ht="20" x14ac:dyDescent="0.4">
      <c r="A1" s="15" t="s">
        <v>359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432</v>
      </c>
      <c r="B3" s="4" t="s">
        <v>616</v>
      </c>
      <c r="C3" s="3">
        <v>0</v>
      </c>
      <c r="D3" s="3">
        <v>0</v>
      </c>
      <c r="E3" s="3">
        <v>51</v>
      </c>
      <c r="F3" s="3">
        <v>1</v>
      </c>
      <c r="G3" s="3">
        <v>4</v>
      </c>
      <c r="H3" s="3">
        <v>0</v>
      </c>
      <c r="I3" s="3">
        <v>0</v>
      </c>
      <c r="J3" s="3">
        <v>5</v>
      </c>
      <c r="K3" s="3">
        <v>155</v>
      </c>
      <c r="L3" s="3">
        <v>0</v>
      </c>
      <c r="M3" s="3">
        <v>0</v>
      </c>
    </row>
    <row r="4" spans="1:13" x14ac:dyDescent="0.35">
      <c r="A4" s="3" t="s">
        <v>433</v>
      </c>
      <c r="B4" s="4" t="s">
        <v>435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11</v>
      </c>
      <c r="L4" s="3">
        <v>0</v>
      </c>
      <c r="M4" s="3">
        <v>0</v>
      </c>
    </row>
    <row r="5" spans="1:13" ht="31" x14ac:dyDescent="0.35">
      <c r="A5" s="3" t="s">
        <v>434</v>
      </c>
      <c r="B5" s="4" t="s">
        <v>436</v>
      </c>
      <c r="C5" s="3">
        <v>0</v>
      </c>
      <c r="D5" s="3">
        <v>0</v>
      </c>
      <c r="E5" s="3">
        <v>6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84</v>
      </c>
      <c r="L5" s="3">
        <v>0</v>
      </c>
      <c r="M5" s="3">
        <v>0</v>
      </c>
    </row>
    <row r="6" spans="1:13" x14ac:dyDescent="0.35">
      <c r="A6" t="s">
        <v>518</v>
      </c>
      <c r="B6" s="2" t="s">
        <v>47</v>
      </c>
      <c r="C6">
        <f>SUBTOTAL(109,Table53[American Sign Language Total])</f>
        <v>0</v>
      </c>
      <c r="D6">
        <f>SUBTOTAL(109,Table53[Cantonese Total])</f>
        <v>0</v>
      </c>
      <c r="E6">
        <f>SUBTOTAL(109,Table53[French Total])</f>
        <v>57</v>
      </c>
      <c r="F6">
        <f>SUBTOTAL(109,Table53[German Total])</f>
        <v>1</v>
      </c>
      <c r="G6">
        <f>SUBTOTAL(109,Table53[Japanese Total])</f>
        <v>4</v>
      </c>
      <c r="H6">
        <f>SUBTOTAL(109,Table53[Korean Total])</f>
        <v>0</v>
      </c>
      <c r="I6">
        <f>SUBTOTAL(109,Table53[Latin Total])</f>
        <v>0</v>
      </c>
      <c r="J6">
        <f>SUBTOTAL(109,Table53[Mandarin Total])</f>
        <v>5</v>
      </c>
      <c r="K6">
        <f>SUBTOTAL(109,Table53[Spanish Total])</f>
        <v>250</v>
      </c>
      <c r="L6">
        <f>SUBTOTAL(109,Table53[Vietnamese Total])</f>
        <v>0</v>
      </c>
      <c r="M6">
        <f>SUBTOTAL(109,Table53[Other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84375" customWidth="1"/>
    <col min="2" max="2" width="21.84375" bestFit="1" customWidth="1"/>
    <col min="3" max="3" width="16.765625" customWidth="1"/>
    <col min="4" max="4" width="10.23046875" customWidth="1"/>
    <col min="5" max="5" width="7.3046875" customWidth="1"/>
    <col min="6" max="6" width="7.69140625" customWidth="1"/>
    <col min="7" max="7" width="9.23046875" customWidth="1"/>
    <col min="8" max="9" width="7.3046875" customWidth="1"/>
    <col min="10" max="10" width="9" customWidth="1"/>
    <col min="11" max="11" width="8.3046875" customWidth="1"/>
    <col min="12" max="12" width="11.07421875" customWidth="1"/>
    <col min="13" max="13" width="7.53515625" customWidth="1"/>
  </cols>
  <sheetData>
    <row r="1" spans="1:13" ht="20" x14ac:dyDescent="0.4">
      <c r="A1" s="15" t="s">
        <v>360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437</v>
      </c>
      <c r="B3" t="s">
        <v>437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>
        <v>4</v>
      </c>
      <c r="L3">
        <v>0</v>
      </c>
      <c r="M3">
        <v>0</v>
      </c>
    </row>
    <row r="4" spans="1:13" x14ac:dyDescent="0.35">
      <c r="A4" t="s">
        <v>438</v>
      </c>
      <c r="B4" s="2" t="s">
        <v>34</v>
      </c>
      <c r="C4">
        <f>SUBTOTAL(109,Table52[American Sign Language Total])</f>
        <v>0</v>
      </c>
      <c r="D4">
        <f>SUBTOTAL(109,Table52[Cantonese Total])</f>
        <v>0</v>
      </c>
      <c r="E4">
        <f>SUBTOTAL(109,Table52[French Total])</f>
        <v>0</v>
      </c>
      <c r="F4">
        <f>SUBTOTAL(109,Table52[German Total])</f>
        <v>0</v>
      </c>
      <c r="G4">
        <f>SUBTOTAL(109,Table52[Japanese Total])</f>
        <v>0</v>
      </c>
      <c r="H4">
        <f>SUBTOTAL(109,Table52[Korean Total])</f>
        <v>0</v>
      </c>
      <c r="I4">
        <f>SUBTOTAL(109,Table52[Latin Total])</f>
        <v>0</v>
      </c>
      <c r="J4">
        <f>SUBTOTAL(109,Table52[Mandarin Total])</f>
        <v>0</v>
      </c>
      <c r="K4">
        <f>SUBTOTAL(105,Table52[Spanish Total])</f>
        <v>4</v>
      </c>
      <c r="L4">
        <f>SUBTOTAL(109,Table52[Vietnamese Total])</f>
        <v>0</v>
      </c>
      <c r="M4">
        <f>SUBTOTAL(109,Table52[Other Total])</f>
        <v>0</v>
      </c>
    </row>
  </sheetData>
  <pageMargins left="0.7" right="0.7" top="0.75" bottom="0.75" header="0.3" footer="0.3"/>
  <pageSetup scale="5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2.3046875" customWidth="1"/>
    <col min="3" max="3" width="16.84375" customWidth="1"/>
    <col min="4" max="4" width="10.53515625" customWidth="1"/>
    <col min="5" max="5" width="7.765625" customWidth="1"/>
    <col min="6" max="6" width="7.84375" customWidth="1"/>
    <col min="7" max="7" width="9.69140625" customWidth="1"/>
    <col min="8" max="8" width="8.07421875" customWidth="1"/>
    <col min="9" max="9" width="7.4609375" customWidth="1"/>
    <col min="10" max="10" width="9.07421875" customWidth="1"/>
    <col min="11" max="11" width="7.84375" customWidth="1"/>
    <col min="12" max="12" width="11.07421875" customWidth="1"/>
    <col min="13" max="13" width="7.84375" customWidth="1"/>
  </cols>
  <sheetData>
    <row r="1" spans="1:13" ht="20" x14ac:dyDescent="0.4">
      <c r="A1" s="15" t="s">
        <v>319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6.5" x14ac:dyDescent="0.35">
      <c r="A3" s="3" t="s">
        <v>45</v>
      </c>
      <c r="B3" s="4" t="s">
        <v>110</v>
      </c>
      <c r="C3" s="18">
        <v>0</v>
      </c>
      <c r="D3" s="18">
        <v>0</v>
      </c>
      <c r="E3" s="18">
        <v>26</v>
      </c>
      <c r="F3" s="18">
        <v>4</v>
      </c>
      <c r="G3" s="18">
        <v>5</v>
      </c>
      <c r="H3" s="18">
        <v>0</v>
      </c>
      <c r="I3" s="18">
        <v>9</v>
      </c>
      <c r="J3" s="18">
        <v>0</v>
      </c>
      <c r="K3" s="18">
        <v>67</v>
      </c>
      <c r="L3" s="18">
        <v>0</v>
      </c>
      <c r="M3" s="18">
        <v>0</v>
      </c>
    </row>
    <row r="4" spans="1:13" x14ac:dyDescent="0.35">
      <c r="A4" t="s">
        <v>49</v>
      </c>
      <c r="B4" t="s">
        <v>48</v>
      </c>
      <c r="C4" s="18">
        <v>0</v>
      </c>
      <c r="D4" s="18">
        <v>0</v>
      </c>
      <c r="E4" s="18">
        <v>1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30</v>
      </c>
      <c r="L4" s="18">
        <v>0</v>
      </c>
      <c r="M4" s="18">
        <v>0</v>
      </c>
    </row>
    <row r="5" spans="1:13" x14ac:dyDescent="0.35">
      <c r="A5" t="s">
        <v>46</v>
      </c>
      <c r="B5" s="2" t="s">
        <v>47</v>
      </c>
      <c r="C5" s="18">
        <f>SUM(Table9[American Sign Language Total])</f>
        <v>0</v>
      </c>
      <c r="D5" s="18">
        <f>SUM(Table9[Cantonese Total])</f>
        <v>0</v>
      </c>
      <c r="E5" s="18">
        <f>SUM(Table9[French Total])</f>
        <v>27</v>
      </c>
      <c r="F5" s="18">
        <f>SUM(Table9[German Total])</f>
        <v>4</v>
      </c>
      <c r="G5" s="18">
        <f>SUM(Table9[Japanese Total])</f>
        <v>5</v>
      </c>
      <c r="H5" s="18">
        <f>SUM(Table9[Korean Total])</f>
        <v>0</v>
      </c>
      <c r="I5" s="18">
        <f>SUM(Table9[Latin Total])</f>
        <v>9</v>
      </c>
      <c r="J5" s="18">
        <f>SUM(Table9[Mandarin Total])</f>
        <v>0</v>
      </c>
      <c r="K5" s="18">
        <f>SUM(Table9[Spanish Total])</f>
        <v>97</v>
      </c>
      <c r="L5" s="18">
        <f>SUM(Table9[Vietnamese Total])</f>
        <v>0</v>
      </c>
      <c r="M5" s="18">
        <f>SUM(Table9[Other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23046875" bestFit="1" customWidth="1"/>
    <col min="2" max="2" width="30.3046875" customWidth="1"/>
    <col min="3" max="3" width="17.23046875" customWidth="1"/>
    <col min="4" max="4" width="12.765625" customWidth="1"/>
    <col min="5" max="5" width="9.69140625" customWidth="1"/>
    <col min="6" max="6" width="10.53515625" customWidth="1"/>
    <col min="7" max="7" width="12.23046875" customWidth="1"/>
    <col min="8" max="8" width="10.23046875" customWidth="1"/>
    <col min="9" max="9" width="8" customWidth="1"/>
    <col min="10" max="10" width="11.23046875" customWidth="1"/>
    <col min="11" max="11" width="10.69140625" customWidth="1"/>
    <col min="12" max="12" width="13.765625" customWidth="1"/>
    <col min="13" max="13" width="8.23046875" customWidth="1"/>
  </cols>
  <sheetData>
    <row r="1" spans="1:13" ht="20" x14ac:dyDescent="0.4">
      <c r="A1" s="15" t="s">
        <v>320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52</v>
      </c>
      <c r="B3" s="3" t="s">
        <v>58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12</v>
      </c>
      <c r="L3">
        <v>0</v>
      </c>
      <c r="M3">
        <v>0</v>
      </c>
    </row>
    <row r="4" spans="1:13" x14ac:dyDescent="0.35">
      <c r="A4" s="3" t="s">
        <v>51</v>
      </c>
      <c r="B4" s="3" t="s">
        <v>59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10</v>
      </c>
      <c r="L4">
        <v>0</v>
      </c>
      <c r="M4">
        <v>0</v>
      </c>
    </row>
    <row r="5" spans="1:13" ht="77.5" x14ac:dyDescent="0.35">
      <c r="A5" s="3" t="s">
        <v>53</v>
      </c>
      <c r="B5" s="4" t="s">
        <v>530</v>
      </c>
      <c r="C5" s="3">
        <v>5</v>
      </c>
      <c r="D5" s="3">
        <v>0</v>
      </c>
      <c r="E5" s="3">
        <v>40</v>
      </c>
      <c r="F5" s="3">
        <v>11</v>
      </c>
      <c r="G5" s="3">
        <v>0</v>
      </c>
      <c r="H5" s="3">
        <v>0</v>
      </c>
      <c r="I5" s="3">
        <v>3</v>
      </c>
      <c r="J5" s="3">
        <v>1</v>
      </c>
      <c r="K5" s="3">
        <v>398</v>
      </c>
      <c r="L5" s="3">
        <v>1</v>
      </c>
      <c r="M5" s="3">
        <v>21</v>
      </c>
    </row>
    <row r="6" spans="1:13" x14ac:dyDescent="0.35">
      <c r="A6" s="3" t="s">
        <v>54</v>
      </c>
      <c r="B6" t="s">
        <v>60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35</v>
      </c>
      <c r="L6" s="3">
        <v>0</v>
      </c>
      <c r="M6" s="3">
        <v>5</v>
      </c>
    </row>
    <row r="7" spans="1:13" x14ac:dyDescent="0.35">
      <c r="A7" s="3" t="s">
        <v>50</v>
      </c>
      <c r="B7" t="s">
        <v>483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3</v>
      </c>
      <c r="L7">
        <v>0</v>
      </c>
      <c r="M7">
        <v>0</v>
      </c>
    </row>
    <row r="8" spans="1:13" x14ac:dyDescent="0.35">
      <c r="A8" s="3" t="s">
        <v>55</v>
      </c>
      <c r="B8" t="s">
        <v>61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3</v>
      </c>
      <c r="L8">
        <v>0</v>
      </c>
      <c r="M8">
        <v>0</v>
      </c>
    </row>
    <row r="9" spans="1:13" x14ac:dyDescent="0.35">
      <c r="A9" s="3" t="s">
        <v>56</v>
      </c>
      <c r="B9" t="s">
        <v>62</v>
      </c>
      <c r="C9">
        <v>0</v>
      </c>
      <c r="D9">
        <v>0</v>
      </c>
      <c r="E9">
        <v>6</v>
      </c>
      <c r="F9">
        <v>0</v>
      </c>
      <c r="G9">
        <v>0</v>
      </c>
      <c r="H9">
        <v>0</v>
      </c>
      <c r="I9">
        <v>0</v>
      </c>
      <c r="J9">
        <v>0</v>
      </c>
      <c r="K9">
        <v>9</v>
      </c>
      <c r="L9">
        <v>0</v>
      </c>
      <c r="M9">
        <v>0</v>
      </c>
    </row>
    <row r="10" spans="1:13" x14ac:dyDescent="0.35">
      <c r="A10" s="3" t="s">
        <v>57</v>
      </c>
      <c r="B10" t="s">
        <v>63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20</v>
      </c>
      <c r="L10">
        <v>0</v>
      </c>
      <c r="M10">
        <v>0</v>
      </c>
    </row>
    <row r="11" spans="1:13" x14ac:dyDescent="0.35">
      <c r="A11" t="s">
        <v>531</v>
      </c>
      <c r="B11" s="2" t="s">
        <v>461</v>
      </c>
      <c r="C11" s="8">
        <f>SUM(Table10[American Sign Language Total])</f>
        <v>5</v>
      </c>
      <c r="D11" s="8">
        <f>SUM(Table10[Cantonese Total])</f>
        <v>0</v>
      </c>
      <c r="E11" s="8">
        <f>SUM(Table10[French Total])</f>
        <v>46</v>
      </c>
      <c r="F11" s="8">
        <f>SUM(Table10[German Total])</f>
        <v>11</v>
      </c>
      <c r="G11" s="8">
        <f>SUM(Table10[Japanese Total])</f>
        <v>0</v>
      </c>
      <c r="H11" s="8">
        <f>SUM(Table10[Korean Total])</f>
        <v>0</v>
      </c>
      <c r="I11" s="8">
        <f>SUM(Table10[Latin Total])</f>
        <v>3</v>
      </c>
      <c r="J11" s="8">
        <f>SUM(Table10[Mandarin Total])</f>
        <v>1</v>
      </c>
      <c r="K11" s="8">
        <f>SUM(Table10[Spanish Total])</f>
        <v>490</v>
      </c>
      <c r="L11" s="8">
        <f>SUM(Table10[Vietnamese Total])</f>
        <v>1</v>
      </c>
      <c r="M11" s="8">
        <f>SUM(Table10[Other Total])</f>
        <v>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12.765625" customWidth="1"/>
    <col min="3" max="3" width="16.84375" customWidth="1"/>
    <col min="4" max="4" width="10.3046875" customWidth="1"/>
    <col min="5" max="5" width="7.765625" customWidth="1"/>
    <col min="6" max="6" width="8" customWidth="1"/>
    <col min="7" max="7" width="9.765625" customWidth="1"/>
    <col min="8" max="8" width="7.765625" customWidth="1"/>
    <col min="9" max="9" width="7.69140625" customWidth="1"/>
    <col min="10" max="10" width="9.07421875" customWidth="1"/>
    <col min="11" max="11" width="8.4609375" customWidth="1"/>
    <col min="12" max="12" width="11.69140625" customWidth="1"/>
    <col min="13" max="13" width="7.69140625" customWidth="1"/>
  </cols>
  <sheetData>
    <row r="1" spans="1:13" ht="20" x14ac:dyDescent="0.4">
      <c r="A1" s="15" t="s">
        <v>321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4" t="s">
        <v>532</v>
      </c>
      <c r="B3" s="4" t="s">
        <v>533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7</v>
      </c>
      <c r="L3" s="4">
        <v>0</v>
      </c>
      <c r="M3" s="4">
        <v>0</v>
      </c>
    </row>
    <row r="4" spans="1:13" x14ac:dyDescent="0.35">
      <c r="A4" t="s">
        <v>65</v>
      </c>
      <c r="B4" t="s">
        <v>66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6</v>
      </c>
      <c r="L4" s="3">
        <v>0</v>
      </c>
      <c r="M4" s="3">
        <v>0</v>
      </c>
    </row>
    <row r="5" spans="1:13" x14ac:dyDescent="0.35">
      <c r="A5" s="1" t="s">
        <v>535</v>
      </c>
      <c r="B5" s="3" t="s">
        <v>484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0</v>
      </c>
      <c r="M5" s="3">
        <v>0</v>
      </c>
    </row>
    <row r="6" spans="1:13" x14ac:dyDescent="0.35">
      <c r="A6" t="s">
        <v>534</v>
      </c>
      <c r="B6" s="2" t="s">
        <v>35</v>
      </c>
      <c r="C6">
        <f>SUM(Table2[American Sign Language Total])</f>
        <v>0</v>
      </c>
      <c r="D6">
        <f>SUM(Table2[Cantonese Total])</f>
        <v>0</v>
      </c>
      <c r="E6">
        <f>SUM(Table2[French Total])</f>
        <v>0</v>
      </c>
      <c r="F6">
        <f>SUM(Table2[German Total])</f>
        <v>0</v>
      </c>
      <c r="G6">
        <f>SUM(Table2[Japanese Total])</f>
        <v>0</v>
      </c>
      <c r="H6">
        <f>SUM(Table2[Korean Total])</f>
        <v>0</v>
      </c>
      <c r="I6">
        <f>SUM(Table2[Latin Total])</f>
        <v>0</v>
      </c>
      <c r="J6">
        <f>SUM(Table2[Mandarin Total])</f>
        <v>0</v>
      </c>
      <c r="K6">
        <f>SUM(Table2[Spanish Total])</f>
        <v>14</v>
      </c>
      <c r="L6">
        <f>SUM(Table2[Vietnamese Total])</f>
        <v>0</v>
      </c>
      <c r="M6">
        <f>SUM(Table2[Other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6.765625" bestFit="1" customWidth="1"/>
    <col min="2" max="2" width="17.07421875" customWidth="1"/>
    <col min="3" max="3" width="16.53515625" customWidth="1"/>
    <col min="4" max="4" width="10.23046875" customWidth="1"/>
    <col min="5" max="5" width="7.4609375" customWidth="1"/>
    <col min="6" max="6" width="8.07421875" customWidth="1"/>
    <col min="7" max="7" width="9.23046875" customWidth="1"/>
    <col min="8" max="8" width="7.84375" customWidth="1"/>
    <col min="9" max="9" width="7.4609375" customWidth="1"/>
    <col min="10" max="10" width="9.3046875" customWidth="1"/>
    <col min="11" max="11" width="8.23046875" customWidth="1"/>
    <col min="12" max="12" width="11.07421875" customWidth="1"/>
    <col min="13" max="13" width="7.69140625" customWidth="1"/>
  </cols>
  <sheetData>
    <row r="1" spans="1:13" ht="20" x14ac:dyDescent="0.4">
      <c r="A1" s="15" t="s">
        <v>322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67</v>
      </c>
      <c r="B3" t="s">
        <v>537</v>
      </c>
      <c r="C3">
        <v>0</v>
      </c>
      <c r="D3">
        <v>0</v>
      </c>
      <c r="E3">
        <v>0</v>
      </c>
      <c r="F3">
        <v>3</v>
      </c>
      <c r="G3">
        <v>0</v>
      </c>
      <c r="H3">
        <v>0</v>
      </c>
      <c r="I3">
        <v>0</v>
      </c>
      <c r="J3">
        <v>1</v>
      </c>
      <c r="K3">
        <v>21</v>
      </c>
      <c r="L3">
        <v>0</v>
      </c>
      <c r="M3">
        <v>7</v>
      </c>
    </row>
    <row r="4" spans="1:13" ht="31" x14ac:dyDescent="0.35">
      <c r="A4" s="3" t="s">
        <v>68</v>
      </c>
      <c r="B4" s="4" t="s">
        <v>486</v>
      </c>
      <c r="C4" s="3">
        <v>0</v>
      </c>
      <c r="D4" s="3">
        <v>0</v>
      </c>
      <c r="E4" s="3">
        <v>15</v>
      </c>
      <c r="F4" s="3">
        <v>15</v>
      </c>
      <c r="G4" s="3">
        <v>0</v>
      </c>
      <c r="H4" s="3">
        <v>0</v>
      </c>
      <c r="I4" s="3">
        <v>0</v>
      </c>
      <c r="J4" s="3">
        <v>0</v>
      </c>
      <c r="K4" s="3">
        <v>14</v>
      </c>
      <c r="L4" s="3">
        <v>0</v>
      </c>
      <c r="M4" s="3">
        <v>0</v>
      </c>
    </row>
    <row r="5" spans="1:13" x14ac:dyDescent="0.35">
      <c r="A5" t="s">
        <v>485</v>
      </c>
      <c r="B5" s="2" t="s">
        <v>35</v>
      </c>
      <c r="C5">
        <f>SUBTOTAL(109,Table11[American Sign Language Total])</f>
        <v>0</v>
      </c>
      <c r="D5">
        <f>SUBTOTAL(109,Table11[Cantonese Total])</f>
        <v>0</v>
      </c>
      <c r="E5">
        <f>SUBTOTAL(109,Table11[French Total])</f>
        <v>15</v>
      </c>
      <c r="F5">
        <f>SUBTOTAL(109,Table11[German Total])</f>
        <v>18</v>
      </c>
      <c r="G5">
        <f>SUBTOTAL(109,Table11[Japanese Total])</f>
        <v>0</v>
      </c>
      <c r="H5">
        <f>SUBTOTAL(109,Table11[Korean Total])</f>
        <v>0</v>
      </c>
      <c r="I5">
        <f>SUBTOTAL(109,Table11[Latin Total])</f>
        <v>0</v>
      </c>
      <c r="J5">
        <f>SUBTOTAL(109,Table11[Mandarin Total])</f>
        <v>1</v>
      </c>
      <c r="K5">
        <f>SUBTOTAL(109,Table11[Spanish Total])</f>
        <v>35</v>
      </c>
      <c r="L5">
        <f>SUBTOTAL(109,Table11[Vietnamese Total])</f>
        <v>0</v>
      </c>
      <c r="M5">
        <f>SUBTOTAL(109,Table11[Other Total])</f>
        <v>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3046875" customWidth="1"/>
    <col min="2" max="2" width="17.69140625" customWidth="1"/>
    <col min="3" max="3" width="16.4609375" customWidth="1"/>
    <col min="4" max="4" width="10.3046875" customWidth="1"/>
    <col min="5" max="5" width="7.53515625" customWidth="1"/>
    <col min="6" max="6" width="7.765625" customWidth="1"/>
    <col min="7" max="7" width="9" customWidth="1"/>
    <col min="8" max="8" width="7.3046875" customWidth="1"/>
    <col min="9" max="9" width="7.4609375" customWidth="1"/>
    <col min="10" max="10" width="9.23046875" customWidth="1"/>
    <col min="11" max="11" width="8.23046875" customWidth="1"/>
    <col min="12" max="12" width="11.07421875" customWidth="1"/>
    <col min="13" max="13" width="7.53515625" customWidth="1"/>
  </cols>
  <sheetData>
    <row r="1" spans="1:13" ht="20" x14ac:dyDescent="0.4">
      <c r="A1" s="15" t="s">
        <v>323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27</v>
      </c>
      <c r="G2" s="4" t="s">
        <v>98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72</v>
      </c>
      <c r="B3" t="s">
        <v>72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25</v>
      </c>
      <c r="L3" s="3">
        <v>0</v>
      </c>
      <c r="M3" s="3">
        <v>0</v>
      </c>
    </row>
    <row r="4" spans="1:13" x14ac:dyDescent="0.35">
      <c r="A4" s="3" t="s">
        <v>73</v>
      </c>
      <c r="B4" t="s">
        <v>74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77</v>
      </c>
      <c r="L4" s="3">
        <v>0</v>
      </c>
      <c r="M4" s="3">
        <v>0</v>
      </c>
    </row>
    <row r="5" spans="1:13" ht="31" x14ac:dyDescent="0.35">
      <c r="A5" s="3" t="s">
        <v>71</v>
      </c>
      <c r="B5" s="4" t="s">
        <v>111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3</v>
      </c>
      <c r="I5" s="3">
        <v>0</v>
      </c>
      <c r="J5" s="3">
        <v>0</v>
      </c>
      <c r="K5" s="3">
        <v>62</v>
      </c>
      <c r="L5" s="3">
        <v>0</v>
      </c>
      <c r="M5" s="3">
        <v>0</v>
      </c>
    </row>
    <row r="6" spans="1:13" x14ac:dyDescent="0.35">
      <c r="A6" s="3" t="s">
        <v>70</v>
      </c>
      <c r="B6" t="s">
        <v>75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6</v>
      </c>
      <c r="L6" s="3">
        <v>0</v>
      </c>
      <c r="M6" s="3">
        <v>0</v>
      </c>
    </row>
    <row r="7" spans="1:13" x14ac:dyDescent="0.35">
      <c r="A7" t="s">
        <v>538</v>
      </c>
      <c r="B7" s="2" t="s">
        <v>47</v>
      </c>
      <c r="C7">
        <f>SUM(Table12[American Sign Language Total])</f>
        <v>0</v>
      </c>
      <c r="D7">
        <f>SUM(Table12[Cantonese Total])</f>
        <v>0</v>
      </c>
      <c r="E7">
        <f>SUM(Table12[French Total])</f>
        <v>1</v>
      </c>
      <c r="F7">
        <f>SUM(Table12[German Total])</f>
        <v>0</v>
      </c>
      <c r="G7">
        <f>SUM(Table12[Japanese Total])</f>
        <v>0</v>
      </c>
      <c r="H7">
        <f>SUM(Table12[Korean Total])</f>
        <v>3</v>
      </c>
      <c r="I7">
        <f>SUM(Table12[Latin Total])</f>
        <v>0</v>
      </c>
      <c r="J7">
        <f>SUM(Table12[Mandarin Total])</f>
        <v>0</v>
      </c>
      <c r="K7">
        <f>SUM(Table12[Spanish Total])</f>
        <v>170</v>
      </c>
      <c r="L7">
        <f>SUM(Table12[Vietnamese Total])</f>
        <v>0</v>
      </c>
      <c r="M7">
        <f>SUM(Table12[Other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2</vt:i4>
      </vt:variant>
    </vt:vector>
  </HeadingPairs>
  <TitlesOfParts>
    <vt:vector size="49" baseType="lpstr">
      <vt:lpstr>County Totals</vt:lpstr>
      <vt:lpstr>Alameda</vt:lpstr>
      <vt:lpstr>Butte</vt:lpstr>
      <vt:lpstr>Contra Costa</vt:lpstr>
      <vt:lpstr>El Dorado</vt:lpstr>
      <vt:lpstr>Fresno</vt:lpstr>
      <vt:lpstr>Glenn</vt:lpstr>
      <vt:lpstr>Humboldt</vt:lpstr>
      <vt:lpstr>Imperial</vt:lpstr>
      <vt:lpstr>Inyo</vt:lpstr>
      <vt:lpstr>Kern</vt:lpstr>
      <vt:lpstr>Kings</vt:lpstr>
      <vt:lpstr>Lake</vt:lpstr>
      <vt:lpstr>Lassen</vt:lpstr>
      <vt:lpstr>Los Angeles</vt:lpstr>
      <vt:lpstr>Madera</vt:lpstr>
      <vt:lpstr>Marin</vt:lpstr>
      <vt:lpstr>Mendocino</vt:lpstr>
      <vt:lpstr>Mono</vt:lpstr>
      <vt:lpstr>Monterey</vt:lpstr>
      <vt:lpstr>Napa</vt:lpstr>
      <vt:lpstr>Nevada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Shasta</vt:lpstr>
      <vt:lpstr>Solano</vt:lpstr>
      <vt:lpstr>Sonoma</vt:lpstr>
      <vt:lpstr>Stanislaus</vt:lpstr>
      <vt:lpstr>Sutter</vt:lpstr>
      <vt:lpstr>Tehama</vt:lpstr>
      <vt:lpstr>Tulare</vt:lpstr>
      <vt:lpstr>Ventura</vt:lpstr>
      <vt:lpstr>Yolo</vt:lpstr>
      <vt:lpstr>Yuba</vt:lpstr>
      <vt:lpstr>'Los Angeles'!_GoBack</vt:lpstr>
      <vt:lpstr>Alameda!Criteria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Participation Data 2014-15 - Multilingual Learners (Dept of Education)</dc:title>
  <dc:subject>This spreadsheet provide country, district, and school partipation and language total for the 2014-15 State Seal of Biliteracy program.</dc:subject>
  <dc:creator>Niki</dc:creator>
  <cp:lastModifiedBy>Annie Abreu Park</cp:lastModifiedBy>
  <cp:lastPrinted>2018-10-30T22:13:10Z</cp:lastPrinted>
  <dcterms:created xsi:type="dcterms:W3CDTF">2018-07-23T21:36:18Z</dcterms:created>
  <dcterms:modified xsi:type="dcterms:W3CDTF">2024-06-06T17:55:32Z</dcterms:modified>
</cp:coreProperties>
</file>