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cordova\AppData\Local\Adobe\Contribute 6.5\en_US\Sites\Site2\sp\ml\documents\"/>
    </mc:Choice>
  </mc:AlternateContent>
  <xr:revisionPtr revIDLastSave="0" documentId="13_ncr:1_{F10EE430-ACEC-4808-B50F-7A6658641E30}" xr6:coauthVersionLast="47" xr6:coauthVersionMax="47" xr10:uidLastSave="{00000000-0000-0000-0000-000000000000}"/>
  <bookViews>
    <workbookView xWindow="108" yWindow="348" windowWidth="23040" windowHeight="11748" tabRatio="856" xr2:uid="{00000000-000D-0000-FFFF-FFFF00000000}"/>
  </bookViews>
  <sheets>
    <sheet name="County Totals" sheetId="65" r:id="rId1"/>
    <sheet name="Alameda" sheetId="13" r:id="rId2"/>
    <sheet name="Amador" sheetId="14" r:id="rId3"/>
    <sheet name="Butte" sheetId="15" r:id="rId4"/>
    <sheet name="Calaveras" sheetId="16" r:id="rId5"/>
    <sheet name="Colusa" sheetId="17" r:id="rId6"/>
    <sheet name="Contra Costa" sheetId="18" r:id="rId7"/>
    <sheet name="Del Norte" sheetId="19" r:id="rId8"/>
    <sheet name="El Dorado" sheetId="20" r:id="rId9"/>
    <sheet name="Fresno" sheetId="21" r:id="rId10"/>
    <sheet name="Glenn" sheetId="22" r:id="rId11"/>
    <sheet name="Humboldt" sheetId="23" r:id="rId12"/>
    <sheet name="Imperial" sheetId="24" r:id="rId13"/>
    <sheet name="Kern" sheetId="25" r:id="rId14"/>
    <sheet name="Kings" sheetId="26" r:id="rId15"/>
    <sheet name="Lake" sheetId="27" r:id="rId16"/>
    <sheet name="Lassen" sheetId="28" r:id="rId17"/>
    <sheet name="Los Angeles" sheetId="29" r:id="rId18"/>
    <sheet name="Madera" sheetId="30" r:id="rId19"/>
    <sheet name="Marin" sheetId="31" r:id="rId20"/>
    <sheet name="Mendocino" sheetId="32" r:id="rId21"/>
    <sheet name="Merced" sheetId="33" r:id="rId22"/>
    <sheet name="Mono" sheetId="34" r:id="rId23"/>
    <sheet name="Monterey" sheetId="35" r:id="rId24"/>
    <sheet name="Napa" sheetId="36" r:id="rId25"/>
    <sheet name="Nevada" sheetId="37" r:id="rId26"/>
    <sheet name="Orange" sheetId="38" r:id="rId27"/>
    <sheet name="Placer" sheetId="40" r:id="rId28"/>
    <sheet name="Plumas" sheetId="41" r:id="rId29"/>
    <sheet name="Riverside" sheetId="42" r:id="rId30"/>
    <sheet name="Sacramento" sheetId="39" r:id="rId31"/>
    <sheet name="San Benito" sheetId="43" r:id="rId32"/>
    <sheet name="San Bernardino" sheetId="44" r:id="rId33"/>
    <sheet name="San Diego" sheetId="46" r:id="rId34"/>
    <sheet name="San Francisco" sheetId="47" r:id="rId35"/>
    <sheet name="San Joaquin" sheetId="48" r:id="rId36"/>
    <sheet name="San Luis Obispo" sheetId="49" r:id="rId37"/>
    <sheet name="San Mateo" sheetId="52" r:id="rId38"/>
    <sheet name="Santa Barbara" sheetId="50" r:id="rId39"/>
    <sheet name="Santa Clara" sheetId="51" r:id="rId40"/>
    <sheet name="Santa Cruz" sheetId="54" r:id="rId41"/>
    <sheet name="Shasta" sheetId="53" r:id="rId42"/>
    <sheet name="Siskiyou" sheetId="55" r:id="rId43"/>
    <sheet name="Solano" sheetId="56" r:id="rId44"/>
    <sheet name="Sonoma" sheetId="57" r:id="rId45"/>
    <sheet name="Stanislaus" sheetId="58" r:id="rId46"/>
    <sheet name="Sutter" sheetId="59" r:id="rId47"/>
    <sheet name="Tehama" sheetId="60" r:id="rId48"/>
    <sheet name="Tulare" sheetId="61" r:id="rId49"/>
    <sheet name="Ventura" sheetId="62" r:id="rId50"/>
    <sheet name="Yolo" sheetId="63" r:id="rId51"/>
    <sheet name="Yuba" sheetId="64" r:id="rId5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65" l="1"/>
  <c r="B56" i="65"/>
  <c r="N12" i="57"/>
  <c r="F12" i="57" l="1"/>
  <c r="C23" i="42" l="1"/>
  <c r="C5" i="64" l="1"/>
  <c r="D55" i="65" s="1"/>
  <c r="D5" i="64"/>
  <c r="E55" i="65" s="1"/>
  <c r="E5" i="64"/>
  <c r="F55" i="65" s="1"/>
  <c r="F5" i="64"/>
  <c r="G55" i="65" s="1"/>
  <c r="G5" i="64"/>
  <c r="H55" i="65" s="1"/>
  <c r="H5" i="64"/>
  <c r="I55" i="65" s="1"/>
  <c r="I5" i="64"/>
  <c r="J55" i="65" s="1"/>
  <c r="J5" i="64"/>
  <c r="K55" i="65" s="1"/>
  <c r="K5" i="64"/>
  <c r="L55" i="65" s="1"/>
  <c r="L5" i="64"/>
  <c r="M55" i="65" s="1"/>
  <c r="M5" i="64"/>
  <c r="N55" i="65" s="1"/>
  <c r="N5" i="64"/>
  <c r="O55" i="65" s="1"/>
  <c r="O5" i="64"/>
  <c r="P55" i="65" s="1"/>
  <c r="P5" i="64"/>
  <c r="Q55" i="65" s="1"/>
  <c r="Q5" i="64"/>
  <c r="R55" i="65" s="1"/>
  <c r="Q11" i="39"/>
  <c r="R34" i="65" s="1"/>
  <c r="C7" i="63"/>
  <c r="D54" i="65" s="1"/>
  <c r="D7" i="63"/>
  <c r="E54" i="65" s="1"/>
  <c r="E7" i="63"/>
  <c r="F54" i="65" s="1"/>
  <c r="F7" i="63"/>
  <c r="G54" i="65" s="1"/>
  <c r="G7" i="63"/>
  <c r="H54" i="65" s="1"/>
  <c r="H7" i="63"/>
  <c r="I54" i="65" s="1"/>
  <c r="I7" i="63"/>
  <c r="J54" i="65" s="1"/>
  <c r="J7" i="63"/>
  <c r="K54" i="65" s="1"/>
  <c r="K7" i="63"/>
  <c r="L54" i="65" s="1"/>
  <c r="L7" i="63"/>
  <c r="M54" i="65" s="1"/>
  <c r="M7" i="63"/>
  <c r="N54" i="65" s="1"/>
  <c r="N7" i="63"/>
  <c r="O54" i="65" s="1"/>
  <c r="O7" i="63"/>
  <c r="P54" i="65" s="1"/>
  <c r="P7" i="63"/>
  <c r="Q54" i="65" s="1"/>
  <c r="Q7" i="63"/>
  <c r="R54" i="65" s="1"/>
  <c r="C11" i="62"/>
  <c r="D53" i="65" s="1"/>
  <c r="D11" i="62"/>
  <c r="E53" i="65" s="1"/>
  <c r="E11" i="62"/>
  <c r="F53" i="65" s="1"/>
  <c r="F11" i="62"/>
  <c r="G53" i="65" s="1"/>
  <c r="G11" i="62"/>
  <c r="H53" i="65" s="1"/>
  <c r="H11" i="62"/>
  <c r="I53" i="65" s="1"/>
  <c r="I11" i="62"/>
  <c r="J53" i="65" s="1"/>
  <c r="J11" i="62"/>
  <c r="K53" i="65" s="1"/>
  <c r="K11" i="62"/>
  <c r="L53" i="65" s="1"/>
  <c r="L11" i="62"/>
  <c r="M53" i="65" s="1"/>
  <c r="M11" i="62"/>
  <c r="N53" i="65" s="1"/>
  <c r="N11" i="62"/>
  <c r="O53" i="65" s="1"/>
  <c r="O11" i="62"/>
  <c r="P53" i="65" s="1"/>
  <c r="P11" i="62"/>
  <c r="Q53" i="65" s="1"/>
  <c r="S54" i="65" l="1"/>
  <c r="S55" i="65"/>
  <c r="Q11" i="62"/>
  <c r="R53" i="65" s="1"/>
  <c r="S53" i="65" s="1"/>
  <c r="C13" i="61"/>
  <c r="D52" i="65" s="1"/>
  <c r="D13" i="61"/>
  <c r="E52" i="65" s="1"/>
  <c r="E13" i="61"/>
  <c r="F52" i="65" s="1"/>
  <c r="F13" i="61"/>
  <c r="G52" i="65" s="1"/>
  <c r="G13" i="61"/>
  <c r="H52" i="65" s="1"/>
  <c r="H13" i="61"/>
  <c r="I52" i="65" s="1"/>
  <c r="I13" i="61"/>
  <c r="J52" i="65" s="1"/>
  <c r="J13" i="61"/>
  <c r="K52" i="65" s="1"/>
  <c r="K13" i="61"/>
  <c r="L52" i="65" s="1"/>
  <c r="L13" i="61"/>
  <c r="M52" i="65" s="1"/>
  <c r="M13" i="61"/>
  <c r="N52" i="65" s="1"/>
  <c r="N13" i="61"/>
  <c r="O52" i="65" s="1"/>
  <c r="O13" i="61"/>
  <c r="P52" i="65" s="1"/>
  <c r="P13" i="61"/>
  <c r="Q52" i="65" s="1"/>
  <c r="Q13" i="61"/>
  <c r="R52" i="65" s="1"/>
  <c r="C6" i="60"/>
  <c r="D51" i="65" s="1"/>
  <c r="D6" i="60"/>
  <c r="E51" i="65" s="1"/>
  <c r="E6" i="60"/>
  <c r="F51" i="65" s="1"/>
  <c r="F6" i="60"/>
  <c r="G51" i="65" s="1"/>
  <c r="G6" i="60"/>
  <c r="H51" i="65" s="1"/>
  <c r="H6" i="60"/>
  <c r="I51" i="65" s="1"/>
  <c r="I6" i="60"/>
  <c r="J51" i="65" s="1"/>
  <c r="J6" i="60"/>
  <c r="K51" i="65" s="1"/>
  <c r="K6" i="60"/>
  <c r="L51" i="65" s="1"/>
  <c r="L6" i="60"/>
  <c r="M51" i="65" s="1"/>
  <c r="M6" i="60"/>
  <c r="N51" i="65" s="1"/>
  <c r="N6" i="60"/>
  <c r="O51" i="65" s="1"/>
  <c r="O6" i="60"/>
  <c r="P51" i="65" s="1"/>
  <c r="P6" i="60"/>
  <c r="Q51" i="65" s="1"/>
  <c r="Q6" i="60"/>
  <c r="R51" i="65" s="1"/>
  <c r="C8" i="59"/>
  <c r="D50" i="65" s="1"/>
  <c r="D8" i="59"/>
  <c r="E50" i="65" s="1"/>
  <c r="E8" i="59"/>
  <c r="F50" i="65" s="1"/>
  <c r="F8" i="59"/>
  <c r="G50" i="65" s="1"/>
  <c r="G8" i="59"/>
  <c r="H50" i="65" s="1"/>
  <c r="H8" i="59"/>
  <c r="I50" i="65" s="1"/>
  <c r="I8" i="59"/>
  <c r="J50" i="65" s="1"/>
  <c r="J8" i="59"/>
  <c r="K50" i="65" s="1"/>
  <c r="K8" i="59"/>
  <c r="L50" i="65" s="1"/>
  <c r="L8" i="59"/>
  <c r="M50" i="65" s="1"/>
  <c r="M8" i="59"/>
  <c r="N50" i="65" s="1"/>
  <c r="N8" i="59"/>
  <c r="O50" i="65" s="1"/>
  <c r="O8" i="59"/>
  <c r="P50" i="65" s="1"/>
  <c r="P8" i="59"/>
  <c r="Q50" i="65" s="1"/>
  <c r="Q8" i="59"/>
  <c r="R50" i="65" s="1"/>
  <c r="C13" i="58"/>
  <c r="D49" i="65" s="1"/>
  <c r="D13" i="58"/>
  <c r="E49" i="65" s="1"/>
  <c r="E13" i="58"/>
  <c r="F49" i="65" s="1"/>
  <c r="F13" i="58"/>
  <c r="G49" i="65" s="1"/>
  <c r="G13" i="58"/>
  <c r="H49" i="65" s="1"/>
  <c r="H13" i="58"/>
  <c r="I49" i="65" s="1"/>
  <c r="I13" i="58"/>
  <c r="J49" i="65" s="1"/>
  <c r="J13" i="58"/>
  <c r="K49" i="65" s="1"/>
  <c r="K13" i="58"/>
  <c r="L49" i="65" s="1"/>
  <c r="L13" i="58"/>
  <c r="M49" i="65" s="1"/>
  <c r="M13" i="58"/>
  <c r="N49" i="65" s="1"/>
  <c r="N13" i="58"/>
  <c r="O49" i="65" s="1"/>
  <c r="O13" i="58"/>
  <c r="P49" i="65" s="1"/>
  <c r="P13" i="58"/>
  <c r="Q49" i="65" s="1"/>
  <c r="Q13" i="58"/>
  <c r="R49" i="65" s="1"/>
  <c r="C12" i="57"/>
  <c r="D48" i="65" s="1"/>
  <c r="D12" i="57"/>
  <c r="E12" i="57"/>
  <c r="G12" i="57"/>
  <c r="H12" i="57"/>
  <c r="I12" i="57"/>
  <c r="J12" i="57"/>
  <c r="K12" i="57"/>
  <c r="L12" i="57"/>
  <c r="M12" i="57"/>
  <c r="O12" i="57"/>
  <c r="P12" i="57"/>
  <c r="Q12" i="57"/>
  <c r="C6" i="56"/>
  <c r="D47" i="65" s="1"/>
  <c r="D6" i="56"/>
  <c r="E47" i="65" s="1"/>
  <c r="E6" i="56"/>
  <c r="F47" i="65" s="1"/>
  <c r="F6" i="56"/>
  <c r="G47" i="65" s="1"/>
  <c r="G6" i="56"/>
  <c r="H47" i="65" s="1"/>
  <c r="H6" i="56"/>
  <c r="I47" i="65" s="1"/>
  <c r="I6" i="56"/>
  <c r="J47" i="65" s="1"/>
  <c r="J6" i="56"/>
  <c r="K47" i="65" s="1"/>
  <c r="K6" i="56"/>
  <c r="L47" i="65" s="1"/>
  <c r="L6" i="56"/>
  <c r="M47" i="65" s="1"/>
  <c r="M6" i="56"/>
  <c r="N47" i="65" s="1"/>
  <c r="N6" i="56"/>
  <c r="O47" i="65" s="1"/>
  <c r="O6" i="56"/>
  <c r="P47" i="65" s="1"/>
  <c r="P6" i="56"/>
  <c r="Q47" i="65" s="1"/>
  <c r="Q6" i="56"/>
  <c r="R47" i="65" s="1"/>
  <c r="K48" i="65" l="1"/>
  <c r="R48" i="65"/>
  <c r="J48" i="65"/>
  <c r="Q48" i="65"/>
  <c r="I48" i="65"/>
  <c r="L48" i="65"/>
  <c r="H48" i="65"/>
  <c r="G48" i="65"/>
  <c r="O48" i="65"/>
  <c r="N48" i="65"/>
  <c r="F48" i="65"/>
  <c r="P48" i="65"/>
  <c r="M48" i="65"/>
  <c r="E48" i="65"/>
  <c r="S47" i="65"/>
  <c r="S52" i="65"/>
  <c r="S51" i="65"/>
  <c r="S49" i="65"/>
  <c r="S50" i="65"/>
  <c r="C4" i="55"/>
  <c r="D46" i="65" s="1"/>
  <c r="D4" i="55"/>
  <c r="E46" i="65" s="1"/>
  <c r="E4" i="55"/>
  <c r="F46" i="65" s="1"/>
  <c r="F4" i="55"/>
  <c r="G46" i="65" s="1"/>
  <c r="G4" i="55"/>
  <c r="H46" i="65" s="1"/>
  <c r="H4" i="55"/>
  <c r="I46" i="65" s="1"/>
  <c r="I4" i="55"/>
  <c r="J46" i="65" s="1"/>
  <c r="J4" i="55"/>
  <c r="K46" i="65" s="1"/>
  <c r="K4" i="55"/>
  <c r="L46" i="65" s="1"/>
  <c r="L4" i="55"/>
  <c r="M46" i="65" s="1"/>
  <c r="M4" i="55"/>
  <c r="N46" i="65" s="1"/>
  <c r="N4" i="55"/>
  <c r="O46" i="65" s="1"/>
  <c r="O4" i="55"/>
  <c r="P46" i="65" s="1"/>
  <c r="P4" i="55"/>
  <c r="Q46" i="65" s="1"/>
  <c r="Q4" i="55"/>
  <c r="R46" i="65" s="1"/>
  <c r="C4" i="53"/>
  <c r="D45" i="65" s="1"/>
  <c r="D4" i="53"/>
  <c r="E45" i="65" s="1"/>
  <c r="E4" i="53"/>
  <c r="F45" i="65" s="1"/>
  <c r="F4" i="53"/>
  <c r="G45" i="65" s="1"/>
  <c r="G4" i="53"/>
  <c r="H45" i="65" s="1"/>
  <c r="H4" i="53"/>
  <c r="I45" i="65" s="1"/>
  <c r="I4" i="53"/>
  <c r="J45" i="65" s="1"/>
  <c r="J4" i="53"/>
  <c r="K45" i="65" s="1"/>
  <c r="K4" i="53"/>
  <c r="L45" i="65" s="1"/>
  <c r="L4" i="53"/>
  <c r="M45" i="65" s="1"/>
  <c r="M4" i="53"/>
  <c r="N45" i="65" s="1"/>
  <c r="N4" i="53"/>
  <c r="O45" i="65" s="1"/>
  <c r="O4" i="53"/>
  <c r="P45" i="65" s="1"/>
  <c r="P4" i="53"/>
  <c r="Q45" i="65" s="1"/>
  <c r="Q4" i="53"/>
  <c r="R45" i="65" s="1"/>
  <c r="C7" i="54"/>
  <c r="D44" i="65" s="1"/>
  <c r="D7" i="54"/>
  <c r="E44" i="65" s="1"/>
  <c r="E7" i="54"/>
  <c r="F44" i="65" s="1"/>
  <c r="F7" i="54"/>
  <c r="G44" i="65" s="1"/>
  <c r="G7" i="54"/>
  <c r="H44" i="65" s="1"/>
  <c r="H7" i="54"/>
  <c r="I44" i="65" s="1"/>
  <c r="I7" i="54"/>
  <c r="J44" i="65" s="1"/>
  <c r="J7" i="54"/>
  <c r="K44" i="65" s="1"/>
  <c r="K7" i="54"/>
  <c r="L44" i="65" s="1"/>
  <c r="L7" i="54"/>
  <c r="M44" i="65" s="1"/>
  <c r="M7" i="54"/>
  <c r="N44" i="65" s="1"/>
  <c r="N7" i="54"/>
  <c r="O44" i="65" s="1"/>
  <c r="O7" i="54"/>
  <c r="P44" i="65" s="1"/>
  <c r="P7" i="54"/>
  <c r="Q44" i="65" s="1"/>
  <c r="Q7" i="54"/>
  <c r="R44" i="65" s="1"/>
  <c r="C15" i="51"/>
  <c r="D43" i="65" s="1"/>
  <c r="D15" i="51"/>
  <c r="E43" i="65" s="1"/>
  <c r="E15" i="51"/>
  <c r="F43" i="65" s="1"/>
  <c r="F15" i="51"/>
  <c r="G43" i="65" s="1"/>
  <c r="G15" i="51"/>
  <c r="H43" i="65" s="1"/>
  <c r="H15" i="51"/>
  <c r="I43" i="65" s="1"/>
  <c r="I15" i="51"/>
  <c r="J43" i="65" s="1"/>
  <c r="J15" i="51"/>
  <c r="K43" i="65" s="1"/>
  <c r="K15" i="51"/>
  <c r="L43" i="65" s="1"/>
  <c r="L15" i="51"/>
  <c r="M43" i="65" s="1"/>
  <c r="M15" i="51"/>
  <c r="N43" i="65" s="1"/>
  <c r="N15" i="51"/>
  <c r="O43" i="65" s="1"/>
  <c r="O15" i="51"/>
  <c r="P43" i="65" s="1"/>
  <c r="P15" i="51"/>
  <c r="Q43" i="65" s="1"/>
  <c r="S48" i="65" l="1"/>
  <c r="S46" i="65"/>
  <c r="S45" i="65"/>
  <c r="S44" i="65"/>
  <c r="Q15" i="51"/>
  <c r="R43" i="65" s="1"/>
  <c r="S43" i="65" s="1"/>
  <c r="C8" i="50"/>
  <c r="D42" i="65" s="1"/>
  <c r="D8" i="50"/>
  <c r="E42" i="65" s="1"/>
  <c r="E8" i="50"/>
  <c r="F42" i="65" s="1"/>
  <c r="F8" i="50"/>
  <c r="G42" i="65" s="1"/>
  <c r="G8" i="50"/>
  <c r="H42" i="65" s="1"/>
  <c r="H8" i="50"/>
  <c r="I42" i="65" s="1"/>
  <c r="I8" i="50"/>
  <c r="J42" i="65" s="1"/>
  <c r="J8" i="50"/>
  <c r="K42" i="65" s="1"/>
  <c r="K8" i="50"/>
  <c r="L42" i="65" s="1"/>
  <c r="L8" i="50"/>
  <c r="M42" i="65" s="1"/>
  <c r="M8" i="50"/>
  <c r="N42" i="65" s="1"/>
  <c r="N8" i="50"/>
  <c r="O42" i="65" s="1"/>
  <c r="O8" i="50"/>
  <c r="P42" i="65" s="1"/>
  <c r="P8" i="50"/>
  <c r="Q42" i="65" s="1"/>
  <c r="Q8" i="50"/>
  <c r="R42" i="65" s="1"/>
  <c r="S42" i="65" l="1"/>
  <c r="C9" i="52"/>
  <c r="D41" i="65" s="1"/>
  <c r="D9" i="52"/>
  <c r="E41" i="65" s="1"/>
  <c r="E9" i="52"/>
  <c r="F41" i="65" s="1"/>
  <c r="F9" i="52"/>
  <c r="G41" i="65" s="1"/>
  <c r="G9" i="52"/>
  <c r="H41" i="65" s="1"/>
  <c r="H9" i="52"/>
  <c r="I41" i="65" s="1"/>
  <c r="I9" i="52"/>
  <c r="J41" i="65" s="1"/>
  <c r="J9" i="52"/>
  <c r="K41" i="65" s="1"/>
  <c r="K9" i="52"/>
  <c r="L41" i="65" s="1"/>
  <c r="L9" i="52"/>
  <c r="M41" i="65" s="1"/>
  <c r="M9" i="52"/>
  <c r="N41" i="65" s="1"/>
  <c r="N9" i="52"/>
  <c r="O41" i="65" s="1"/>
  <c r="O9" i="52"/>
  <c r="P41" i="65" s="1"/>
  <c r="P9" i="52"/>
  <c r="Q41" i="65" s="1"/>
  <c r="Q9" i="52"/>
  <c r="R41" i="65" s="1"/>
  <c r="C8" i="49"/>
  <c r="D40" i="65" s="1"/>
  <c r="D8" i="49"/>
  <c r="E40" i="65" s="1"/>
  <c r="E8" i="49"/>
  <c r="F40" i="65" s="1"/>
  <c r="F8" i="49"/>
  <c r="G40" i="65" s="1"/>
  <c r="G8" i="49"/>
  <c r="H40" i="65" s="1"/>
  <c r="H8" i="49"/>
  <c r="I40" i="65" s="1"/>
  <c r="I8" i="49"/>
  <c r="J40" i="65" s="1"/>
  <c r="J8" i="49"/>
  <c r="K40" i="65" s="1"/>
  <c r="K8" i="49"/>
  <c r="L40" i="65" s="1"/>
  <c r="L8" i="49"/>
  <c r="M40" i="65" s="1"/>
  <c r="M8" i="49"/>
  <c r="N40" i="65" s="1"/>
  <c r="N8" i="49"/>
  <c r="O40" i="65" s="1"/>
  <c r="O8" i="49"/>
  <c r="P40" i="65" s="1"/>
  <c r="P8" i="49"/>
  <c r="Q40" i="65" s="1"/>
  <c r="Q8" i="49"/>
  <c r="R40" i="65" s="1"/>
  <c r="C13" i="48"/>
  <c r="D39" i="65" s="1"/>
  <c r="D13" i="48"/>
  <c r="E39" i="65" s="1"/>
  <c r="E13" i="48"/>
  <c r="F39" i="65" s="1"/>
  <c r="F13" i="48"/>
  <c r="G39" i="65" s="1"/>
  <c r="G13" i="48"/>
  <c r="H39" i="65" s="1"/>
  <c r="H13" i="48"/>
  <c r="I39" i="65" s="1"/>
  <c r="I13" i="48"/>
  <c r="J39" i="65" s="1"/>
  <c r="J13" i="48"/>
  <c r="K39" i="65" s="1"/>
  <c r="K13" i="48"/>
  <c r="L39" i="65" s="1"/>
  <c r="L13" i="48"/>
  <c r="M39" i="65" s="1"/>
  <c r="M13" i="48"/>
  <c r="N39" i="65" s="1"/>
  <c r="N13" i="48"/>
  <c r="O39" i="65" s="1"/>
  <c r="O13" i="48"/>
  <c r="P39" i="65" s="1"/>
  <c r="P13" i="48"/>
  <c r="Q39" i="65" s="1"/>
  <c r="Q13" i="48"/>
  <c r="R39" i="65" s="1"/>
  <c r="C4" i="47"/>
  <c r="D38" i="65" s="1"/>
  <c r="D4" i="47"/>
  <c r="E38" i="65" s="1"/>
  <c r="E4" i="47"/>
  <c r="F38" i="65" s="1"/>
  <c r="F4" i="47"/>
  <c r="G38" i="65" s="1"/>
  <c r="G4" i="47"/>
  <c r="H38" i="65" s="1"/>
  <c r="H4" i="47"/>
  <c r="I38" i="65" s="1"/>
  <c r="I4" i="47"/>
  <c r="J38" i="65" s="1"/>
  <c r="J4" i="47"/>
  <c r="K38" i="65" s="1"/>
  <c r="K4" i="47"/>
  <c r="L38" i="65" s="1"/>
  <c r="L4" i="47"/>
  <c r="M38" i="65" s="1"/>
  <c r="M4" i="47"/>
  <c r="N38" i="65" s="1"/>
  <c r="N4" i="47"/>
  <c r="O38" i="65" s="1"/>
  <c r="O4" i="47"/>
  <c r="P38" i="65" s="1"/>
  <c r="P4" i="47"/>
  <c r="Q38" i="65" s="1"/>
  <c r="Q4" i="47"/>
  <c r="R38" i="65" s="1"/>
  <c r="C22" i="46"/>
  <c r="D37" i="65" s="1"/>
  <c r="D22" i="46"/>
  <c r="E37" i="65" s="1"/>
  <c r="E22" i="46"/>
  <c r="F37" i="65" s="1"/>
  <c r="F22" i="46"/>
  <c r="G37" i="65" s="1"/>
  <c r="G22" i="46"/>
  <c r="H37" i="65" s="1"/>
  <c r="H22" i="46"/>
  <c r="I37" i="65" s="1"/>
  <c r="I22" i="46"/>
  <c r="J37" i="65" s="1"/>
  <c r="J22" i="46"/>
  <c r="K37" i="65" s="1"/>
  <c r="K22" i="46"/>
  <c r="L37" i="65" s="1"/>
  <c r="L22" i="46"/>
  <c r="M37" i="65" s="1"/>
  <c r="M22" i="46"/>
  <c r="N37" i="65" s="1"/>
  <c r="N22" i="46"/>
  <c r="O37" i="65" s="1"/>
  <c r="O22" i="46"/>
  <c r="P37" i="65" s="1"/>
  <c r="P22" i="46"/>
  <c r="Q37" i="65" s="1"/>
  <c r="Q22" i="46"/>
  <c r="R37" i="65" s="1"/>
  <c r="C23" i="44"/>
  <c r="D36" i="65" s="1"/>
  <c r="D23" i="44"/>
  <c r="E36" i="65" s="1"/>
  <c r="E23" i="44"/>
  <c r="F36" i="65" s="1"/>
  <c r="F23" i="44"/>
  <c r="G36" i="65" s="1"/>
  <c r="G23" i="44"/>
  <c r="H36" i="65" s="1"/>
  <c r="H23" i="44"/>
  <c r="I36" i="65" s="1"/>
  <c r="I23" i="44"/>
  <c r="J36" i="65" s="1"/>
  <c r="J23" i="44"/>
  <c r="K36" i="65" s="1"/>
  <c r="K23" i="44"/>
  <c r="L36" i="65" s="1"/>
  <c r="L23" i="44"/>
  <c r="M36" i="65" s="1"/>
  <c r="M23" i="44"/>
  <c r="N36" i="65" s="1"/>
  <c r="N23" i="44"/>
  <c r="O36" i="65" s="1"/>
  <c r="O23" i="44"/>
  <c r="P36" i="65" s="1"/>
  <c r="P23" i="44"/>
  <c r="Q36" i="65" s="1"/>
  <c r="Q23" i="44"/>
  <c r="R36" i="65" s="1"/>
  <c r="C4" i="43"/>
  <c r="D35" i="65" s="1"/>
  <c r="D4" i="43"/>
  <c r="E35" i="65" s="1"/>
  <c r="E4" i="43"/>
  <c r="F35" i="65" s="1"/>
  <c r="F4" i="43"/>
  <c r="G35" i="65" s="1"/>
  <c r="G4" i="43"/>
  <c r="H35" i="65" s="1"/>
  <c r="H4" i="43"/>
  <c r="I35" i="65" s="1"/>
  <c r="I4" i="43"/>
  <c r="J35" i="65" s="1"/>
  <c r="J4" i="43"/>
  <c r="K35" i="65" s="1"/>
  <c r="K4" i="43"/>
  <c r="L35" i="65" s="1"/>
  <c r="L4" i="43"/>
  <c r="M35" i="65" s="1"/>
  <c r="M4" i="43"/>
  <c r="N35" i="65" s="1"/>
  <c r="N4" i="43"/>
  <c r="O35" i="65" s="1"/>
  <c r="O4" i="43"/>
  <c r="P35" i="65" s="1"/>
  <c r="P4" i="43"/>
  <c r="Q35" i="65" s="1"/>
  <c r="Q4" i="43"/>
  <c r="R35" i="65" s="1"/>
  <c r="C11" i="39"/>
  <c r="D34" i="65" s="1"/>
  <c r="D11" i="39"/>
  <c r="E34" i="65" s="1"/>
  <c r="E11" i="39"/>
  <c r="F34" i="65" s="1"/>
  <c r="F11" i="39"/>
  <c r="G34" i="65" s="1"/>
  <c r="G11" i="39"/>
  <c r="H34" i="65" s="1"/>
  <c r="H11" i="39"/>
  <c r="I34" i="65" s="1"/>
  <c r="I11" i="39"/>
  <c r="J34" i="65" s="1"/>
  <c r="J11" i="39"/>
  <c r="K34" i="65" s="1"/>
  <c r="K11" i="39"/>
  <c r="L34" i="65" s="1"/>
  <c r="L11" i="39"/>
  <c r="M34" i="65" s="1"/>
  <c r="M11" i="39"/>
  <c r="N34" i="65" s="1"/>
  <c r="N11" i="39"/>
  <c r="O34" i="65" s="1"/>
  <c r="O11" i="39"/>
  <c r="P34" i="65" s="1"/>
  <c r="P11" i="39"/>
  <c r="Q34" i="65" s="1"/>
  <c r="D33" i="65"/>
  <c r="D23" i="42"/>
  <c r="E33" i="65" s="1"/>
  <c r="E23" i="42"/>
  <c r="F33" i="65" s="1"/>
  <c r="F23" i="42"/>
  <c r="G33" i="65" s="1"/>
  <c r="G23" i="42"/>
  <c r="H33" i="65" s="1"/>
  <c r="H23" i="42"/>
  <c r="I33" i="65" s="1"/>
  <c r="I23" i="42"/>
  <c r="J33" i="65" s="1"/>
  <c r="J23" i="42"/>
  <c r="K33" i="65" s="1"/>
  <c r="K23" i="42"/>
  <c r="L33" i="65" s="1"/>
  <c r="L23" i="42"/>
  <c r="M33" i="65" s="1"/>
  <c r="M23" i="42"/>
  <c r="N33" i="65" s="1"/>
  <c r="N23" i="42"/>
  <c r="O33" i="65" s="1"/>
  <c r="O23" i="42"/>
  <c r="P33" i="65" s="1"/>
  <c r="P23" i="42"/>
  <c r="Q33" i="65" s="1"/>
  <c r="S40" i="65" l="1"/>
  <c r="S38" i="65"/>
  <c r="S37" i="65"/>
  <c r="S36" i="65"/>
  <c r="S41" i="65"/>
  <c r="S39" i="65"/>
  <c r="S35" i="65"/>
  <c r="S34" i="65"/>
  <c r="Q23" i="42"/>
  <c r="R33" i="65" s="1"/>
  <c r="S33" i="65" s="1"/>
  <c r="C4" i="41"/>
  <c r="D32" i="65" s="1"/>
  <c r="D4" i="41"/>
  <c r="E32" i="65" s="1"/>
  <c r="E4" i="41"/>
  <c r="F32" i="65" s="1"/>
  <c r="F4" i="41"/>
  <c r="G32" i="65" s="1"/>
  <c r="G4" i="41"/>
  <c r="H32" i="65" s="1"/>
  <c r="H4" i="41"/>
  <c r="I32" i="65" s="1"/>
  <c r="I4" i="41"/>
  <c r="J32" i="65" s="1"/>
  <c r="J4" i="41"/>
  <c r="K32" i="65" s="1"/>
  <c r="K4" i="41"/>
  <c r="L32" i="65" s="1"/>
  <c r="L4" i="41"/>
  <c r="M32" i="65" s="1"/>
  <c r="M4" i="41"/>
  <c r="N32" i="65" s="1"/>
  <c r="N4" i="41"/>
  <c r="O32" i="65" s="1"/>
  <c r="O4" i="41"/>
  <c r="P32" i="65" s="1"/>
  <c r="P4" i="41"/>
  <c r="Q32" i="65" s="1"/>
  <c r="Q4" i="41"/>
  <c r="R32" i="65" s="1"/>
  <c r="C8" i="40"/>
  <c r="D31" i="65" s="1"/>
  <c r="D8" i="40"/>
  <c r="E31" i="65" s="1"/>
  <c r="E8" i="40"/>
  <c r="F31" i="65" s="1"/>
  <c r="F8" i="40"/>
  <c r="G31" i="65" s="1"/>
  <c r="G8" i="40"/>
  <c r="H31" i="65" s="1"/>
  <c r="H8" i="40"/>
  <c r="I31" i="65" s="1"/>
  <c r="I8" i="40"/>
  <c r="J31" i="65" s="1"/>
  <c r="J8" i="40"/>
  <c r="K31" i="65" s="1"/>
  <c r="K8" i="40"/>
  <c r="L31" i="65" s="1"/>
  <c r="L8" i="40"/>
  <c r="M31" i="65" s="1"/>
  <c r="M8" i="40"/>
  <c r="N31" i="65" s="1"/>
  <c r="N8" i="40"/>
  <c r="O31" i="65" s="1"/>
  <c r="O8" i="40"/>
  <c r="P31" i="65" s="1"/>
  <c r="P8" i="40"/>
  <c r="Q31" i="65" s="1"/>
  <c r="Q8" i="40"/>
  <c r="R31" i="65" s="1"/>
  <c r="C19" i="38"/>
  <c r="D30" i="65" s="1"/>
  <c r="D19" i="38"/>
  <c r="E30" i="65" s="1"/>
  <c r="E19" i="38"/>
  <c r="F30" i="65" s="1"/>
  <c r="F19" i="38"/>
  <c r="G30" i="65" s="1"/>
  <c r="G19" i="38"/>
  <c r="H30" i="65" s="1"/>
  <c r="H19" i="38"/>
  <c r="I30" i="65" s="1"/>
  <c r="I19" i="38"/>
  <c r="J30" i="65" s="1"/>
  <c r="J19" i="38"/>
  <c r="K30" i="65" s="1"/>
  <c r="K19" i="38"/>
  <c r="L30" i="65" s="1"/>
  <c r="L19" i="38"/>
  <c r="M30" i="65" s="1"/>
  <c r="M19" i="38"/>
  <c r="N30" i="65" s="1"/>
  <c r="N19" i="38"/>
  <c r="O30" i="65" s="1"/>
  <c r="O19" i="38"/>
  <c r="P30" i="65" s="1"/>
  <c r="P19" i="38"/>
  <c r="Q30" i="65" s="1"/>
  <c r="Q19" i="38"/>
  <c r="R30" i="65" s="1"/>
  <c r="C4" i="37"/>
  <c r="D29" i="65" s="1"/>
  <c r="D4" i="37"/>
  <c r="E29" i="65" s="1"/>
  <c r="E4" i="37"/>
  <c r="F29" i="65" s="1"/>
  <c r="F4" i="37"/>
  <c r="G29" i="65" s="1"/>
  <c r="G4" i="37"/>
  <c r="H29" i="65" s="1"/>
  <c r="H4" i="37"/>
  <c r="I29" i="65" s="1"/>
  <c r="I4" i="37"/>
  <c r="J29" i="65" s="1"/>
  <c r="J4" i="37"/>
  <c r="K29" i="65" s="1"/>
  <c r="K4" i="37"/>
  <c r="L29" i="65" s="1"/>
  <c r="L4" i="37"/>
  <c r="M29" i="65" s="1"/>
  <c r="M4" i="37"/>
  <c r="N29" i="65" s="1"/>
  <c r="N4" i="37"/>
  <c r="O29" i="65" s="1"/>
  <c r="O4" i="37"/>
  <c r="P29" i="65" s="1"/>
  <c r="P4" i="37"/>
  <c r="Q29" i="65" s="1"/>
  <c r="Q4" i="37"/>
  <c r="R29" i="65" s="1"/>
  <c r="C6" i="36"/>
  <c r="D28" i="65" s="1"/>
  <c r="D6" i="36"/>
  <c r="E28" i="65" s="1"/>
  <c r="E6" i="36"/>
  <c r="F28" i="65" s="1"/>
  <c r="F6" i="36"/>
  <c r="G28" i="65" s="1"/>
  <c r="G6" i="36"/>
  <c r="H28" i="65" s="1"/>
  <c r="H6" i="36"/>
  <c r="I28" i="65" s="1"/>
  <c r="I6" i="36"/>
  <c r="J28" i="65" s="1"/>
  <c r="J6" i="36"/>
  <c r="K28" i="65" s="1"/>
  <c r="K6" i="36"/>
  <c r="L28" i="65" s="1"/>
  <c r="L6" i="36"/>
  <c r="M28" i="65" s="1"/>
  <c r="M6" i="36"/>
  <c r="N28" i="65" s="1"/>
  <c r="N6" i="36"/>
  <c r="O28" i="65" s="1"/>
  <c r="O6" i="36"/>
  <c r="P28" i="65" s="1"/>
  <c r="P6" i="36"/>
  <c r="Q28" i="65" s="1"/>
  <c r="Q6" i="36"/>
  <c r="R28" i="65" s="1"/>
  <c r="C11" i="35"/>
  <c r="D27" i="65" s="1"/>
  <c r="D11" i="35"/>
  <c r="E27" i="65" s="1"/>
  <c r="E11" i="35"/>
  <c r="F27" i="65" s="1"/>
  <c r="F11" i="35"/>
  <c r="G27" i="65" s="1"/>
  <c r="G11" i="35"/>
  <c r="H27" i="65" s="1"/>
  <c r="H11" i="35"/>
  <c r="I27" i="65" s="1"/>
  <c r="I11" i="35"/>
  <c r="J27" i="65" s="1"/>
  <c r="J11" i="35"/>
  <c r="K27" i="65" s="1"/>
  <c r="K11" i="35"/>
  <c r="L27" i="65" s="1"/>
  <c r="L11" i="35"/>
  <c r="M27" i="65" s="1"/>
  <c r="M11" i="35"/>
  <c r="N27" i="65" s="1"/>
  <c r="N11" i="35"/>
  <c r="O27" i="65" s="1"/>
  <c r="O11" i="35"/>
  <c r="P27" i="65" s="1"/>
  <c r="P11" i="35"/>
  <c r="Q27" i="65" s="1"/>
  <c r="Q11" i="35"/>
  <c r="R27" i="65" s="1"/>
  <c r="C5" i="34"/>
  <c r="D26" i="65" s="1"/>
  <c r="D5" i="34"/>
  <c r="E26" i="65" s="1"/>
  <c r="E5" i="34"/>
  <c r="F26" i="65" s="1"/>
  <c r="F5" i="34"/>
  <c r="G26" i="65" s="1"/>
  <c r="G5" i="34"/>
  <c r="H26" i="65" s="1"/>
  <c r="H5" i="34"/>
  <c r="I26" i="65" s="1"/>
  <c r="I5" i="34"/>
  <c r="J26" i="65" s="1"/>
  <c r="J5" i="34"/>
  <c r="K26" i="65" s="1"/>
  <c r="K5" i="34"/>
  <c r="L26" i="65" s="1"/>
  <c r="L5" i="34"/>
  <c r="M26" i="65" s="1"/>
  <c r="M5" i="34"/>
  <c r="N26" i="65" s="1"/>
  <c r="N5" i="34"/>
  <c r="O26" i="65" s="1"/>
  <c r="O5" i="34"/>
  <c r="P26" i="65" s="1"/>
  <c r="P5" i="34"/>
  <c r="Q26" i="65" s="1"/>
  <c r="Q5" i="34"/>
  <c r="R26" i="65" s="1"/>
  <c r="C8" i="33"/>
  <c r="D25" i="65" s="1"/>
  <c r="D8" i="33"/>
  <c r="E25" i="65" s="1"/>
  <c r="E8" i="33"/>
  <c r="F25" i="65" s="1"/>
  <c r="F8" i="33"/>
  <c r="G25" i="65" s="1"/>
  <c r="G8" i="33"/>
  <c r="H25" i="65" s="1"/>
  <c r="H8" i="33"/>
  <c r="I25" i="65" s="1"/>
  <c r="I8" i="33"/>
  <c r="J25" i="65" s="1"/>
  <c r="J8" i="33"/>
  <c r="K25" i="65" s="1"/>
  <c r="K8" i="33"/>
  <c r="L25" i="65" s="1"/>
  <c r="L8" i="33"/>
  <c r="M25" i="65" s="1"/>
  <c r="M8" i="33"/>
  <c r="N25" i="65" s="1"/>
  <c r="N8" i="33"/>
  <c r="O25" i="65" s="1"/>
  <c r="O8" i="33"/>
  <c r="P25" i="65" s="1"/>
  <c r="P8" i="33"/>
  <c r="Q25" i="65" s="1"/>
  <c r="Q8" i="33"/>
  <c r="R25" i="65" s="1"/>
  <c r="C9" i="32"/>
  <c r="D24" i="65" s="1"/>
  <c r="D9" i="32"/>
  <c r="E24" i="65" s="1"/>
  <c r="E9" i="32"/>
  <c r="F24" i="65" s="1"/>
  <c r="F9" i="32"/>
  <c r="G24" i="65" s="1"/>
  <c r="G9" i="32"/>
  <c r="H24" i="65" s="1"/>
  <c r="H9" i="32"/>
  <c r="I24" i="65" s="1"/>
  <c r="I9" i="32"/>
  <c r="J24" i="65" s="1"/>
  <c r="J9" i="32"/>
  <c r="K24" i="65" s="1"/>
  <c r="K9" i="32"/>
  <c r="L24" i="65" s="1"/>
  <c r="L9" i="32"/>
  <c r="M24" i="65" s="1"/>
  <c r="M9" i="32"/>
  <c r="N24" i="65" s="1"/>
  <c r="N9" i="32"/>
  <c r="O24" i="65" s="1"/>
  <c r="O9" i="32"/>
  <c r="P24" i="65" s="1"/>
  <c r="P9" i="32"/>
  <c r="Q24" i="65" s="1"/>
  <c r="Q9" i="32"/>
  <c r="R24" i="65" s="1"/>
  <c r="C7" i="31"/>
  <c r="D23" i="65" s="1"/>
  <c r="D7" i="31"/>
  <c r="E23" i="65" s="1"/>
  <c r="E7" i="31"/>
  <c r="F23" i="65" s="1"/>
  <c r="F7" i="31"/>
  <c r="G23" i="65" s="1"/>
  <c r="G7" i="31"/>
  <c r="H23" i="65" s="1"/>
  <c r="H7" i="31"/>
  <c r="I23" i="65" s="1"/>
  <c r="I7" i="31"/>
  <c r="J23" i="65" s="1"/>
  <c r="J7" i="31"/>
  <c r="K23" i="65" s="1"/>
  <c r="K7" i="31"/>
  <c r="L23" i="65" s="1"/>
  <c r="L7" i="31"/>
  <c r="M23" i="65" s="1"/>
  <c r="M7" i="31"/>
  <c r="N23" i="65" s="1"/>
  <c r="N7" i="31"/>
  <c r="O23" i="65" s="1"/>
  <c r="O7" i="31"/>
  <c r="P23" i="65" s="1"/>
  <c r="P7" i="31"/>
  <c r="Q23" i="65" s="1"/>
  <c r="Q7" i="31"/>
  <c r="R23" i="65" s="1"/>
  <c r="C6" i="30"/>
  <c r="D22" i="65" s="1"/>
  <c r="D6" i="30"/>
  <c r="E22" i="65" s="1"/>
  <c r="E6" i="30"/>
  <c r="F22" i="65" s="1"/>
  <c r="F6" i="30"/>
  <c r="G22" i="65" s="1"/>
  <c r="G6" i="30"/>
  <c r="H22" i="65" s="1"/>
  <c r="H6" i="30"/>
  <c r="I22" i="65" s="1"/>
  <c r="I6" i="30"/>
  <c r="J22" i="65" s="1"/>
  <c r="J6" i="30"/>
  <c r="K22" i="65" s="1"/>
  <c r="K6" i="30"/>
  <c r="L22" i="65" s="1"/>
  <c r="L6" i="30"/>
  <c r="M22" i="65" s="1"/>
  <c r="M6" i="30"/>
  <c r="N22" i="65" s="1"/>
  <c r="N6" i="30"/>
  <c r="O22" i="65" s="1"/>
  <c r="O6" i="30"/>
  <c r="P22" i="65" s="1"/>
  <c r="P6" i="30"/>
  <c r="Q22" i="65" s="1"/>
  <c r="Q6" i="30"/>
  <c r="R22" i="65" s="1"/>
  <c r="C48" i="29"/>
  <c r="D21" i="65" s="1"/>
  <c r="D48" i="29"/>
  <c r="E21" i="65" s="1"/>
  <c r="E48" i="29"/>
  <c r="F21" i="65" s="1"/>
  <c r="F48" i="29"/>
  <c r="G21" i="65" s="1"/>
  <c r="G48" i="29"/>
  <c r="H21" i="65" s="1"/>
  <c r="H48" i="29"/>
  <c r="I21" i="65" s="1"/>
  <c r="I48" i="29"/>
  <c r="J21" i="65" s="1"/>
  <c r="J48" i="29"/>
  <c r="K21" i="65" s="1"/>
  <c r="K48" i="29"/>
  <c r="L21" i="65" s="1"/>
  <c r="L48" i="29"/>
  <c r="M21" i="65" s="1"/>
  <c r="M48" i="29"/>
  <c r="N21" i="65" s="1"/>
  <c r="N48" i="29"/>
  <c r="O21" i="65" s="1"/>
  <c r="O48" i="29"/>
  <c r="P21" i="65" s="1"/>
  <c r="P48" i="29"/>
  <c r="Q21" i="65" s="1"/>
  <c r="Q48" i="29"/>
  <c r="R21" i="65" s="1"/>
  <c r="S21" i="65" l="1"/>
  <c r="S29" i="65"/>
  <c r="S28" i="65"/>
  <c r="S26" i="65"/>
  <c r="S27" i="65"/>
  <c r="S24" i="65"/>
  <c r="S32" i="65"/>
  <c r="S25" i="65"/>
  <c r="S23" i="65"/>
  <c r="S31" i="65"/>
  <c r="S22" i="65"/>
  <c r="S30" i="65"/>
  <c r="C4" i="28"/>
  <c r="D20" i="65" s="1"/>
  <c r="D4" i="28"/>
  <c r="E20" i="65" s="1"/>
  <c r="E4" i="28"/>
  <c r="F20" i="65" s="1"/>
  <c r="F4" i="28"/>
  <c r="G20" i="65" s="1"/>
  <c r="G4" i="28"/>
  <c r="H20" i="65" s="1"/>
  <c r="H4" i="28"/>
  <c r="I20" i="65" s="1"/>
  <c r="I4" i="28"/>
  <c r="J20" i="65" s="1"/>
  <c r="J4" i="28"/>
  <c r="K20" i="65" s="1"/>
  <c r="K4" i="28"/>
  <c r="L20" i="65" s="1"/>
  <c r="L4" i="28"/>
  <c r="M20" i="65" s="1"/>
  <c r="M4" i="28"/>
  <c r="N20" i="65" s="1"/>
  <c r="N4" i="28"/>
  <c r="O20" i="65" s="1"/>
  <c r="O4" i="28"/>
  <c r="P20" i="65" s="1"/>
  <c r="P4" i="28"/>
  <c r="Q20" i="65" s="1"/>
  <c r="Q4" i="28"/>
  <c r="R20" i="65" s="1"/>
  <c r="C5" i="27"/>
  <c r="D19" i="65" s="1"/>
  <c r="D5" i="27"/>
  <c r="E19" i="65" s="1"/>
  <c r="E5" i="27"/>
  <c r="F19" i="65" s="1"/>
  <c r="F5" i="27"/>
  <c r="G19" i="65" s="1"/>
  <c r="G5" i="27"/>
  <c r="H19" i="65" s="1"/>
  <c r="H5" i="27"/>
  <c r="I19" i="65" s="1"/>
  <c r="I5" i="27"/>
  <c r="J19" i="65" s="1"/>
  <c r="J5" i="27"/>
  <c r="K19" i="65" s="1"/>
  <c r="K5" i="27"/>
  <c r="L19" i="65" s="1"/>
  <c r="L5" i="27"/>
  <c r="M19" i="65" s="1"/>
  <c r="M5" i="27"/>
  <c r="N19" i="65" s="1"/>
  <c r="N5" i="27"/>
  <c r="O19" i="65" s="1"/>
  <c r="O5" i="27"/>
  <c r="P19" i="65" s="1"/>
  <c r="P5" i="27"/>
  <c r="Q19" i="65" s="1"/>
  <c r="Q5" i="27"/>
  <c r="R19" i="65" s="1"/>
  <c r="C8" i="26"/>
  <c r="D18" i="65" s="1"/>
  <c r="D8" i="26"/>
  <c r="E18" i="65" s="1"/>
  <c r="E8" i="26"/>
  <c r="F18" i="65" s="1"/>
  <c r="F8" i="26"/>
  <c r="G18" i="65" s="1"/>
  <c r="G8" i="26"/>
  <c r="H18" i="65" s="1"/>
  <c r="H8" i="26"/>
  <c r="I18" i="65" s="1"/>
  <c r="I8" i="26"/>
  <c r="J18" i="65" s="1"/>
  <c r="J8" i="26"/>
  <c r="K18" i="65" s="1"/>
  <c r="K8" i="26"/>
  <c r="L18" i="65" s="1"/>
  <c r="L8" i="26"/>
  <c r="M18" i="65" s="1"/>
  <c r="M8" i="26"/>
  <c r="N18" i="65" s="1"/>
  <c r="N8" i="26"/>
  <c r="O18" i="65" s="1"/>
  <c r="O8" i="26"/>
  <c r="P18" i="65" s="1"/>
  <c r="P8" i="26"/>
  <c r="Q18" i="65" s="1"/>
  <c r="Q8" i="26"/>
  <c r="R18" i="65" s="1"/>
  <c r="C9" i="25"/>
  <c r="D17" i="65" s="1"/>
  <c r="D9" i="25"/>
  <c r="E17" i="65" s="1"/>
  <c r="E9" i="25"/>
  <c r="F17" i="65" s="1"/>
  <c r="F9" i="25"/>
  <c r="G17" i="65" s="1"/>
  <c r="G9" i="25"/>
  <c r="H17" i="65" s="1"/>
  <c r="H9" i="25"/>
  <c r="I17" i="65" s="1"/>
  <c r="I9" i="25"/>
  <c r="J17" i="65" s="1"/>
  <c r="J9" i="25"/>
  <c r="K17" i="65" s="1"/>
  <c r="K9" i="25"/>
  <c r="L17" i="65" s="1"/>
  <c r="L9" i="25"/>
  <c r="M17" i="65" s="1"/>
  <c r="M9" i="25"/>
  <c r="N17" i="65" s="1"/>
  <c r="N9" i="25"/>
  <c r="O17" i="65" s="1"/>
  <c r="O9" i="25"/>
  <c r="P17" i="65" s="1"/>
  <c r="P9" i="25"/>
  <c r="Q17" i="65" s="1"/>
  <c r="Q9" i="25"/>
  <c r="R17" i="65" s="1"/>
  <c r="C7" i="24"/>
  <c r="D16" i="65" s="1"/>
  <c r="D7" i="24"/>
  <c r="E16" i="65" s="1"/>
  <c r="E7" i="24"/>
  <c r="F16" i="65" s="1"/>
  <c r="F7" i="24"/>
  <c r="G16" i="65" s="1"/>
  <c r="G7" i="24"/>
  <c r="H16" i="65" s="1"/>
  <c r="H7" i="24"/>
  <c r="I16" i="65" s="1"/>
  <c r="I7" i="24"/>
  <c r="J16" i="65" s="1"/>
  <c r="J7" i="24"/>
  <c r="K16" i="65" s="1"/>
  <c r="K7" i="24"/>
  <c r="L16" i="65" s="1"/>
  <c r="L7" i="24"/>
  <c r="M16" i="65" s="1"/>
  <c r="M7" i="24"/>
  <c r="N16" i="65" s="1"/>
  <c r="N7" i="24"/>
  <c r="O16" i="65" s="1"/>
  <c r="O7" i="24"/>
  <c r="P16" i="65" s="1"/>
  <c r="P7" i="24"/>
  <c r="Q16" i="65" s="1"/>
  <c r="Q7" i="24"/>
  <c r="R16" i="65" s="1"/>
  <c r="C7" i="23"/>
  <c r="D15" i="65" s="1"/>
  <c r="D7" i="23"/>
  <c r="E15" i="65" s="1"/>
  <c r="E7" i="23"/>
  <c r="F15" i="65" s="1"/>
  <c r="F7" i="23"/>
  <c r="G15" i="65" s="1"/>
  <c r="G7" i="23"/>
  <c r="H15" i="65" s="1"/>
  <c r="H7" i="23"/>
  <c r="I15" i="65" s="1"/>
  <c r="I7" i="23"/>
  <c r="J15" i="65" s="1"/>
  <c r="J7" i="23"/>
  <c r="K15" i="65" s="1"/>
  <c r="K7" i="23"/>
  <c r="L15" i="65" s="1"/>
  <c r="L7" i="23"/>
  <c r="M15" i="65" s="1"/>
  <c r="M7" i="23"/>
  <c r="N15" i="65" s="1"/>
  <c r="N7" i="23"/>
  <c r="O15" i="65" s="1"/>
  <c r="O7" i="23"/>
  <c r="P15" i="65" s="1"/>
  <c r="P7" i="23"/>
  <c r="Q15" i="65" s="1"/>
  <c r="Q7" i="23"/>
  <c r="R15" i="65" s="1"/>
  <c r="C5" i="22"/>
  <c r="D14" i="65" s="1"/>
  <c r="D5" i="22"/>
  <c r="E14" i="65" s="1"/>
  <c r="E5" i="22"/>
  <c r="F14" i="65" s="1"/>
  <c r="F5" i="22"/>
  <c r="G14" i="65" s="1"/>
  <c r="G5" i="22"/>
  <c r="H14" i="65" s="1"/>
  <c r="H5" i="22"/>
  <c r="I14" i="65" s="1"/>
  <c r="I5" i="22"/>
  <c r="J14" i="65" s="1"/>
  <c r="J5" i="22"/>
  <c r="K14" i="65" s="1"/>
  <c r="K5" i="22"/>
  <c r="L14" i="65" s="1"/>
  <c r="L5" i="22"/>
  <c r="M14" i="65" s="1"/>
  <c r="M5" i="22"/>
  <c r="N14" i="65" s="1"/>
  <c r="N5" i="22"/>
  <c r="O14" i="65" s="1"/>
  <c r="O5" i="22"/>
  <c r="P14" i="65" s="1"/>
  <c r="P5" i="22"/>
  <c r="Q14" i="65" s="1"/>
  <c r="Q5" i="22"/>
  <c r="R14" i="65" s="1"/>
  <c r="C22" i="21"/>
  <c r="D13" i="65" s="1"/>
  <c r="D22" i="21"/>
  <c r="E13" i="65" s="1"/>
  <c r="E22" i="21"/>
  <c r="F13" i="65" s="1"/>
  <c r="F22" i="21"/>
  <c r="G13" i="65" s="1"/>
  <c r="G22" i="21"/>
  <c r="H13" i="65" s="1"/>
  <c r="H22" i="21"/>
  <c r="I13" i="65" s="1"/>
  <c r="I22" i="21"/>
  <c r="J13" i="65" s="1"/>
  <c r="J22" i="21"/>
  <c r="K13" i="65" s="1"/>
  <c r="K22" i="21"/>
  <c r="L13" i="65" s="1"/>
  <c r="L22" i="21"/>
  <c r="M13" i="65" s="1"/>
  <c r="M22" i="21"/>
  <c r="N13" i="65" s="1"/>
  <c r="N22" i="21"/>
  <c r="O13" i="65" s="1"/>
  <c r="O22" i="21"/>
  <c r="P13" i="65" s="1"/>
  <c r="P22" i="21"/>
  <c r="Q13" i="65" s="1"/>
  <c r="Q22" i="21"/>
  <c r="R13" i="65" s="1"/>
  <c r="Q5" i="20"/>
  <c r="R12" i="65" s="1"/>
  <c r="C5" i="20"/>
  <c r="D12" i="65" s="1"/>
  <c r="D5" i="20"/>
  <c r="E12" i="65" s="1"/>
  <c r="E5" i="20"/>
  <c r="F12" i="65" s="1"/>
  <c r="F5" i="20"/>
  <c r="G12" i="65" s="1"/>
  <c r="G5" i="20"/>
  <c r="H12" i="65" s="1"/>
  <c r="H5" i="20"/>
  <c r="I12" i="65" s="1"/>
  <c r="I5" i="20"/>
  <c r="J12" i="65" s="1"/>
  <c r="J5" i="20"/>
  <c r="K12" i="65" s="1"/>
  <c r="K5" i="20"/>
  <c r="L12" i="65" s="1"/>
  <c r="L5" i="20"/>
  <c r="M12" i="65" s="1"/>
  <c r="M5" i="20"/>
  <c r="N12" i="65" s="1"/>
  <c r="N5" i="20"/>
  <c r="O12" i="65" s="1"/>
  <c r="O5" i="20"/>
  <c r="P12" i="65" s="1"/>
  <c r="P5" i="20"/>
  <c r="Q12" i="65" s="1"/>
  <c r="C4" i="19"/>
  <c r="D11" i="65" s="1"/>
  <c r="D4" i="19"/>
  <c r="E11" i="65" s="1"/>
  <c r="E4" i="19"/>
  <c r="F11" i="65" s="1"/>
  <c r="F4" i="19"/>
  <c r="G11" i="65" s="1"/>
  <c r="G4" i="19"/>
  <c r="H11" i="65" s="1"/>
  <c r="H4" i="19"/>
  <c r="I11" i="65" s="1"/>
  <c r="I4" i="19"/>
  <c r="J11" i="65" s="1"/>
  <c r="J4" i="19"/>
  <c r="K11" i="65" s="1"/>
  <c r="K4" i="19"/>
  <c r="L11" i="65" s="1"/>
  <c r="L4" i="19"/>
  <c r="M11" i="65" s="1"/>
  <c r="M4" i="19"/>
  <c r="N11" i="65" s="1"/>
  <c r="N4" i="19"/>
  <c r="O11" i="65" s="1"/>
  <c r="O4" i="19"/>
  <c r="P11" i="65" s="1"/>
  <c r="P4" i="19"/>
  <c r="Q11" i="65" s="1"/>
  <c r="Q4" i="19"/>
  <c r="R11" i="65" s="1"/>
  <c r="C12" i="18"/>
  <c r="D10" i="65" s="1"/>
  <c r="D12" i="18"/>
  <c r="E10" i="65" s="1"/>
  <c r="E12" i="18"/>
  <c r="F10" i="65" s="1"/>
  <c r="F12" i="18"/>
  <c r="G10" i="65" s="1"/>
  <c r="G12" i="18"/>
  <c r="H10" i="65" s="1"/>
  <c r="H12" i="18"/>
  <c r="I10" i="65" s="1"/>
  <c r="I12" i="18"/>
  <c r="J10" i="65" s="1"/>
  <c r="J12" i="18"/>
  <c r="K10" i="65" s="1"/>
  <c r="K12" i="18"/>
  <c r="L10" i="65" s="1"/>
  <c r="L12" i="18"/>
  <c r="M10" i="65" s="1"/>
  <c r="M12" i="18"/>
  <c r="N10" i="65" s="1"/>
  <c r="N12" i="18"/>
  <c r="O10" i="65" s="1"/>
  <c r="O12" i="18"/>
  <c r="P10" i="65" s="1"/>
  <c r="P12" i="18"/>
  <c r="Q10" i="65" s="1"/>
  <c r="Q12" i="18"/>
  <c r="R10" i="65" s="1"/>
  <c r="C5" i="17"/>
  <c r="D9" i="65" s="1"/>
  <c r="D5" i="17"/>
  <c r="E9" i="65" s="1"/>
  <c r="E5" i="17"/>
  <c r="F9" i="65" s="1"/>
  <c r="F5" i="17"/>
  <c r="G9" i="65" s="1"/>
  <c r="G5" i="17"/>
  <c r="H9" i="65" s="1"/>
  <c r="H5" i="17"/>
  <c r="I9" i="65" s="1"/>
  <c r="I5" i="17"/>
  <c r="J9" i="65" s="1"/>
  <c r="J5" i="17"/>
  <c r="K9" i="65" s="1"/>
  <c r="K5" i="17"/>
  <c r="L9" i="65" s="1"/>
  <c r="L5" i="17"/>
  <c r="M9" i="65" s="1"/>
  <c r="M5" i="17"/>
  <c r="N9" i="65" s="1"/>
  <c r="N5" i="17"/>
  <c r="O9" i="65" s="1"/>
  <c r="O5" i="17"/>
  <c r="P9" i="65" s="1"/>
  <c r="P5" i="17"/>
  <c r="Q9" i="65" s="1"/>
  <c r="Q5" i="17"/>
  <c r="R9" i="65" s="1"/>
  <c r="C4" i="16"/>
  <c r="D8" i="65" s="1"/>
  <c r="D4" i="16"/>
  <c r="E8" i="65" s="1"/>
  <c r="E4" i="16"/>
  <c r="F8" i="65" s="1"/>
  <c r="F4" i="16"/>
  <c r="G8" i="65" s="1"/>
  <c r="G4" i="16"/>
  <c r="H8" i="65" s="1"/>
  <c r="H4" i="16"/>
  <c r="I8" i="65" s="1"/>
  <c r="I4" i="16"/>
  <c r="J8" i="65" s="1"/>
  <c r="J4" i="16"/>
  <c r="K8" i="65" s="1"/>
  <c r="K4" i="16"/>
  <c r="L8" i="65" s="1"/>
  <c r="L4" i="16"/>
  <c r="M8" i="65" s="1"/>
  <c r="M4" i="16"/>
  <c r="N8" i="65" s="1"/>
  <c r="N4" i="16"/>
  <c r="O8" i="65" s="1"/>
  <c r="O4" i="16"/>
  <c r="P8" i="65" s="1"/>
  <c r="P4" i="16"/>
  <c r="Q8" i="65" s="1"/>
  <c r="Q4" i="16"/>
  <c r="R8" i="65" s="1"/>
  <c r="C20" i="13"/>
  <c r="D5" i="65" s="1"/>
  <c r="D6" i="15"/>
  <c r="E7" i="65" s="1"/>
  <c r="E6" i="15"/>
  <c r="F7" i="65" s="1"/>
  <c r="F6" i="15"/>
  <c r="G7" i="65" s="1"/>
  <c r="G6" i="15"/>
  <c r="H7" i="65" s="1"/>
  <c r="H6" i="15"/>
  <c r="I7" i="65" s="1"/>
  <c r="I6" i="15"/>
  <c r="J7" i="65" s="1"/>
  <c r="J6" i="15"/>
  <c r="K7" i="65" s="1"/>
  <c r="K6" i="15"/>
  <c r="L7" i="65" s="1"/>
  <c r="L6" i="15"/>
  <c r="M7" i="65" s="1"/>
  <c r="M6" i="15"/>
  <c r="N7" i="65" s="1"/>
  <c r="N6" i="15"/>
  <c r="O7" i="65" s="1"/>
  <c r="O6" i="15"/>
  <c r="P7" i="65" s="1"/>
  <c r="P6" i="15"/>
  <c r="Q7" i="65" s="1"/>
  <c r="Q6" i="15"/>
  <c r="R7" i="65" s="1"/>
  <c r="C6" i="15"/>
  <c r="D7" i="65" s="1"/>
  <c r="C4" i="14"/>
  <c r="D6" i="65" s="1"/>
  <c r="D4" i="14"/>
  <c r="E6" i="65" s="1"/>
  <c r="E4" i="14"/>
  <c r="F6" i="65" s="1"/>
  <c r="F4" i="14"/>
  <c r="G6" i="65" s="1"/>
  <c r="G4" i="14"/>
  <c r="H6" i="65" s="1"/>
  <c r="H4" i="14"/>
  <c r="I6" i="65" s="1"/>
  <c r="I4" i="14"/>
  <c r="J6" i="65" s="1"/>
  <c r="J4" i="14"/>
  <c r="K6" i="65" s="1"/>
  <c r="K4" i="14"/>
  <c r="L6" i="65" s="1"/>
  <c r="L4" i="14"/>
  <c r="M6" i="65" s="1"/>
  <c r="M4" i="14"/>
  <c r="N6" i="65" s="1"/>
  <c r="N4" i="14"/>
  <c r="O6" i="65" s="1"/>
  <c r="O4" i="14"/>
  <c r="P6" i="65" s="1"/>
  <c r="P4" i="14"/>
  <c r="Q6" i="65" s="1"/>
  <c r="Q4" i="14"/>
  <c r="R6" i="65" s="1"/>
  <c r="Q20" i="13"/>
  <c r="R5" i="65" s="1"/>
  <c r="D20" i="13"/>
  <c r="E5" i="65" s="1"/>
  <c r="E20" i="13"/>
  <c r="F5" i="65" s="1"/>
  <c r="F20" i="13"/>
  <c r="G5" i="65" s="1"/>
  <c r="G20" i="13"/>
  <c r="H5" i="65" s="1"/>
  <c r="H20" i="13"/>
  <c r="I5" i="65" s="1"/>
  <c r="I20" i="13"/>
  <c r="J5" i="65" s="1"/>
  <c r="J20" i="13"/>
  <c r="K5" i="65" s="1"/>
  <c r="K20" i="13"/>
  <c r="L5" i="65" s="1"/>
  <c r="L20" i="13"/>
  <c r="M5" i="65" s="1"/>
  <c r="M20" i="13"/>
  <c r="N5" i="65" s="1"/>
  <c r="N20" i="13"/>
  <c r="O5" i="65" s="1"/>
  <c r="O20" i="13"/>
  <c r="P5" i="65" s="1"/>
  <c r="P20" i="13"/>
  <c r="Q5" i="65" s="1"/>
  <c r="O56" i="65" l="1"/>
  <c r="G56" i="65"/>
  <c r="S9" i="65"/>
  <c r="S17" i="65"/>
  <c r="S6" i="65"/>
  <c r="S15" i="65"/>
  <c r="L56" i="65"/>
  <c r="R56" i="65"/>
  <c r="S7" i="65"/>
  <c r="S14" i="65"/>
  <c r="F56" i="65"/>
  <c r="S8" i="65"/>
  <c r="S16" i="65"/>
  <c r="E56" i="65"/>
  <c r="K56" i="65"/>
  <c r="S12" i="65"/>
  <c r="S13" i="65"/>
  <c r="J56" i="65"/>
  <c r="S20" i="65"/>
  <c r="I56" i="65"/>
  <c r="S11" i="65"/>
  <c r="S19" i="65"/>
  <c r="N56" i="65"/>
  <c r="M56" i="65"/>
  <c r="Q56" i="65"/>
  <c r="P56" i="65"/>
  <c r="H56" i="65"/>
  <c r="S10" i="65"/>
  <c r="S18" i="65"/>
  <c r="S5" i="65"/>
  <c r="D56" i="65"/>
  <c r="S56" i="65" l="1"/>
</calcChain>
</file>

<file path=xl/sharedStrings.xml><?xml version="1.0" encoding="utf-8"?>
<sst xmlns="http://schemas.openxmlformats.org/spreadsheetml/2006/main" count="1784" uniqueCount="804">
  <si>
    <t>Riverside</t>
  </si>
  <si>
    <t>Corona-Norco Unified</t>
  </si>
  <si>
    <t>Los Angeles</t>
  </si>
  <si>
    <t>Tehama</t>
  </si>
  <si>
    <t>Sonoma</t>
  </si>
  <si>
    <t>Alameda</t>
  </si>
  <si>
    <t>Tulare</t>
  </si>
  <si>
    <t>Santa Cruz</t>
  </si>
  <si>
    <t>Stanislaus</t>
  </si>
  <si>
    <t>Orange</t>
  </si>
  <si>
    <t>Tustin Unified</t>
  </si>
  <si>
    <t>Santa Rosa Academy</t>
  </si>
  <si>
    <t>San Bernardino</t>
  </si>
  <si>
    <t>Fresno</t>
  </si>
  <si>
    <t>Riverdale Joint Unified</t>
  </si>
  <si>
    <t>Marin</t>
  </si>
  <si>
    <t>Washington Unified</t>
  </si>
  <si>
    <t>Moreno Valley Unified</t>
  </si>
  <si>
    <t>San Joaquin</t>
  </si>
  <si>
    <t>San Joaquin County Office of Education</t>
  </si>
  <si>
    <t>Humboldt</t>
  </si>
  <si>
    <t>Tracy Joint Unified</t>
  </si>
  <si>
    <t>Magnolia Science Academy Santa Ana</t>
  </si>
  <si>
    <t>Sacramento</t>
  </si>
  <si>
    <t>Banning Unified</t>
  </si>
  <si>
    <t>San Diego</t>
  </si>
  <si>
    <t>Beaumont Unified</t>
  </si>
  <si>
    <t>Hemet Unified</t>
  </si>
  <si>
    <t>Laton Unified</t>
  </si>
  <si>
    <t>Lake Elsinore Unified</t>
  </si>
  <si>
    <t>Murrieta Valley Unified</t>
  </si>
  <si>
    <t>San Jacinto Unified</t>
  </si>
  <si>
    <t>Temecula Valley Unified</t>
  </si>
  <si>
    <t>Val Verde Unified</t>
  </si>
  <si>
    <t>Kern</t>
  </si>
  <si>
    <t>Tehachapi Unified</t>
  </si>
  <si>
    <t>Charter Oak Unified</t>
  </si>
  <si>
    <t>Humboldt County Office of Education</t>
  </si>
  <si>
    <t>South Pasadena Unified</t>
  </si>
  <si>
    <t>Alameda Unified</t>
  </si>
  <si>
    <t>Oro Grande</t>
  </si>
  <si>
    <t>Riverside Preparatory</t>
  </si>
  <si>
    <t>San Mateo</t>
  </si>
  <si>
    <t>Vista Unified</t>
  </si>
  <si>
    <t>Helendale Elementary</t>
  </si>
  <si>
    <t>Sutter</t>
  </si>
  <si>
    <t>East Nicolaus Joint Unified</t>
  </si>
  <si>
    <t>Roseland</t>
  </si>
  <si>
    <t>Roseland Collegiate Prep</t>
  </si>
  <si>
    <t>Placer</t>
  </si>
  <si>
    <t>Western Placer Unified</t>
  </si>
  <si>
    <t>San Rafael City High</t>
  </si>
  <si>
    <t>Mendocino</t>
  </si>
  <si>
    <t>Solano</t>
  </si>
  <si>
    <t>Glenn</t>
  </si>
  <si>
    <t>Orland Joint Unified</t>
  </si>
  <si>
    <t>Merced</t>
  </si>
  <si>
    <t>Dos Palos Oro-Loma Joint Unified</t>
  </si>
  <si>
    <t>Clovis Unified</t>
  </si>
  <si>
    <t>Madera</t>
  </si>
  <si>
    <t>San Luis Obispo</t>
  </si>
  <si>
    <t>Apple Valley Unified</t>
  </si>
  <si>
    <t>Santa Clara</t>
  </si>
  <si>
    <t>Butte</t>
  </si>
  <si>
    <t>SBE - New West Charter</t>
  </si>
  <si>
    <t>New West Charter</t>
  </si>
  <si>
    <t>Los Angeles County Office of Education</t>
  </si>
  <si>
    <t>Monterey</t>
  </si>
  <si>
    <t>Ripon Unified</t>
  </si>
  <si>
    <t>Del Norte</t>
  </si>
  <si>
    <t>Los Angeles Unified</t>
  </si>
  <si>
    <t>Santa Barbara</t>
  </si>
  <si>
    <t>Colusa</t>
  </si>
  <si>
    <t>Pittsburg Senior High</t>
  </si>
  <si>
    <t>Yolo</t>
  </si>
  <si>
    <t>Bear Valley Unified</t>
  </si>
  <si>
    <t>Kings</t>
  </si>
  <si>
    <t>Corcoran Unified</t>
  </si>
  <si>
    <t>San Francisco</t>
  </si>
  <si>
    <t>Contra Costa</t>
  </si>
  <si>
    <t>Mountain View-Los Altos Union High</t>
  </si>
  <si>
    <t>Glendora Unified</t>
  </si>
  <si>
    <t>Modeto City High</t>
  </si>
  <si>
    <t>Compton Unified</t>
  </si>
  <si>
    <t>Lake</t>
  </si>
  <si>
    <t>Konocti Unified</t>
  </si>
  <si>
    <t>Lodi Unified</t>
  </si>
  <si>
    <t>Sierra Sands Unified</t>
  </si>
  <si>
    <t>Napa</t>
  </si>
  <si>
    <t>St. Helena Unified</t>
  </si>
  <si>
    <t>Mountain Empire Unified</t>
  </si>
  <si>
    <t>Petaluma Joint Union High</t>
  </si>
  <si>
    <t>Ventura</t>
  </si>
  <si>
    <t>Moorpark Unified</t>
  </si>
  <si>
    <t>Irvine Unified</t>
  </si>
  <si>
    <t>Hawthorne</t>
  </si>
  <si>
    <t>Hawthorne Math and Science Academy</t>
  </si>
  <si>
    <t>Yuba City Unified</t>
  </si>
  <si>
    <t>Poway Unified</t>
  </si>
  <si>
    <t>El Dorado</t>
  </si>
  <si>
    <t>Lake Tahoe Unified</t>
  </si>
  <si>
    <t>Riverside Unified</t>
  </si>
  <si>
    <t>Calaveras</t>
  </si>
  <si>
    <t>Yuba</t>
  </si>
  <si>
    <t>Chino Valley Unified</t>
  </si>
  <si>
    <t>San Diego Unified</t>
  </si>
  <si>
    <t>Soledad High</t>
  </si>
  <si>
    <t>Santa Clara County Office of Education</t>
  </si>
  <si>
    <t>Shoreline Unified</t>
  </si>
  <si>
    <t>Mono</t>
  </si>
  <si>
    <t>Eastern Sierra Unified</t>
  </si>
  <si>
    <t>San Lorenzo Unified</t>
  </si>
  <si>
    <t>Round Valley Unified</t>
  </si>
  <si>
    <t>Siskiyou</t>
  </si>
  <si>
    <t>Ramona City Unified</t>
  </si>
  <si>
    <t>Shasta</t>
  </si>
  <si>
    <t>Ukiah Unified</t>
  </si>
  <si>
    <t>Delh Unified</t>
  </si>
  <si>
    <t>Burbank Unified</t>
  </si>
  <si>
    <t>Eureka City Schools</t>
  </si>
  <si>
    <t>Escondido Union High</t>
  </si>
  <si>
    <t>Caruthers Unified</t>
  </si>
  <si>
    <t>San Lorenzo Valley Unified</t>
  </si>
  <si>
    <t>Fresno Unified</t>
  </si>
  <si>
    <t>Inglewood Unified</t>
  </si>
  <si>
    <t>Fowler High</t>
  </si>
  <si>
    <t>Plumas</t>
  </si>
  <si>
    <t>Long Beach Unified</t>
  </si>
  <si>
    <t>La Canada Unified</t>
  </si>
  <si>
    <t>Lassen</t>
  </si>
  <si>
    <t>Newport-Mesa Unified</t>
  </si>
  <si>
    <t>Coronado Unified</t>
  </si>
  <si>
    <t>Chico Unified</t>
  </si>
  <si>
    <t>Amador</t>
  </si>
  <si>
    <t>San Benito</t>
  </si>
  <si>
    <t>Dublin Unified</t>
  </si>
  <si>
    <t>Sonoma Valley High School</t>
  </si>
  <si>
    <t>Cabrillo Unified</t>
  </si>
  <si>
    <t>High Tech High North County</t>
  </si>
  <si>
    <t>Acton-Agua Dulce Unified</t>
  </si>
  <si>
    <t>Options for Youth - Acton</t>
  </si>
  <si>
    <t>San Francisco Unified</t>
  </si>
  <si>
    <t>Gilroy Unified</t>
  </si>
  <si>
    <t>Inspire Charter School - South</t>
  </si>
  <si>
    <t>Lennox</t>
  </si>
  <si>
    <t>Los Molinos Unified</t>
  </si>
  <si>
    <t>Laguna Beach Unified</t>
  </si>
  <si>
    <t>Hayward Unified</t>
  </si>
  <si>
    <t>West Covina Unified</t>
  </si>
  <si>
    <t>California Virtual Academy @ San Diego</t>
  </si>
  <si>
    <t>Anderson Valley Unified</t>
  </si>
  <si>
    <t>Imperial</t>
  </si>
  <si>
    <t>Calipatria Unified</t>
  </si>
  <si>
    <t>New Haven Unified</t>
  </si>
  <si>
    <t>Nevada</t>
  </si>
  <si>
    <t>California Department of Education</t>
  </si>
  <si>
    <t>Participating Counties</t>
  </si>
  <si>
    <t>Participating Schools Total</t>
  </si>
  <si>
    <t>American Sign Language Total</t>
  </si>
  <si>
    <t>Cantonese Total</t>
  </si>
  <si>
    <t>French Total</t>
  </si>
  <si>
    <t>German Total</t>
  </si>
  <si>
    <t xml:space="preserve"> Japanese Total</t>
  </si>
  <si>
    <t>Korean Total</t>
  </si>
  <si>
    <t>Latin Total</t>
  </si>
  <si>
    <t>Mandarin Total</t>
  </si>
  <si>
    <t>Spanish Total</t>
  </si>
  <si>
    <t>Vietnamese Total</t>
  </si>
  <si>
    <t>Other Total</t>
  </si>
  <si>
    <t>Seal Total</t>
  </si>
  <si>
    <t xml:space="preserve">Sacramento </t>
  </si>
  <si>
    <t>Grand Total: 51</t>
  </si>
  <si>
    <t>Participating Districts Total</t>
  </si>
  <si>
    <t>Arabic Total</t>
  </si>
  <si>
    <t>Italian Total</t>
  </si>
  <si>
    <t>Albany City Unified</t>
  </si>
  <si>
    <t xml:space="preserve">Berkeley Unified </t>
  </si>
  <si>
    <t xml:space="preserve">Castro Valley Unified </t>
  </si>
  <si>
    <t xml:space="preserve">Emeryville Unified </t>
  </si>
  <si>
    <t xml:space="preserve">Fremont Unified </t>
  </si>
  <si>
    <t xml:space="preserve">Livermore Valley Joint Unified </t>
  </si>
  <si>
    <t xml:space="preserve">Oakland Unified </t>
  </si>
  <si>
    <t xml:space="preserve">Piedmont Unified </t>
  </si>
  <si>
    <t xml:space="preserve">Pleasanton Unified </t>
  </si>
  <si>
    <t xml:space="preserve">San Leandro Unified </t>
  </si>
  <si>
    <t>California School for the Deaf - Fremont</t>
  </si>
  <si>
    <t>Participating Districts</t>
  </si>
  <si>
    <t>Participating Schools</t>
  </si>
  <si>
    <t>Hmong Total</t>
  </si>
  <si>
    <t>Japanese Total</t>
  </si>
  <si>
    <t>California School for the Deaf-Fremont (State Special School)</t>
  </si>
  <si>
    <t>Albany High</t>
  </si>
  <si>
    <t>Berkeley High; Berkeley Technology Academy</t>
  </si>
  <si>
    <t>Castro Valley High</t>
  </si>
  <si>
    <t>Dublin High</t>
  </si>
  <si>
    <t>Emery High</t>
  </si>
  <si>
    <t>Total: 17</t>
  </si>
  <si>
    <t>American High; Circle of Independent Learning; Irvington High; John F. Kennedy High; Mission San Jose High; Vista Alternative; Washington High</t>
  </si>
  <si>
    <t>Granada High; Livermore High</t>
  </si>
  <si>
    <t>James Logan High</t>
  </si>
  <si>
    <t>Coliseum College Prep Academy; Fremont High; LIFE Academy; Lighthouse Community Charter High; MetWest High; Oakland High; Oakland Technical High; Skyline High</t>
  </si>
  <si>
    <t>Piedmont High</t>
  </si>
  <si>
    <t>Amador Valley High; Foothill High</t>
  </si>
  <si>
    <t>San Leandro High</t>
  </si>
  <si>
    <t>San Lorenzo High; Arroyo High; East Bay Arts High</t>
  </si>
  <si>
    <t>Alameda High; Alameda Science and Technology Institute; Encinal Junior/Senior High</t>
  </si>
  <si>
    <t>42</t>
  </si>
  <si>
    <t>Participating District</t>
  </si>
  <si>
    <t>Amador County Unified</t>
  </si>
  <si>
    <t>Amador High; Argonaut High</t>
  </si>
  <si>
    <t>Total: 1</t>
  </si>
  <si>
    <t>2</t>
  </si>
  <si>
    <t>Las Plumas High; Oroville High</t>
  </si>
  <si>
    <t>Oroville Union High</t>
  </si>
  <si>
    <t>Paradise Unified</t>
  </si>
  <si>
    <t>Total: 3</t>
  </si>
  <si>
    <t>Paradise High</t>
  </si>
  <si>
    <t>7</t>
  </si>
  <si>
    <t>Chico High; Fair View High; Inspire School of Arts and Sciences; Pleasant Valley High</t>
  </si>
  <si>
    <t>Participating School</t>
  </si>
  <si>
    <t>Bret Harte Union High</t>
  </si>
  <si>
    <t>1</t>
  </si>
  <si>
    <t>Maxwell Unified</t>
  </si>
  <si>
    <t>Colusa Unified</t>
  </si>
  <si>
    <t>Colusa High</t>
  </si>
  <si>
    <t>Maxwell High</t>
  </si>
  <si>
    <t>Total: 2</t>
  </si>
  <si>
    <t>Contra Costa County Office of Education</t>
  </si>
  <si>
    <t>Antioch Unified</t>
  </si>
  <si>
    <t>John Swett Unified</t>
  </si>
  <si>
    <t>Liberty Union High</t>
  </si>
  <si>
    <t>Martinez Unified</t>
  </si>
  <si>
    <t>Mt. Diablo Unified</t>
  </si>
  <si>
    <t>Pittsburg Unified</t>
  </si>
  <si>
    <t>San Ramon Valley Unified</t>
  </si>
  <si>
    <t>West Contra Costa Unified</t>
  </si>
  <si>
    <t>John Swett High</t>
  </si>
  <si>
    <t>Alhambra High</t>
  </si>
  <si>
    <t>Antioch High; Deer Valley High; Dozier-Libbey Medical High</t>
  </si>
  <si>
    <t>Clayton Valley Charter High; Making Waves Academy</t>
  </si>
  <si>
    <t>College Park High; Concord High; Mt. Diablo High; Northgate High; Ygnacio Valley High</t>
  </si>
  <si>
    <t>De Anza High; El Cerrito High; Hercules High; John F. Kennedy High; Middle College High; Pinole Valley High; Richmond High</t>
  </si>
  <si>
    <t>28</t>
  </si>
  <si>
    <t>Total: 9</t>
  </si>
  <si>
    <t>Del Norte Unified</t>
  </si>
  <si>
    <t>Del Norte High</t>
  </si>
  <si>
    <t>El Dorado Union High</t>
  </si>
  <si>
    <t>El Dorado High; Oak Ridge High; Ponderosa High; Union Mine High</t>
  </si>
  <si>
    <t>South Tahoe High</t>
  </si>
  <si>
    <t>5</t>
  </si>
  <si>
    <t>Central Unified</t>
  </si>
  <si>
    <t>Coalinga Huron Unified</t>
  </si>
  <si>
    <t>Firebaugh-Las Deltas Unified</t>
  </si>
  <si>
    <t>Fowler Unified</t>
  </si>
  <si>
    <t>Golden Plains Unified</t>
  </si>
  <si>
    <t>Westside Elementary</t>
  </si>
  <si>
    <t>Kerman Unified</t>
  </si>
  <si>
    <t>Kings Canyon Joint Unified</t>
  </si>
  <si>
    <t>Kingsburg Joint Union High</t>
  </si>
  <si>
    <t>Mendota Unified</t>
  </si>
  <si>
    <t>Parlier Unified</t>
  </si>
  <si>
    <t>Sanger Unified</t>
  </si>
  <si>
    <t>Selma Unified</t>
  </si>
  <si>
    <t>Total: 19</t>
  </si>
  <si>
    <t>Caruthers High</t>
  </si>
  <si>
    <t>Central High</t>
  </si>
  <si>
    <t>Coalinga High</t>
  </si>
  <si>
    <t>Firebaugh High</t>
  </si>
  <si>
    <t>Buchanan High; Clovis East High; Clovis High; Clovis North High; Clovis West High</t>
  </si>
  <si>
    <t>Bullard High; Design Science High; Duncan Polytechnical High; Edison High; Fresno High; Hoover High; McLane High; Patino Entrepreneurship High; Roosevelt High; Sunnyside High</t>
  </si>
  <si>
    <t>Tranquillity High</t>
  </si>
  <si>
    <t>Kerman High</t>
  </si>
  <si>
    <t>Orange Cove High; Reedley High</t>
  </si>
  <si>
    <t>Kingsburg High</t>
  </si>
  <si>
    <t>Laton High</t>
  </si>
  <si>
    <t>Mendota High</t>
  </si>
  <si>
    <t>Parlier High</t>
  </si>
  <si>
    <t>Riverdale High</t>
  </si>
  <si>
    <t>Sanger High</t>
  </si>
  <si>
    <t>Selma High</t>
  </si>
  <si>
    <t>Washington Union High</t>
  </si>
  <si>
    <t>Inspire Charter School - Central; Inspire Charter School - North; Inspire Charter School - South</t>
  </si>
  <si>
    <t>35</t>
  </si>
  <si>
    <t>Hamilton Unified</t>
  </si>
  <si>
    <t>Hamilton High</t>
  </si>
  <si>
    <t>Orland High</t>
  </si>
  <si>
    <t>Fortuna Union High</t>
  </si>
  <si>
    <t>Northern Humboldt Union High</t>
  </si>
  <si>
    <t>Eureka Senior High</t>
  </si>
  <si>
    <t>Northcoast Preparatory and Performing Arts Academy; Northern United-Humboldt Charter</t>
  </si>
  <si>
    <t>McKinleyville High</t>
  </si>
  <si>
    <t>Fortuna Union High; Academy of the Redwoods</t>
  </si>
  <si>
    <t>Total: 4</t>
  </si>
  <si>
    <t>6</t>
  </si>
  <si>
    <t>Calexico Unified</t>
  </si>
  <si>
    <t>Central Union High</t>
  </si>
  <si>
    <t>Holtville Unified</t>
  </si>
  <si>
    <t>Central Union High; Southwest High</t>
  </si>
  <si>
    <t>Calexico High</t>
  </si>
  <si>
    <t>Calipatria High</t>
  </si>
  <si>
    <t>Holtville High</t>
  </si>
  <si>
    <t>25</t>
  </si>
  <si>
    <t>Total: 6</t>
  </si>
  <si>
    <t>Delano Joint Union High</t>
  </si>
  <si>
    <t>Kern High</t>
  </si>
  <si>
    <t>McFarland Unified</t>
  </si>
  <si>
    <t>Wasco Union High</t>
  </si>
  <si>
    <t>Arvin High; Bakersfield High; Centennial High; East Bakersfield High; Foothill High; Frontier High; Golden Valley High; Highland High; Independence High; Kern Valley High; Liberty High; Mira Monte High; North High; Ridgeview High; Shafter High; South High; Stockdale High; West High</t>
  </si>
  <si>
    <t>McFarland High</t>
  </si>
  <si>
    <t>Sherman E. Burroughs High</t>
  </si>
  <si>
    <t>Tehachapi High</t>
  </si>
  <si>
    <t>Hanford High; Hanford West High; Sierra Pacific High</t>
  </si>
  <si>
    <t>Hanford Joint Union High</t>
  </si>
  <si>
    <t>Lemoore Union High</t>
  </si>
  <si>
    <t>Reef-Sunset Unified</t>
  </si>
  <si>
    <t>Kelseyville Unified</t>
  </si>
  <si>
    <t>Total: 5</t>
  </si>
  <si>
    <t>Corcoran High</t>
  </si>
  <si>
    <t>Lemoore High</t>
  </si>
  <si>
    <t>Avenal High</t>
  </si>
  <si>
    <t>Kelseyville High</t>
  </si>
  <si>
    <t>Lower Lake High</t>
  </si>
  <si>
    <t>Lassen High</t>
  </si>
  <si>
    <t>Lassen Union High</t>
  </si>
  <si>
    <t>Bassett Unified</t>
  </si>
  <si>
    <t>Hacienda La Puente Unified</t>
  </si>
  <si>
    <t>ABC Unified</t>
  </si>
  <si>
    <t>Alhambra Unified</t>
  </si>
  <si>
    <t>Azusa Unified</t>
  </si>
  <si>
    <t>Bellflower Unified</t>
  </si>
  <si>
    <t>Centinela Valley Union High</t>
  </si>
  <si>
    <t>Claremont Unified</t>
  </si>
  <si>
    <t>Culver City Unified</t>
  </si>
  <si>
    <t>Downey Unified</t>
  </si>
  <si>
    <t>Duarte Unified</t>
  </si>
  <si>
    <t>El Rancho Unified</t>
  </si>
  <si>
    <t>Glendale Unified</t>
  </si>
  <si>
    <t>Las Virgenes Unified</t>
  </si>
  <si>
    <t>Manhattan Beach Unified</t>
  </si>
  <si>
    <t>Monrovia Unified</t>
  </si>
  <si>
    <t>Montebello Unified</t>
  </si>
  <si>
    <t>Norwalk-La Mirada Unified</t>
  </si>
  <si>
    <t>Palos Verdes Peninsula Unified</t>
  </si>
  <si>
    <t>Paramount Unified</t>
  </si>
  <si>
    <t>Pasadena Unified</t>
  </si>
  <si>
    <t>Pomona Unified</t>
  </si>
  <si>
    <t>Redondo Beach Unified</t>
  </si>
  <si>
    <t>Rowland Unified</t>
  </si>
  <si>
    <t>San Gabriel Unified</t>
  </si>
  <si>
    <t>San Marino Unified</t>
  </si>
  <si>
    <t>Santa Monica-Malibu Unified</t>
  </si>
  <si>
    <t>Torrance Unified</t>
  </si>
  <si>
    <t>Whittier Union High</t>
  </si>
  <si>
    <t>William S. Hart Union High</t>
  </si>
  <si>
    <t>Avalon K-12; Cabrillo High; California Academy of Mathematics and Science; Jordan High; Lakewood High; James J. McBride Special Education Center; Millikan High; Polytechnic High; Renaissance High School for the Arts; Woodrow Wilson Senior High</t>
  </si>
  <si>
    <t>Aspire Ollin University Preparatory Academy; Magnolia Science Academy 3; Magnolia Science Academy 5</t>
  </si>
  <si>
    <t>North High; South High; Torrance High; West High</t>
  </si>
  <si>
    <t>Artesia High; Cerritos High; Gahr High; Whitney High</t>
  </si>
  <si>
    <t>Alhambra High; Mark Keppel High; San Gabriel High</t>
  </si>
  <si>
    <t>Azusa High; Gladstone High</t>
  </si>
  <si>
    <t>Bassett High</t>
  </si>
  <si>
    <t>Bellflower High; Mayfair High</t>
  </si>
  <si>
    <t>Burbank High; John Burroughs High</t>
  </si>
  <si>
    <t>Hawthorne High; Lawndale High; Leuzinger High</t>
  </si>
  <si>
    <t>Charter Oak High</t>
  </si>
  <si>
    <t>Claremont High</t>
  </si>
  <si>
    <t>Centennial High; Compton Early College High; Compton High; Dominguez High</t>
  </si>
  <si>
    <t>Culver City High</t>
  </si>
  <si>
    <t>Downey High; Warren High</t>
  </si>
  <si>
    <t>California School of the Arts - San Gabriel Valley</t>
  </si>
  <si>
    <t>El Rancho High</t>
  </si>
  <si>
    <t>Clark Magnet High; Crescenta Valley High; Daily High; Glendale High; Hoover High</t>
  </si>
  <si>
    <t>Glendora High</t>
  </si>
  <si>
    <t>La Puente High; Los Altos High; Glen A. Wilson High; William Workman High</t>
  </si>
  <si>
    <t>Animo Inglewood Charter High; City Honors High; Inglewood High; Morningside High</t>
  </si>
  <si>
    <t>La Canada High</t>
  </si>
  <si>
    <t>Agoura High; Calabasas High</t>
  </si>
  <si>
    <t>Animo Leadership Charter High</t>
  </si>
  <si>
    <t>Mira Costa High</t>
  </si>
  <si>
    <t>Monrovia High</t>
  </si>
  <si>
    <t>Applied Technology Center; Bell Gardens High; Montebello High; Schurr High</t>
  </si>
  <si>
    <t xml:space="preserve">John Glenn High; La Mirada High; Norwalk High; Southeast Academy </t>
  </si>
  <si>
    <t>Palos Verdes Peninsula High; Palos Verdes High; Rancho del Mar High</t>
  </si>
  <si>
    <t>Paramount High</t>
  </si>
  <si>
    <t>Blair High; John Muir High; Marshall Fundamental; Mayfield Senior School; Pasadena High</t>
  </si>
  <si>
    <t>Diamond Ranch High; Fremont Academy of Engineering &amp; Design; Ganesha High; Garey High; Palomares Academy of Health Sciences; Pomona High; Village Charter Academy</t>
  </si>
  <si>
    <t>Redondo Union High</t>
  </si>
  <si>
    <t>John A. Rowland High; Nogales High</t>
  </si>
  <si>
    <t>Gabrielino High</t>
  </si>
  <si>
    <t>San Marino High</t>
  </si>
  <si>
    <t>Malibu High; Santa Monica High</t>
  </si>
  <si>
    <t>South Pasadena High</t>
  </si>
  <si>
    <t>California Virtual Academy @ Los Angeles; California Virtual Academy @ San Diego; Edgewood High; West Covina High</t>
  </si>
  <si>
    <t>California High; La Serna High; Pioneer High; Santa Fe High; Whittier High</t>
  </si>
  <si>
    <t>Canyon High; Golden Valley High; Jereann Bowman High; Learning Post High (Alternative); Saugus High; West Ranch High; William S. Hart High; Valencia High</t>
  </si>
  <si>
    <t>Total: 45</t>
  </si>
  <si>
    <t>272</t>
  </si>
  <si>
    <t>Alliance Alice M. Baxter College-Ready High; Abraham Lincoln Senior High; Academies of Education and Empowerment at Carson High; Academy of Medical Arts at Carson High; Alain Leroy Locke College Preparatory Academy; Alexander Hamilton Senior High; Alliance Cindy &amp; Bill Simon Technology High; Alliance Collins Family College-Ready High; Alliance Dr. Olga Mohan High; Alliance Gertz-Ressler/Richard Merkin 6-12 Complex; Alliance Judy Ivie Burton Technology High; Alliance Leichtman-Levine Family Foundation Environmental Science High; Alliance Marc &amp; Eva Stern Math and Science School; Alliance Marc &amp; Eva Stern Math and Science School; Alliance Margaret M. Bloomfield High School; Alliance Morgan McKinzie High; Alliance Ouchi-O'Donovan 6-12 Complex; Alliance Patti &amp; Peter Neuwirth Leadership Academy; Alliance Piera Barbaglia Shaheen Health Services Academy; Alliance Renee &amp; Meyer Luskin Academy High;  Alliance Susan &amp; Eric Smidt Technology High; Alliance Ted K. Tajima High; Alliance Tennenbaum Family Technology High; Ambassador-Global Leadership; Amelia Earhart Continuation; Anahuacalmecac International University Preparatory of North America; Animo College Preparatory Academy; Animo Jackie Robinson Charter High;  Animo Pat Brown Charter High; Animo Ralph Bunche Charter High; Animo South Los Angeles Charter High; Animo Venice Charter High; Animo Watts Charter High; Arleta High; Aspire Pacific Academy; Augustus F. Hawkins High A Critical Design and Gaming; Augustus F. Hawkins High B Community Health Advocates; Augustus F. Hawkins High C Responsible Indigenous Social Entrepreneurship; Bell Senior High; Belmont Senior High; Benjamin Franklin Senior High; Birmingham Community Charter High; Boyle Heights Science, Technology, Engineering and Math Magnet; Camino Nuevo High; Canoga Park Senior High; Carson Senior High; Cesar E. Chavez Learning Academies-Arts/Theatre/Entertain Mag; Cesar E. Chavez Learning Academies-Social Justice Humanitas Academy; Cesar E. Chavez Learning Academies-Technology Preparatory Academy; CHAMPS Charter High; Chatsworth Charter High; City of Angels; Communication and Technology at Diego Rivera Learning Complex; Contreras Learning Center-Academic Leadership Community; Contreras Learning Center-Los Angeles School of Global Studies; Contreras Learning Center-School of Social Justice; Daniel Pearl Journalism and Communications Magnet; David Starr Jordan Senior High; Diego Rivera Learning Complex Green Design STEAM Academy; Dr. Maya Angelou Community High; Dr. Richard A. Vladovic Harbor Teacher Preparation Academy; Eagle Rock High; Early College Academy-LA Trade Tech College; East Los Angeles Renaissance Academy at Esteban E. Torres High No. 2; Edward R. Roybal Learning Center; Elizabeth Learning Center; Engineering and Technology Academy at Esteban E. Torres High No. 3; Esteban Torres East LA Performing Arts Magnet; Fairfax Senior High; Felicitas and Gonzalo Mendez High; Foshay Learning Center; Francisco Bravo Medical Magnet High; Gardena Senior High; George Washington Preparatory High; Granada Hills Charter High; Grover Cleveland Charter High; Harold McAlister High (Opportunity) ; Helen Bernstein High; Hilda L. Solis Learning Academy School of Technology, Business and Education; Hollywood Senior High; Humanitas Academy of Art and Technology at Esteban E. Torres High No. 4; Huntington Park Senior High; International Studies Learning Center at Legacy High School Complex; James A. Garfield Senior High; James Monroe High; John F. Kennedy High; John H. Francis Polytechnic; John Marshall Senior High; King/Drew Medical Magnet High; Lake Balboa College Preparatory Magnet K-12; Larchmont Charter; Leadership Academy; Linda Esperanza Marquez High A Huntington Park Institute of Applied Medicine; Linda Esperanza Marquez High B LIBRA Academy; Linda Esperanza Marquez High C School of Social Justice; Los Angeles Academy of Arts and Enterprise; Los Angeles High School of the Arts; Los Angeles Senior High; Magnolia Science Academy 4; Manual Arts Senior High; Math and Science College Preparatory; Math, Science, &amp; Technology Magnet Academy at Roosevelt High; Maywood Academy High; Middle College High; Mira Costa High; Narbonne H.S. Magnet; Nathaniel Narbonne Senior High; NAVA College Preparatory Academy; New Open World Academy K-12; North Hollywood Senior High; Northridge Academy High;  Orthopaedic Hospital; Oscar De La Hoya Animo Charter High; Panorama High; Performing Arts Community at Diego Rivera Learning Complex; Phineas Banning Senior; Port of Los Angeles High; Public Service Community at Diego Rivera Learning Complex; Rancho Dominguez Preparatory; Reseda Charter High; Robert Fulton College Preparatory; San Fernando Senior High; San Pedro Senior High; Santee Education Complex; School for the Visual Arts and Humanities; School of Business and Tourism at Contreras Learning Complex; Science, Technology, Engineering, Arts and Mathematics at Legacy High School Complex; Social Justice Leadership Academy at Esteban E. Torres High No. 5; Sotomayor Arts and Sciences Magnet; South East High; South Gate Senior High; STEM Academy at Bernstein High; Sun Valley High; Sun Valley Magnet; Susan Miller Dorsey Senior High; Sylmar Biotech Health and Engineering Magnet; Sylmar Charter High; Synergy Quantum Academy; Taft Charter High; Theodore Roosevelt Senior High; Thomas Jefferson Senior High; UCLA Community K-12; Ulysses S. Grant Senior High; University High School Charter; University Prep Value High; Valley Academy of Arts and Sciences; Van Nuys Senior High; Venice Senior High; Verdugo Hills Senior High; Visual and Performing Arts at Legacy High School Complex; Wallis Annenberg High; WESM Health/Sports Medicine; West Adams Preparatory High; Woodrow Wilson Senior High</t>
  </si>
  <si>
    <t>Madera High; Madera South High</t>
  </si>
  <si>
    <t>4</t>
  </si>
  <si>
    <t>Chowchilla Union High</t>
  </si>
  <si>
    <t>Madera Unified</t>
  </si>
  <si>
    <t>Yosemite Unified</t>
  </si>
  <si>
    <t>Novato Unified</t>
  </si>
  <si>
    <t>Tamalpais Union High</t>
  </si>
  <si>
    <t>Novato High; San Marin High</t>
  </si>
  <si>
    <t>San Rafael High; Terra Linda High</t>
  </si>
  <si>
    <t>Tomales High</t>
  </si>
  <si>
    <t>Redwood High; Sir Francis Drake High; Tamalpais High; Tamiscal High</t>
  </si>
  <si>
    <t>9</t>
  </si>
  <si>
    <t>Fort Bragg Unified</t>
  </si>
  <si>
    <t>Point Arena Joint Union High</t>
  </si>
  <si>
    <t>Willits Unified</t>
  </si>
  <si>
    <t>Anderson Valley Junior-Senior High</t>
  </si>
  <si>
    <t>Fort Bragg High</t>
  </si>
  <si>
    <t>Point Arena High</t>
  </si>
  <si>
    <t>Round Valley High</t>
  </si>
  <si>
    <t>Ukiah High</t>
  </si>
  <si>
    <t>Willits High</t>
  </si>
  <si>
    <t>Merced Scholars Charter</t>
  </si>
  <si>
    <t>Merced County Office of Education</t>
  </si>
  <si>
    <t>Hilmar Unified</t>
  </si>
  <si>
    <t>Merced Union High</t>
  </si>
  <si>
    <t>Atwater High; Merced High</t>
  </si>
  <si>
    <t>Delhi High</t>
  </si>
  <si>
    <t>Dos Palos High</t>
  </si>
  <si>
    <t>Hilmar High</t>
  </si>
  <si>
    <t>Mammoth Unified</t>
  </si>
  <si>
    <t>Coleville High</t>
  </si>
  <si>
    <t>Mammoth High</t>
  </si>
  <si>
    <t>Carmel Unified</t>
  </si>
  <si>
    <t>Gonzales Unified</t>
  </si>
  <si>
    <t>Monterey Peninsula Unified</t>
  </si>
  <si>
    <t>North Monterey County Unified</t>
  </si>
  <si>
    <t>Pacific Grove Unified</t>
  </si>
  <si>
    <t>Salinas Union High</t>
  </si>
  <si>
    <t>Soledad Unified</t>
  </si>
  <si>
    <t>South Monterey County Joint Union High</t>
  </si>
  <si>
    <t>Carmel High</t>
  </si>
  <si>
    <t>Gonzales High</t>
  </si>
  <si>
    <t>Monterey High; Seaside High; Marina High; Central Coast High</t>
  </si>
  <si>
    <t>North Monterey County High</t>
  </si>
  <si>
    <t>Pacific Grove High</t>
  </si>
  <si>
    <t>Alisal High; Everett Alvarez High; Mount Toro High; North Salinas High; Salinas High</t>
  </si>
  <si>
    <t>Greenfield High; King City High</t>
  </si>
  <si>
    <t>Total: 8</t>
  </si>
  <si>
    <t>16</t>
  </si>
  <si>
    <t>Calistoga Joint Unified</t>
  </si>
  <si>
    <t>Napa Valley Unified</t>
  </si>
  <si>
    <t>Calistoga High</t>
  </si>
  <si>
    <t>New Technology High; American Canyon High; Napa High; Vintage High</t>
  </si>
  <si>
    <t>St. Helena High</t>
  </si>
  <si>
    <t>Nevada Joint Union High</t>
  </si>
  <si>
    <t>William &amp; Marian Ghidotti High; Bear River High; Nevada Union High</t>
  </si>
  <si>
    <t>3</t>
  </si>
  <si>
    <t>Huntington Beach Union High</t>
  </si>
  <si>
    <t>Santa Ana Unified</t>
  </si>
  <si>
    <t>Anaheim Union High</t>
  </si>
  <si>
    <t>Brea Olinda Unified</t>
  </si>
  <si>
    <t>Capistrano Unified</t>
  </si>
  <si>
    <t>Fullerton Joint Union High</t>
  </si>
  <si>
    <t>Garden Grove Unified</t>
  </si>
  <si>
    <t>Los Alamitos Unified</t>
  </si>
  <si>
    <t>SBE - Magnolia Science Academy Santa Ana</t>
  </si>
  <si>
    <t>Orange Unified</t>
  </si>
  <si>
    <t>Placentia-Yorba Linda Unified</t>
  </si>
  <si>
    <t>Saddleback Valley Unified</t>
  </si>
  <si>
    <t>Anaheim High; Cypress High; Gilbert High; Katella High; Kennedy High; Loara High; Magnolia High; Oxford Academy; Savanna High; Western High</t>
  </si>
  <si>
    <t>Brea Olinda High</t>
  </si>
  <si>
    <t>Aliso Niguel High; California Preparatory Academy; Capistrano Valley High; Dana Hills High; San Clemente High; San Juan Hills High; Tesoro High</t>
  </si>
  <si>
    <t>Buena Park High; Fullerton High; La Habra High; Sonora High; Sunny Hills High; Troy High</t>
  </si>
  <si>
    <t>Bolsa Grande High; Garden Grove High; Hare High; La Quinta High; Los Amigos High; Pacifica High; Rancho Alamitos High; Santiago High</t>
  </si>
  <si>
    <t>Edison High, Fountain Valley High, Huntington Beach High, Marina High, Ocean View High, Westminister High</t>
  </si>
  <si>
    <t>Irvine High; Northwood High; University High; Woodbridge High</t>
  </si>
  <si>
    <t>Laguna Beach High</t>
  </si>
  <si>
    <t>Los Alamitos High</t>
  </si>
  <si>
    <t>Corona Del Mar High; Costa Mesa High; Early College High; Estancia High; Newport Harbor High</t>
  </si>
  <si>
    <t>Canyon High; El Modena High; Orange High; Villa Park High</t>
  </si>
  <si>
    <t>El Toro High; Laguna Hills High; Mission Viejo High; Trabuco Hills High</t>
  </si>
  <si>
    <t>El Dorado High; Esperanza High; Yorba Linda High; Valencia High</t>
  </si>
  <si>
    <t>Century High; Chavez High; Hector G. Godinez High; Loring Griset High; Middle College High;  NOVA Academy Early College High; Orange County School of the Arts (OCSA) Saddleback High; Santa Ana High; Segerstrom High; Valley High</t>
  </si>
  <si>
    <t>Arnold O. Beckman High; Foothill High; Tustin High</t>
  </si>
  <si>
    <t>70</t>
  </si>
  <si>
    <t>Total: 16</t>
  </si>
  <si>
    <t>Placer Union High</t>
  </si>
  <si>
    <t>Rocklin Unified</t>
  </si>
  <si>
    <t>Roseville Joint Union High</t>
  </si>
  <si>
    <t>Tahoe Truckee Unified</t>
  </si>
  <si>
    <t>Lincoln High</t>
  </si>
  <si>
    <t>Del Oro High; Maidu Virtual Charter Academy; Placer High</t>
  </si>
  <si>
    <t>Rocklin High; Roseville High; Western Sierra Collegiate Academy; Whitney High; Woodcreek High</t>
  </si>
  <si>
    <t>Antelope High; Granite Bay High; Oakmont High</t>
  </si>
  <si>
    <t>North Tahoe High; Truckee High</t>
  </si>
  <si>
    <t>14</t>
  </si>
  <si>
    <t>California School for the Deaf - Riverside</t>
  </si>
  <si>
    <t>California School for the Deaf - Riverside (State Special School)</t>
  </si>
  <si>
    <t>Menifee Union Elementary</t>
  </si>
  <si>
    <t>Alvord Unified</t>
  </si>
  <si>
    <t>Coachella Valley Unified</t>
  </si>
  <si>
    <t>Desert Sands Unified</t>
  </si>
  <si>
    <t>Jurupa Unified</t>
  </si>
  <si>
    <t>Palm Springs Unified</t>
  </si>
  <si>
    <t>Palo Verde Unified</t>
  </si>
  <si>
    <t>Perris Union High</t>
  </si>
  <si>
    <t>Plumas Unified</t>
  </si>
  <si>
    <t>Portola Junior-Senior High</t>
  </si>
  <si>
    <t>61</t>
  </si>
  <si>
    <t>Total: 20</t>
  </si>
  <si>
    <t>La Sierra High; Hillcrest High; Norte Vista High</t>
  </si>
  <si>
    <t>Banning High</t>
  </si>
  <si>
    <t>Beaumont Senior High</t>
  </si>
  <si>
    <t>Coachella Valley High; Desert Mirage High; West Shores High; NOVA Academy - Coachella</t>
  </si>
  <si>
    <t>Elenor Roosevelt High</t>
  </si>
  <si>
    <t>Horizon High; Indio High; La Quinta High; Palm Desert High; Shadow Hills High</t>
  </si>
  <si>
    <t>Hamilton High; Hemet High; Tahquitz High; West Valley High; Western Center Academy</t>
  </si>
  <si>
    <t>Jurupa Valley High; Patriot High; Rubidoux High</t>
  </si>
  <si>
    <t>Elsinore High; Lakeside High; Temescal Canyon High</t>
  </si>
  <si>
    <t>Canyon Springs High; Moreno Valley High; Valley View High; Vista Del Lago High</t>
  </si>
  <si>
    <t>Cathedral City High; Desert Hot Springs High; Palm Springs High; Rancho Mirage High</t>
  </si>
  <si>
    <t>Palo Verde Valley High</t>
  </si>
  <si>
    <t>Heritage High; Paloma Valley High; Perris High</t>
  </si>
  <si>
    <t>Arlington High; Encore High School for the Arts - Riverside; John W. North High; Martin Luther King High; Ramona High; Riverside Polytechnic High; Riverside STEM High</t>
  </si>
  <si>
    <t>San Jacinto High; San Jacinto Valley Academy</t>
  </si>
  <si>
    <t>Chaparral High; Great Oak High; Susan Nelson High; Temecula Valley High; Temecula Valley Preparatory</t>
  </si>
  <si>
    <t>Citrus Hill High; Orange Vista High;Rancho Verde High</t>
  </si>
  <si>
    <t>San Juan Unified</t>
  </si>
  <si>
    <t>River Delta Joint Unified</t>
  </si>
  <si>
    <t>Elk Grove Unified</t>
  </si>
  <si>
    <t>Galt Joint Union High</t>
  </si>
  <si>
    <t>Galt High; Liberty Ranch High</t>
  </si>
  <si>
    <t>Cosumnes Oaks High; Elk Grove High; Florin High; Franklin High; Laguna Creek High; Monterey Trail High; Pleasant Grove High; Sheldon High; Valley High</t>
  </si>
  <si>
    <t>Natomas Unified</t>
  </si>
  <si>
    <t>Inderkum High; Leroy Greene Academy; Natomas Charter; Natomas High; Natomas Pacific Pathways Prep</t>
  </si>
  <si>
    <t>Delta High; Rio Vista High</t>
  </si>
  <si>
    <t>Arthur A. Benjamin Health Professions High; C. K. McClatchy High; Capital City Independent Study; George Washington Carver School of Arts and Science; Hiram W. Johnson High; John F. Kennedy High; Kit Carson International Academy; Luther Burbank High; New Technology High; Rosemont High; Sacramento Charter High; School of Engineering and Sciences; The MET; West Campus</t>
  </si>
  <si>
    <t>Sacramento City Unified</t>
  </si>
  <si>
    <t>Bella Vista High; Casa Roble High; Del Campo High; El Camino High; El Sereno High; Encina Preparatory High; Mesa Verde High; Mira Loma High; Rio Americano High; San Juan High; Visions in Education</t>
  </si>
  <si>
    <t>Twin Rivers Unified</t>
  </si>
  <si>
    <t>Creative Connections Arts Academy; Foothill High; Futures High; Grant High; Heritage Peak Charter; Highlands High; Rio Linda High</t>
  </si>
  <si>
    <t>San Benito High</t>
  </si>
  <si>
    <t>San Bernardino County Office of Education</t>
  </si>
  <si>
    <t>Excelsior Charter</t>
  </si>
  <si>
    <t>Lucerne Valley Unified</t>
  </si>
  <si>
    <t>Sky Mountain Charter</t>
  </si>
  <si>
    <t>Academy for Academic Excellence; Apple Valley High; Granite Hills High</t>
  </si>
  <si>
    <t>Big Bear High</t>
  </si>
  <si>
    <t>Chaffey Joint Union High</t>
  </si>
  <si>
    <t>Alta Loma High; Chaffey High; Colony High; Etiwanda High; Los Osos High; Montclair High; Ontario High; Rancho Cucamonga High; Chaffey Online High</t>
  </si>
  <si>
    <t>Don Antonio Lugo High; Chino High; Chino Hills High; Ruben S. Ayala High</t>
  </si>
  <si>
    <t>Colton Joint Unified</t>
  </si>
  <si>
    <t>Bloomington High; Colton High; Grand Terrace High</t>
  </si>
  <si>
    <t>Fontana Unified</t>
  </si>
  <si>
    <t>A.B. Miller High; Birch Continuation High; Fontana High; Jurupa Hills High; Kaiser High; Summit High</t>
  </si>
  <si>
    <t>Community Collaborative Virtual - Sage Oak Charter</t>
  </si>
  <si>
    <t>Hesperia Unified</t>
  </si>
  <si>
    <t>Encore Jr./Sr. High School for the Performing and Visual Arts; Hesperia High; Sultana High; Oak Hills High</t>
  </si>
  <si>
    <t>Yucca Valley High</t>
  </si>
  <si>
    <t>Morongo Unified</t>
  </si>
  <si>
    <t>Redlands Unified</t>
  </si>
  <si>
    <t>Redlands Senior High; Redlands East Valley High; Citrus Valley High</t>
  </si>
  <si>
    <t>Carter High; Eisenhower High; Rialto High</t>
  </si>
  <si>
    <t>Rim of the World Senior High</t>
  </si>
  <si>
    <t>San Bernardino City Unified</t>
  </si>
  <si>
    <t xml:space="preserve">Arroyo Valley High; Cajon High; Indian Springs High; Middle College High; Pacific High; San Bernardino High; San Gorgonio High </t>
  </si>
  <si>
    <t>Silver Valley High</t>
  </si>
  <si>
    <t>Silver Valley Unified</t>
  </si>
  <si>
    <t>Snowline Joint Unified</t>
  </si>
  <si>
    <t>Serrano High</t>
  </si>
  <si>
    <t>Upland High</t>
  </si>
  <si>
    <t>Upland Unified</t>
  </si>
  <si>
    <t>Yucaipa-Calimesa Joint Unified</t>
  </si>
  <si>
    <t>Yucaipa High</t>
  </si>
  <si>
    <t>Rialto Unified</t>
  </si>
  <si>
    <t>Rim of the World Unified</t>
  </si>
  <si>
    <t>53</t>
  </si>
  <si>
    <t>Dehesa Elementary</t>
  </si>
  <si>
    <t>Lakeside Union Elementary</t>
  </si>
  <si>
    <t>SBC - High Tech High</t>
  </si>
  <si>
    <t>Carlsbad Unified</t>
  </si>
  <si>
    <t>Carlsbad High; Sage Creek High</t>
  </si>
  <si>
    <t>Chula Vista Elementary</t>
  </si>
  <si>
    <t>Bayfront Charter High; Chula Vista Learning Community Charter High</t>
  </si>
  <si>
    <t>Del Lago Academy of Applied Science; Escondido Charter High; Escondido High; Orange Glen High; San Pasqual High</t>
  </si>
  <si>
    <t>Fallbrook Union High</t>
  </si>
  <si>
    <t>Fallbrook High</t>
  </si>
  <si>
    <t>Grossmont Union High</t>
  </si>
  <si>
    <t>El Cajon High; El Capitan High; Granite Hills High; Grossmont High; Grossmont Middle College; Monte Vista High; Mount Miguel High; Santana High; Steele Canyon High; Valhalla High</t>
  </si>
  <si>
    <t>River Valley Charter</t>
  </si>
  <si>
    <t>Mountain Empire High</t>
  </si>
  <si>
    <t>Oceanside Unified</t>
  </si>
  <si>
    <t>El Camino High; Oceanside High</t>
  </si>
  <si>
    <t>Del Norte High; Mt. Carmel High; Poway High; Rancho Bernardo High; Westview High</t>
  </si>
  <si>
    <t>Ramona High</t>
  </si>
  <si>
    <t>Clairemont High; Crawford High; e3 Civic High; Health Sciences High; Henry High; High Tech High Media Arts; Hoover High; iHigh Virtual Academy; La Jolla High; Lincoln High; Madison High; Mira Mesa High; Mission Bay High; Morse High; Point Loma High; Press School UCSD; San Diego Business Leadership; San Diego International Studies; San Diego Science and Technology; San Diego SCPA; Scripps Ranch High; Serra High; The O'Farrell Charter; University City High</t>
  </si>
  <si>
    <t>San Dieguito Union High</t>
  </si>
  <si>
    <t>Canyon Crest Academy; La Costa Canyon High; San Dieguito HS Academy; Sunset High; Torrey Pines High</t>
  </si>
  <si>
    <t>Spencer Valley Unified</t>
  </si>
  <si>
    <t>Swetwater Union High</t>
  </si>
  <si>
    <t>Bonita Vista High; Castle Park High; Chula Vista High; Eastlake High; Hilltop High; Montgomery High; Southwest High; Mar Vista High; Olympian High; Otay Ranch High; Options Secondary School; Sweetwater High; San Ysidro High</t>
  </si>
  <si>
    <t>Guajome Park Academy Charter; Mission Vista High; Rancho Buena Vista High; Vista High</t>
  </si>
  <si>
    <t>San Marcos Unified</t>
  </si>
  <si>
    <t>Coronado High</t>
  </si>
  <si>
    <t>San Marcos High; Mission Hills High</t>
  </si>
  <si>
    <t>82</t>
  </si>
  <si>
    <t>Asawa (Ruth) SF Sch of the Arts, A Public School; Balboa High; Burton (Phillip and Sala) Academic High; City Arts and Tech High; Galileo High; Independence High; Jordan (June) School for Equity; Lincoln (Abraham) High; Lowell High; Marshall (Thurgood) High; Mission High; O'Connell (John) High; S.F. International HS; Wallenberg (Raoul) Traditional High; Washington (George) High; Wells (Ida B.) High</t>
  </si>
  <si>
    <t>Escalon Unified</t>
  </si>
  <si>
    <t>Lammersville Unified</t>
  </si>
  <si>
    <t>Lincoln Unified</t>
  </si>
  <si>
    <t>Linden Unified</t>
  </si>
  <si>
    <t>Manteca Unified</t>
  </si>
  <si>
    <t>Stockton Unifed</t>
  </si>
  <si>
    <t>Escalon High</t>
  </si>
  <si>
    <t>Mountain House High</t>
  </si>
  <si>
    <t>Linden High</t>
  </si>
  <si>
    <t>Bear Creek High; Lodi High; Middle College High; Ronald McNair High; Tokay High</t>
  </si>
  <si>
    <t>East Union High; Lathrop High; Manteca High; Sierra High; Weston Ranch High</t>
  </si>
  <si>
    <t>Ripon High</t>
  </si>
  <si>
    <t>Venture Academy</t>
  </si>
  <si>
    <t>Kimball High; Tracy High; West High</t>
  </si>
  <si>
    <t>Atascadero Choices in Education Academy; Atascadero High</t>
  </si>
  <si>
    <t>Atascadero Unified</t>
  </si>
  <si>
    <t>Coast Unified</t>
  </si>
  <si>
    <t>Lucia Mar Unified</t>
  </si>
  <si>
    <t>Paso Robles Joint Unified</t>
  </si>
  <si>
    <t>San Luis Coastal Unified</t>
  </si>
  <si>
    <t>Coast Union High</t>
  </si>
  <si>
    <t>Arroyo Grande High; Nipomo High</t>
  </si>
  <si>
    <t>Paso Robles High</t>
  </si>
  <si>
    <t>Morro Bay High; San Luis Obispo High</t>
  </si>
  <si>
    <t>La Honda Pescader Unified</t>
  </si>
  <si>
    <t>Jefferson Union High</t>
  </si>
  <si>
    <t>San Mateo Union High</t>
  </si>
  <si>
    <t>Sequoia Union High</t>
  </si>
  <si>
    <t>South San Francisco Unified</t>
  </si>
  <si>
    <t>Half Moon Bay High</t>
  </si>
  <si>
    <t>Pescadero High</t>
  </si>
  <si>
    <t>Aragon High; Burlingame High; Capuchino High; Hillsdale High; Mills High; San Mateo High</t>
  </si>
  <si>
    <t>Jefferson High; Oceana High; Summit Public School: Shasta; Terra Nova High; Westmoor High</t>
  </si>
  <si>
    <t>Carlmont High; East Palo Alto Academy; Everest Public High; Menlo-Atherton High; Sequoia High; Summit Preparatory Charter High; Woodside High</t>
  </si>
  <si>
    <t>El Camino High; South San Francisco High</t>
  </si>
  <si>
    <t>22</t>
  </si>
  <si>
    <t>Blochman Union Elementary</t>
  </si>
  <si>
    <t>Trivium Charter</t>
  </si>
  <si>
    <t>Orcutt Academy Charter High</t>
  </si>
  <si>
    <t>13</t>
  </si>
  <si>
    <t>Lompoc Unified</t>
  </si>
  <si>
    <t>Orcutt Union</t>
  </si>
  <si>
    <t>Santa Barbara Unified</t>
  </si>
  <si>
    <t>Santa Maria Joint Union High</t>
  </si>
  <si>
    <t>Cabrillo High; Lompoc High; Maple High</t>
  </si>
  <si>
    <t>Alta Vista Alternative High; Dos Pueblos High; San Marcos High; Santa Barbara High</t>
  </si>
  <si>
    <t>Palo Alto Unified</t>
  </si>
  <si>
    <t>Downtown College Prep - Alum Rock; Summit Public School: Tahoma; University Preparatory Charter Academy</t>
  </si>
  <si>
    <t>Campbell Union High</t>
  </si>
  <si>
    <t>East Side Union High</t>
  </si>
  <si>
    <t>Fremont Union High</t>
  </si>
  <si>
    <t>Los Gatos-Saratoga Joint Union High</t>
  </si>
  <si>
    <t>Milpitas Unified</t>
  </si>
  <si>
    <t>Morgan Hill Unified</t>
  </si>
  <si>
    <t>San Jose Unified</t>
  </si>
  <si>
    <t>Santa Clara Unified</t>
  </si>
  <si>
    <t>Branham High; Del Mar High; Leigh High; Prospect High; Westmont High</t>
  </si>
  <si>
    <t>Community Day; Cupertino High; Fremont High; Homestead High; Lynbrook High; Monta Vista High</t>
  </si>
  <si>
    <t>Christopher High; Dr. TJ Owens Gilroy Early College Academy; Gilroy High</t>
  </si>
  <si>
    <t>Los Gatos High; Saratoga High</t>
  </si>
  <si>
    <t>Milpitas High</t>
  </si>
  <si>
    <t>Ann Sobrato High; Live Oak High</t>
  </si>
  <si>
    <t>Los Altos High; Mountain View High</t>
  </si>
  <si>
    <t>Henry M. Gunn High; Palo Alto High</t>
  </si>
  <si>
    <t xml:space="preserve">Downtown College Preparatory; Gunderson High; Leland High; Liberty High; Lincoln High; Pioneer High; San Jose High; Willow Glen High </t>
  </si>
  <si>
    <t>Mission Early College High; Santa Clara High; Wilcox High</t>
  </si>
  <si>
    <t>Andrew P. Hill High; Apollo High; B. Roberto Cruz Leadership Academy; Evergreen Valley High; Foothill High; Independence High; James Lick High; Latino College Preparatory Academy; Luis Valdez Leadership Academy; Mt. Pleasant High; Oak Grove High; Pegasus High; Piedmont Hills High; Santa Teresa High; Silver Creek High; Summit Public School: Rainier; William C. Overfelt High; Yerba Buena High</t>
  </si>
  <si>
    <t>56</t>
  </si>
  <si>
    <t>Total: 12</t>
  </si>
  <si>
    <t>Aptos High; Ceiba College Preparatory Academy; Pajaro Valley High; Watsonville High</t>
  </si>
  <si>
    <t>Ocean Grove Charter; San Lorenzo Valley High</t>
  </si>
  <si>
    <t>Santa Cruz County Office of Education</t>
  </si>
  <si>
    <t>Scotts Valley Unified</t>
  </si>
  <si>
    <t>Pajaro Valley Unified</t>
  </si>
  <si>
    <t>Pacific Collegiate Charter</t>
  </si>
  <si>
    <t>Scotts Valley High</t>
  </si>
  <si>
    <t>8</t>
  </si>
  <si>
    <t>Enterprise High; Foothill High; Shasta High</t>
  </si>
  <si>
    <t>Shasta Union High</t>
  </si>
  <si>
    <t>Mt. Shasta High</t>
  </si>
  <si>
    <t>Siskiyou Union High</t>
  </si>
  <si>
    <t>Vallejo City Unified</t>
  </si>
  <si>
    <t>Vacaville Unified</t>
  </si>
  <si>
    <t>Benicia Unified</t>
  </si>
  <si>
    <t>Jesse Bethel High; MIT Academy High; Vallejo High</t>
  </si>
  <si>
    <t>Benicia High</t>
  </si>
  <si>
    <t>Elise P. Buckingham Charter Magnet High; Will C. Wood High; Vacaville High</t>
  </si>
  <si>
    <t>Cotati-Rohnert Park Unified</t>
  </si>
  <si>
    <t>Casa Grande High; Petaluma High</t>
  </si>
  <si>
    <t>Cloverdale Unified</t>
  </si>
  <si>
    <t>Healdsburg Unified</t>
  </si>
  <si>
    <t>Sonoma Valley Unified</t>
  </si>
  <si>
    <t>West Sonoma County Union High</t>
  </si>
  <si>
    <t>Windsor Unified</t>
  </si>
  <si>
    <t>Cloverdale High</t>
  </si>
  <si>
    <t>Credo High; Technology High</t>
  </si>
  <si>
    <t>Healdsburg High</t>
  </si>
  <si>
    <t>Analy High; El Molino High</t>
  </si>
  <si>
    <t>Windsor High</t>
  </si>
  <si>
    <t>Central Valley High; Ceres High</t>
  </si>
  <si>
    <t>Denair High</t>
  </si>
  <si>
    <t>Hughson High</t>
  </si>
  <si>
    <t>Fred C. Beyer High; Grace M. Davis High; James C. Enochs High; Joseph A. Gregori High; Modesto High; Peter Johansen High; Thomas Downey High</t>
  </si>
  <si>
    <t>Orestimba High</t>
  </si>
  <si>
    <t>Oakdale High</t>
  </si>
  <si>
    <t>Patterson High</t>
  </si>
  <si>
    <t>Riverbank High</t>
  </si>
  <si>
    <t>eCademy Charter at Crane; Pitman High; Turlock High</t>
  </si>
  <si>
    <t>Waterford High</t>
  </si>
  <si>
    <t>Ceres Unified</t>
  </si>
  <si>
    <t>Denair Unified</t>
  </si>
  <si>
    <t>Hughson Unified</t>
  </si>
  <si>
    <t>Newman Crows Landing Unified</t>
  </si>
  <si>
    <t>Oakdale Joint Unified</t>
  </si>
  <si>
    <t>Patterson Joint Unified</t>
  </si>
  <si>
    <t>Riverbank Unified</t>
  </si>
  <si>
    <t>Turlock Unified</t>
  </si>
  <si>
    <t>Waterford Unified</t>
  </si>
  <si>
    <t>Total: 10</t>
  </si>
  <si>
    <t>19</t>
  </si>
  <si>
    <t>South Sutter Charter</t>
  </si>
  <si>
    <t>Marcum-Illinois Union Elementary</t>
  </si>
  <si>
    <t>River Valley High; Yuba City High</t>
  </si>
  <si>
    <t>Live Oak Unified</t>
  </si>
  <si>
    <t>Sutter Union High</t>
  </si>
  <si>
    <t>Sutter High</t>
  </si>
  <si>
    <t>East Nicolaus High</t>
  </si>
  <si>
    <t>Live Oak High</t>
  </si>
  <si>
    <t>Corning Union High</t>
  </si>
  <si>
    <t>Red Bluff Joint Union High</t>
  </si>
  <si>
    <t>Corning High; Corning Independent Study</t>
  </si>
  <si>
    <t>Los Molinos High</t>
  </si>
  <si>
    <t>Red Bluff High</t>
  </si>
  <si>
    <t>Burton Elementary</t>
  </si>
  <si>
    <t>Cutler-Orosi Joint Unified</t>
  </si>
  <si>
    <t>Dinuba Unified</t>
  </si>
  <si>
    <t>Visalia Unified</t>
  </si>
  <si>
    <t>Dinuba High</t>
  </si>
  <si>
    <t>Summit Charter Academy</t>
  </si>
  <si>
    <t>Orosi High</t>
  </si>
  <si>
    <t>Exeter Union High</t>
  </si>
  <si>
    <t>Farmersville High</t>
  </si>
  <si>
    <t>Lindsay High</t>
  </si>
  <si>
    <t>Granite Hills High; Harmony Magnet Academy; Monache High; Porterville High; Strathmore High</t>
  </si>
  <si>
    <t>Mission Oak High; Tulare Union High; Tulare Western High</t>
  </si>
  <si>
    <t>El Diamante High; Golden West High; Mt. Whitney High; Redwood High</t>
  </si>
  <si>
    <t>Woodlake High</t>
  </si>
  <si>
    <t>Exeter Unified</t>
  </si>
  <si>
    <t>Farmersville Unified</t>
  </si>
  <si>
    <t>Lindsay Unified</t>
  </si>
  <si>
    <t>Porterville Unified</t>
  </si>
  <si>
    <t>Tulare Joint Union High</t>
  </si>
  <si>
    <t>Woodlake Unified</t>
  </si>
  <si>
    <t>Conejo Valley Unified</t>
  </si>
  <si>
    <t>Fillmore Unified</t>
  </si>
  <si>
    <t>Oak Park Unified</t>
  </si>
  <si>
    <t>Oxnard Union High</t>
  </si>
  <si>
    <t>Santa Paula Unified</t>
  </si>
  <si>
    <t>Simi Valley Unified</t>
  </si>
  <si>
    <t>Ventura Unified</t>
  </si>
  <si>
    <t>21</t>
  </si>
  <si>
    <t>Newbury Park High; Thousand Oaks High; Westlake High</t>
  </si>
  <si>
    <t>Fillmore Senior High</t>
  </si>
  <si>
    <t>Moorpark High</t>
  </si>
  <si>
    <t>Oak Park High</t>
  </si>
  <si>
    <t>Adolfo Camarillo High; Channel Islands High; Hueneme High; Oxnard High; Pacifica High; Rancho Campana High; Rio Mesa High</t>
  </si>
  <si>
    <t>Santa Paula High</t>
  </si>
  <si>
    <t>Monte Vista; Royal High; Santa Susana High; Simi Valley High</t>
  </si>
  <si>
    <t>Buena High; Foothill Technology High; Ventura High</t>
  </si>
  <si>
    <t>Woodland Joint Unified</t>
  </si>
  <si>
    <t>Davis Senior High; Leonardo DaVinci High</t>
  </si>
  <si>
    <t>Pioneer High; Woodland High</t>
  </si>
  <si>
    <t>Davis Joint Unified</t>
  </si>
  <si>
    <t>Esparto Unified</t>
  </si>
  <si>
    <t>Winters Joint Unified</t>
  </si>
  <si>
    <t>Esparto High</t>
  </si>
  <si>
    <t>Winters High</t>
  </si>
  <si>
    <t>Center Joint Unified</t>
  </si>
  <si>
    <t>Center High</t>
  </si>
  <si>
    <t>51</t>
  </si>
  <si>
    <t>Marysville Joint Unified</t>
  </si>
  <si>
    <t>Wheatland Union High</t>
  </si>
  <si>
    <t>Lindhurt High; Marysville Charter Academy for the Arts; Marysville High</t>
  </si>
  <si>
    <t>Alameda County Office of Education</t>
  </si>
  <si>
    <t>Envision Academy for Arts &amp; Technology</t>
  </si>
  <si>
    <t>Hayward High; Impact Academy of Arts &amp; Technology; Leadership Public Schools - Hayward; Mt. Eden High; Silver Oak High; Tennyson High</t>
  </si>
  <si>
    <t>Freedom High; Heritage High; Liberty High</t>
  </si>
  <si>
    <t>California High; Dougherty Valley High; Monte Vista High; San Ramon Valley High; Venture Independent School</t>
  </si>
  <si>
    <t>Cesar E. Chavez High; Delano High; Robert F. Kennedy High</t>
  </si>
  <si>
    <t>Yosemite High</t>
  </si>
  <si>
    <t>Murrieta Mesa High; Murrieta Valley High; Vista Murrieta High</t>
  </si>
  <si>
    <t>2018-19 State Seal of Biliteracy: List of Participating Counties, Districts, and Schools</t>
  </si>
  <si>
    <t>Tagalog (Filipino) Total</t>
  </si>
  <si>
    <t>Cesar Chavez High; Edison High; Franklin High; Health Careers Academy; Merlo High; Pacific Law Academy; Stagg High; Stockton Collegiate International Secondary; Webber Academy</t>
  </si>
  <si>
    <t>May, 2020</t>
  </si>
  <si>
    <t>Santa Rosa City Schools</t>
  </si>
  <si>
    <t>Elsie Allen High, Maria Carrillo High, Montgomery High, Piner High, Santa Rosa High</t>
  </si>
  <si>
    <t>17</t>
  </si>
  <si>
    <t>Santa Maria High; Ernest Righetti High; Pioneer Valley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</si>
</sst>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slantDashDot">
        <color rgb="FF002060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6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3" applyNumberFormat="0" applyAlignment="0" applyProtection="0"/>
    <xf numFmtId="0" fontId="8" fillId="6" borderId="4" applyNumberFormat="0" applyAlignment="0" applyProtection="0"/>
    <xf numFmtId="0" fontId="9" fillId="6" borderId="3" applyNumberFormat="0" applyAlignment="0" applyProtection="0"/>
    <xf numFmtId="0" fontId="10" fillId="0" borderId="5" applyNumberFormat="0" applyFill="0" applyAlignment="0" applyProtection="0"/>
    <xf numFmtId="0" fontId="11" fillId="7" borderId="6" applyNumberFormat="0" applyAlignment="0" applyProtection="0"/>
    <xf numFmtId="0" fontId="12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</cellStyleXfs>
  <cellXfs count="24">
    <xf numFmtId="0" fontId="0" fillId="0" borderId="0" xfId="0"/>
    <xf numFmtId="0" fontId="17" fillId="0" borderId="0" xfId="2"/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0" fillId="0" borderId="9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6" fillId="0" borderId="1" xfId="3"/>
    <xf numFmtId="3" fontId="0" fillId="0" borderId="0" xfId="0" applyNumberFormat="1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vertical="top"/>
    </xf>
    <xf numFmtId="0" fontId="0" fillId="33" borderId="0" xfId="0" applyFill="1"/>
    <xf numFmtId="0" fontId="16" fillId="0" borderId="1" xfId="3" applyAlignment="1">
      <alignment wrapText="1"/>
    </xf>
    <xf numFmtId="0" fontId="0" fillId="33" borderId="0" xfId="0" applyFill="1" applyAlignment="1">
      <alignment vertical="center" wrapText="1"/>
    </xf>
    <xf numFmtId="3" fontId="0" fillId="33" borderId="0" xfId="0" applyNumberFormat="1" applyFill="1" applyAlignment="1">
      <alignment vertical="center"/>
    </xf>
    <xf numFmtId="0" fontId="0" fillId="0" borderId="0" xfId="0" applyAlignment="1">
      <alignment horizontal="right" vertical="center"/>
    </xf>
    <xf numFmtId="0" fontId="1" fillId="26" borderId="0" xfId="35" applyAlignment="1">
      <alignment vertical="center" wrapText="1"/>
    </xf>
    <xf numFmtId="0" fontId="0" fillId="26" borderId="0" xfId="35" applyFont="1" applyAlignment="1">
      <alignment vertical="center" wrapText="1"/>
    </xf>
    <xf numFmtId="3" fontId="1" fillId="26" borderId="0" xfId="35" applyNumberFormat="1" applyAlignment="1">
      <alignment vertical="center"/>
    </xf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 style="slantDashDot">
          <color rgb="FF002060"/>
        </left>
        <right/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0" displayName="Table30" ref="A4:S56" totalsRowCount="1" headerRowDxfId="932">
  <autoFilter ref="A4:S55" xr:uid="{00000000-0009-0000-0100-000003000000}"/>
  <tableColumns count="19">
    <tableColumn id="1" xr3:uid="{00000000-0010-0000-0000-000001000000}" name="Participating Counties" totalsRowLabel="Grand Total: 51"/>
    <tableColumn id="14" xr3:uid="{00000000-0010-0000-0000-00000E000000}" name="Participating Districts Total" totalsRowFunction="custom" dataDxfId="931" totalsRowDxfId="930">
      <calculatedColumnFormula>Table2[[#Totals],[Participating Districts]]</calculatedColumnFormula>
      <totalsRowFormula>SUM(Table30[Participating Districts Total])</totalsRowFormula>
    </tableColumn>
    <tableColumn id="2" xr3:uid="{00000000-0010-0000-0000-000002000000}" name="Participating Schools Total" totalsRowFunction="sum" dataDxfId="929" totalsRowDxfId="928"/>
    <tableColumn id="3" xr3:uid="{00000000-0010-0000-0000-000003000000}" name="American Sign Language Total" totalsRowFunction="custom" dataDxfId="927" totalsRowDxfId="926">
      <totalsRowFormula>SUM(Table30[American Sign Language Total])</totalsRowFormula>
    </tableColumn>
    <tableColumn id="16" xr3:uid="{00000000-0010-0000-0000-000010000000}" name="Arabic Total" totalsRowFunction="custom" dataDxfId="925" totalsRowDxfId="924">
      <totalsRowFormula>SUM(Table30[Arabic Total])</totalsRowFormula>
    </tableColumn>
    <tableColumn id="4" xr3:uid="{00000000-0010-0000-0000-000004000000}" name="Cantonese Total" totalsRowFunction="custom" dataDxfId="923" totalsRowDxfId="922">
      <totalsRowFormula>SUM(Table30[Cantonese Total])</totalsRowFormula>
    </tableColumn>
    <tableColumn id="5" xr3:uid="{00000000-0010-0000-0000-000005000000}" name="French Total" totalsRowFunction="custom" dataDxfId="921" totalsRowDxfId="920">
      <totalsRowFormula>SUM(Table30[French Total])</totalsRowFormula>
    </tableColumn>
    <tableColumn id="6" xr3:uid="{00000000-0010-0000-0000-000006000000}" name="German Total" totalsRowFunction="custom" dataDxfId="919" totalsRowDxfId="918">
      <totalsRowFormula>SUM(Table30[German Total])</totalsRowFormula>
    </tableColumn>
    <tableColumn id="19" xr3:uid="{00000000-0010-0000-0000-000013000000}" name="Hmong Total" totalsRowFunction="sum" dataDxfId="917" totalsRowDxfId="916"/>
    <tableColumn id="17" xr3:uid="{00000000-0010-0000-0000-000011000000}" name="Italian Total" totalsRowFunction="custom" dataDxfId="915" totalsRowDxfId="914">
      <totalsRowFormula>SUM(Table30[Italian Total])</totalsRowFormula>
    </tableColumn>
    <tableColumn id="7" xr3:uid="{00000000-0010-0000-0000-000007000000}" name=" Japanese Total" totalsRowFunction="custom" dataDxfId="913" totalsRowDxfId="912">
      <totalsRowFormula>SUM(Table30[[ Japanese Total]])</totalsRowFormula>
    </tableColumn>
    <tableColumn id="8" xr3:uid="{00000000-0010-0000-0000-000008000000}" name="Korean Total" totalsRowFunction="custom" dataDxfId="911" totalsRowDxfId="910">
      <totalsRowFormula>SUM(Table30[Korean Total])</totalsRowFormula>
    </tableColumn>
    <tableColumn id="9" xr3:uid="{00000000-0010-0000-0000-000009000000}" name="Latin Total" totalsRowFunction="custom" dataDxfId="909" totalsRowDxfId="908">
      <totalsRowFormula>SUM(Table30[Latin Total])</totalsRowFormula>
    </tableColumn>
    <tableColumn id="10" xr3:uid="{00000000-0010-0000-0000-00000A000000}" name="Mandarin Total" totalsRowFunction="custom" dataDxfId="907" totalsRowDxfId="906">
      <totalsRowFormula>SUM(Table30[Mandarin Total])</totalsRowFormula>
    </tableColumn>
    <tableColumn id="11" xr3:uid="{00000000-0010-0000-0000-00000B000000}" name="Spanish Total" totalsRowFunction="custom" dataDxfId="905" totalsRowDxfId="904">
      <totalsRowFormula>SUM(Table30[Spanish Total])</totalsRowFormula>
    </tableColumn>
    <tableColumn id="18" xr3:uid="{00000000-0010-0000-0000-000012000000}" name="Tagalog (Filipino) Total" totalsRowFunction="custom" dataDxfId="903" totalsRowDxfId="902">
      <totalsRowFormula>SUM(Table30[Tagalog (Filipino) Total])</totalsRowFormula>
    </tableColumn>
    <tableColumn id="12" xr3:uid="{00000000-0010-0000-0000-00000C000000}" name="Vietnamese Total" totalsRowFunction="custom" dataDxfId="901" totalsRowDxfId="900">
      <totalsRowFormula>SUM(Table30[Vietnamese Total])</totalsRowFormula>
    </tableColumn>
    <tableColumn id="13" xr3:uid="{00000000-0010-0000-0000-00000D000000}" name="Other Total" totalsRowFunction="custom" dataDxfId="899" totalsRowDxfId="898">
      <totalsRowFormula>SUM(Table30[Other Total])</totalsRowFormula>
    </tableColumn>
    <tableColumn id="15" xr3:uid="{00000000-0010-0000-0000-00000F000000}" name="Seal Total" totalsRowFunction="custom" dataDxfId="897" totalsRowDxfId="896">
      <calculatedColumnFormula>SUM(Table30[[#This Row],[American Sign Language Total]:[Other Total]])</calculatedColumnFormula>
      <totalsRowFormula>SUM(Table30[Seal Total])</totalsRow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18-19 California State Seal of Biliteracy program and also includes language totals for every county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le11" displayName="Table11" ref="A2:Q22" totalsRowCount="1" headerRowDxfId="776" dataDxfId="775">
  <autoFilter ref="A2:Q21" xr:uid="{00000000-0009-0000-0100-00000B000000}"/>
  <tableColumns count="17">
    <tableColumn id="1" xr3:uid="{00000000-0010-0000-0900-000001000000}" name="Participating Districts" totalsRowLabel="Total: 19" dataDxfId="774"/>
    <tableColumn id="2" xr3:uid="{00000000-0010-0000-0900-000002000000}" name="Participating Schools" totalsRowLabel="35" dataDxfId="773" totalsRowDxfId="772"/>
    <tableColumn id="3" xr3:uid="{00000000-0010-0000-0900-000003000000}" name="American Sign Language Total" totalsRowFunction="sum" dataDxfId="771" totalsRowDxfId="770"/>
    <tableColumn id="4" xr3:uid="{00000000-0010-0000-0900-000004000000}" name="Arabic Total" totalsRowFunction="sum" dataDxfId="769" totalsRowDxfId="768"/>
    <tableColumn id="5" xr3:uid="{00000000-0010-0000-0900-000005000000}" name="Cantonese Total" totalsRowFunction="sum" dataDxfId="767" totalsRowDxfId="766"/>
    <tableColumn id="6" xr3:uid="{00000000-0010-0000-0900-000006000000}" name="French Total" totalsRowFunction="sum" dataDxfId="765" totalsRowDxfId="764"/>
    <tableColumn id="7" xr3:uid="{00000000-0010-0000-0900-000007000000}" name="German Total" totalsRowFunction="sum" dataDxfId="763" totalsRowDxfId="762"/>
    <tableColumn id="8" xr3:uid="{00000000-0010-0000-0900-000008000000}" name="Hmong Total" totalsRowFunction="sum" dataDxfId="761" totalsRowDxfId="760"/>
    <tableColumn id="9" xr3:uid="{00000000-0010-0000-0900-000009000000}" name="Italian Total" totalsRowFunction="sum" dataDxfId="759" totalsRowDxfId="758"/>
    <tableColumn id="10" xr3:uid="{00000000-0010-0000-0900-00000A000000}" name="Japanese Total" totalsRowFunction="sum" dataDxfId="757" totalsRowDxfId="756"/>
    <tableColumn id="11" xr3:uid="{00000000-0010-0000-0900-00000B000000}" name="Korean Total" totalsRowFunction="sum" dataDxfId="755" totalsRowDxfId="754"/>
    <tableColumn id="12" xr3:uid="{00000000-0010-0000-0900-00000C000000}" name="Latin Total" totalsRowFunction="sum" dataDxfId="753" totalsRowDxfId="752"/>
    <tableColumn id="13" xr3:uid="{00000000-0010-0000-0900-00000D000000}" name="Mandarin Total" totalsRowFunction="sum" dataDxfId="751" totalsRowDxfId="750"/>
    <tableColumn id="14" xr3:uid="{00000000-0010-0000-0900-00000E000000}" name="Spanish Total" totalsRowFunction="sum" dataDxfId="749" totalsRowDxfId="748"/>
    <tableColumn id="15" xr3:uid="{00000000-0010-0000-0900-00000F000000}" name="Tagalog (Filipino) Total" totalsRowFunction="sum" dataDxfId="747" totalsRowDxfId="746"/>
    <tableColumn id="16" xr3:uid="{00000000-0010-0000-0900-000010000000}" name="Vietnamese Total" totalsRowFunction="sum" dataDxfId="745" totalsRowDxfId="744"/>
    <tableColumn id="17" xr3:uid="{00000000-0010-0000-0900-000011000000}" name="Other Total" totalsRowFunction="sum" dataDxfId="743" totalsRowDxfId="742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Fresno county and also includes language total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le12" displayName="Table12" ref="A2:Q5" totalsRowCount="1" headerRowDxfId="741">
  <autoFilter ref="A2:Q4" xr:uid="{00000000-0009-0000-0100-00000C000000}"/>
  <tableColumns count="17">
    <tableColumn id="1" xr3:uid="{00000000-0010-0000-0A00-000001000000}" name="Participating Districts" totalsRowLabel="Total: 2"/>
    <tableColumn id="2" xr3:uid="{00000000-0010-0000-0A00-000002000000}" name="Participating Schools" totalsRowLabel="2" totalsRowDxfId="740"/>
    <tableColumn id="3" xr3:uid="{00000000-0010-0000-0A00-000003000000}" name="American Sign Language Total" totalsRowFunction="sum"/>
    <tableColumn id="4" xr3:uid="{00000000-0010-0000-0A00-000004000000}" name="Arabic Total" totalsRowFunction="sum"/>
    <tableColumn id="5" xr3:uid="{00000000-0010-0000-0A00-000005000000}" name="Cantonese Total" totalsRowFunction="sum"/>
    <tableColumn id="6" xr3:uid="{00000000-0010-0000-0A00-000006000000}" name="French Total" totalsRowFunction="sum"/>
    <tableColumn id="7" xr3:uid="{00000000-0010-0000-0A00-000007000000}" name="German Total" totalsRowFunction="sum"/>
    <tableColumn id="8" xr3:uid="{00000000-0010-0000-0A00-000008000000}" name="Hmong Total" totalsRowFunction="sum"/>
    <tableColumn id="9" xr3:uid="{00000000-0010-0000-0A00-000009000000}" name="Italian Total" totalsRowFunction="sum"/>
    <tableColumn id="10" xr3:uid="{00000000-0010-0000-0A00-00000A000000}" name="Japanese Total" totalsRowFunction="sum"/>
    <tableColumn id="11" xr3:uid="{00000000-0010-0000-0A00-00000B000000}" name="Korean Total" totalsRowFunction="sum"/>
    <tableColumn id="12" xr3:uid="{00000000-0010-0000-0A00-00000C000000}" name="Latin Total" totalsRowFunction="sum"/>
    <tableColumn id="13" xr3:uid="{00000000-0010-0000-0A00-00000D000000}" name="Mandarin Total" totalsRowFunction="sum"/>
    <tableColumn id="14" xr3:uid="{00000000-0010-0000-0A00-00000E000000}" name="Spanish Total" totalsRowFunction="sum"/>
    <tableColumn id="15" xr3:uid="{00000000-0010-0000-0A00-00000F000000}" name="Tagalog (Filipino) Total" totalsRowFunction="sum"/>
    <tableColumn id="16" xr3:uid="{00000000-0010-0000-0A00-000010000000}" name="Vietnamese Total" totalsRowFunction="sum"/>
    <tableColumn id="17" xr3:uid="{00000000-0010-0000-0A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Glenn county and also includes language total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le13" displayName="Table13" ref="A2:Q7" totalsRowCount="1" headerRowDxfId="739">
  <autoFilter ref="A2:Q6" xr:uid="{00000000-0009-0000-0100-00000D000000}"/>
  <tableColumns count="17">
    <tableColumn id="1" xr3:uid="{00000000-0010-0000-0B00-000001000000}" name="Participating Districts" totalsRowLabel="Total: 4"/>
    <tableColumn id="2" xr3:uid="{00000000-0010-0000-0B00-000002000000}" name="Participating Schools" totalsRowLabel="6" totalsRowDxfId="738"/>
    <tableColumn id="3" xr3:uid="{00000000-0010-0000-0B00-000003000000}" name="American Sign Language Total" totalsRowFunction="sum"/>
    <tableColumn id="4" xr3:uid="{00000000-0010-0000-0B00-000004000000}" name="Arabic Total" totalsRowFunction="sum"/>
    <tableColumn id="5" xr3:uid="{00000000-0010-0000-0B00-000005000000}" name="Cantonese Total" totalsRowFunction="sum"/>
    <tableColumn id="6" xr3:uid="{00000000-0010-0000-0B00-000006000000}" name="French Total" totalsRowFunction="sum"/>
    <tableColumn id="7" xr3:uid="{00000000-0010-0000-0B00-000007000000}" name="German Total" totalsRowFunction="sum"/>
    <tableColumn id="8" xr3:uid="{00000000-0010-0000-0B00-000008000000}" name="Hmong Total" totalsRowFunction="sum"/>
    <tableColumn id="9" xr3:uid="{00000000-0010-0000-0B00-000009000000}" name="Italian Total" totalsRowFunction="sum"/>
    <tableColumn id="10" xr3:uid="{00000000-0010-0000-0B00-00000A000000}" name="Japanese Total" totalsRowFunction="sum"/>
    <tableColumn id="11" xr3:uid="{00000000-0010-0000-0B00-00000B000000}" name="Korean Total" totalsRowFunction="sum"/>
    <tableColumn id="12" xr3:uid="{00000000-0010-0000-0B00-00000C000000}" name="Latin Total" totalsRowFunction="sum"/>
    <tableColumn id="13" xr3:uid="{00000000-0010-0000-0B00-00000D000000}" name="Mandarin Total" totalsRowFunction="sum"/>
    <tableColumn id="14" xr3:uid="{00000000-0010-0000-0B00-00000E000000}" name="Spanish Total" totalsRowFunction="sum"/>
    <tableColumn id="15" xr3:uid="{00000000-0010-0000-0B00-00000F000000}" name="Tagalog (Filipino) Total" totalsRowFunction="sum"/>
    <tableColumn id="16" xr3:uid="{00000000-0010-0000-0B00-000010000000}" name="Vietnamese Total" totalsRowFunction="sum"/>
    <tableColumn id="17" xr3:uid="{00000000-0010-0000-0B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Humboldt county and also includes language totals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Table14" displayName="Table14" ref="A2:Q7" totalsRowCount="1" headerRowDxfId="737" dataDxfId="736">
  <autoFilter ref="A2:Q6" xr:uid="{00000000-0009-0000-0100-00000E000000}"/>
  <tableColumns count="17">
    <tableColumn id="1" xr3:uid="{00000000-0010-0000-0C00-000001000000}" name="Participating Districts" totalsRowLabel="Total: 4" dataDxfId="735"/>
    <tableColumn id="2" xr3:uid="{00000000-0010-0000-0C00-000002000000}" name="Participating Schools" totalsRowLabel="5" dataDxfId="734" totalsRowDxfId="733"/>
    <tableColumn id="3" xr3:uid="{00000000-0010-0000-0C00-000003000000}" name="American Sign Language Total" totalsRowFunction="sum" dataDxfId="732"/>
    <tableColumn id="4" xr3:uid="{00000000-0010-0000-0C00-000004000000}" name="Arabic Total" totalsRowFunction="sum" dataDxfId="731"/>
    <tableColumn id="5" xr3:uid="{00000000-0010-0000-0C00-000005000000}" name="Cantonese Total" totalsRowFunction="sum" dataDxfId="730"/>
    <tableColumn id="6" xr3:uid="{00000000-0010-0000-0C00-000006000000}" name="French Total" totalsRowFunction="sum" dataDxfId="729"/>
    <tableColumn id="7" xr3:uid="{00000000-0010-0000-0C00-000007000000}" name="German Total" totalsRowFunction="sum" dataDxfId="728"/>
    <tableColumn id="8" xr3:uid="{00000000-0010-0000-0C00-000008000000}" name="Hmong Total" totalsRowFunction="sum" dataDxfId="727"/>
    <tableColumn id="9" xr3:uid="{00000000-0010-0000-0C00-000009000000}" name="Italian Total" totalsRowFunction="sum" dataDxfId="726"/>
    <tableColumn id="10" xr3:uid="{00000000-0010-0000-0C00-00000A000000}" name="Japanese Total" totalsRowFunction="sum" dataDxfId="725"/>
    <tableColumn id="11" xr3:uid="{00000000-0010-0000-0C00-00000B000000}" name="Korean Total" totalsRowFunction="sum" dataDxfId="724"/>
    <tableColumn id="12" xr3:uid="{00000000-0010-0000-0C00-00000C000000}" name="Latin Total" totalsRowFunction="sum" dataDxfId="723"/>
    <tableColumn id="13" xr3:uid="{00000000-0010-0000-0C00-00000D000000}" name="Mandarin Total" totalsRowFunction="sum" dataDxfId="722"/>
    <tableColumn id="14" xr3:uid="{00000000-0010-0000-0C00-00000E000000}" name="Spanish Total" totalsRowFunction="sum" dataDxfId="721"/>
    <tableColumn id="15" xr3:uid="{00000000-0010-0000-0C00-00000F000000}" name="Tagalog (Filipino) Total" totalsRowFunction="sum" dataDxfId="720"/>
    <tableColumn id="16" xr3:uid="{00000000-0010-0000-0C00-000010000000}" name="Vietnamese Total" totalsRowFunction="sum" dataDxfId="719"/>
    <tableColumn id="17" xr3:uid="{00000000-0010-0000-0C00-000011000000}" name="Other Total" totalsRowFunction="sum" dataDxfId="718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Imperial county and also includes language totals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able15" displayName="Table15" ref="A2:Q9" totalsRowCount="1" headerRowDxfId="717" dataDxfId="716">
  <autoFilter ref="A2:Q8" xr:uid="{00000000-0009-0000-0100-00000F000000}"/>
  <tableColumns count="17">
    <tableColumn id="1" xr3:uid="{00000000-0010-0000-0D00-000001000000}" name="Participating Districts" totalsRowLabel="Total: 6" dataDxfId="715"/>
    <tableColumn id="2" xr3:uid="{00000000-0010-0000-0D00-000002000000}" name="Participating Schools" totalsRowLabel="25" dataDxfId="714" totalsRowDxfId="713"/>
    <tableColumn id="3" xr3:uid="{00000000-0010-0000-0D00-000003000000}" name="American Sign Language Total" totalsRowFunction="sum" dataDxfId="712" totalsRowDxfId="711"/>
    <tableColumn id="4" xr3:uid="{00000000-0010-0000-0D00-000004000000}" name="Arabic Total" totalsRowFunction="sum" dataDxfId="710" totalsRowDxfId="709"/>
    <tableColumn id="5" xr3:uid="{00000000-0010-0000-0D00-000005000000}" name="Cantonese Total" totalsRowFunction="sum" dataDxfId="708" totalsRowDxfId="707"/>
    <tableColumn id="6" xr3:uid="{00000000-0010-0000-0D00-000006000000}" name="French Total" totalsRowFunction="sum" dataDxfId="706" totalsRowDxfId="705"/>
    <tableColumn id="7" xr3:uid="{00000000-0010-0000-0D00-000007000000}" name="German Total" totalsRowFunction="sum" dataDxfId="704" totalsRowDxfId="703"/>
    <tableColumn id="8" xr3:uid="{00000000-0010-0000-0D00-000008000000}" name="Hmong Total" totalsRowFunction="sum" dataDxfId="702" totalsRowDxfId="701"/>
    <tableColumn id="9" xr3:uid="{00000000-0010-0000-0D00-000009000000}" name="Italian Total" totalsRowFunction="sum" dataDxfId="700" totalsRowDxfId="699"/>
    <tableColumn id="10" xr3:uid="{00000000-0010-0000-0D00-00000A000000}" name="Japanese Total" totalsRowFunction="sum" dataDxfId="698" totalsRowDxfId="697"/>
    <tableColumn id="11" xr3:uid="{00000000-0010-0000-0D00-00000B000000}" name="Korean Total" totalsRowFunction="sum" dataDxfId="696" totalsRowDxfId="695"/>
    <tableColumn id="12" xr3:uid="{00000000-0010-0000-0D00-00000C000000}" name="Latin Total" totalsRowFunction="sum" dataDxfId="694" totalsRowDxfId="693"/>
    <tableColumn id="13" xr3:uid="{00000000-0010-0000-0D00-00000D000000}" name="Mandarin Total" totalsRowFunction="sum" dataDxfId="692" totalsRowDxfId="691"/>
    <tableColumn id="14" xr3:uid="{00000000-0010-0000-0D00-00000E000000}" name="Spanish Total" totalsRowFunction="sum" dataDxfId="690" totalsRowDxfId="689"/>
    <tableColumn id="15" xr3:uid="{00000000-0010-0000-0D00-00000F000000}" name="Tagalog (Filipino) Total" totalsRowFunction="sum" dataDxfId="688" totalsRowDxfId="687"/>
    <tableColumn id="16" xr3:uid="{00000000-0010-0000-0D00-000010000000}" name="Vietnamese Total" totalsRowFunction="sum" dataDxfId="686" totalsRowDxfId="685"/>
    <tableColumn id="17" xr3:uid="{00000000-0010-0000-0D00-000011000000}" name="Other Total" totalsRowFunction="sum" dataDxfId="684" totalsRowDxfId="683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Kern county and also includes language totals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Table16" displayName="Table16" ref="A2:Q8" totalsRowCount="1" headerRowDxfId="682" dataDxfId="681">
  <autoFilter ref="A2:Q7" xr:uid="{00000000-0009-0000-0100-000010000000}"/>
  <tableColumns count="17">
    <tableColumn id="1" xr3:uid="{00000000-0010-0000-0E00-000001000000}" name="Participating Districts" totalsRowLabel="Total: 5" dataDxfId="680"/>
    <tableColumn id="2" xr3:uid="{00000000-0010-0000-0E00-000002000000}" name="Participating Schools" totalsRowLabel="7" dataDxfId="679" totalsRowDxfId="678"/>
    <tableColumn id="3" xr3:uid="{00000000-0010-0000-0E00-000003000000}" name="American Sign Language Total" totalsRowFunction="sum" dataDxfId="677"/>
    <tableColumn id="4" xr3:uid="{00000000-0010-0000-0E00-000004000000}" name="Arabic Total" totalsRowFunction="sum" dataDxfId="676"/>
    <tableColumn id="5" xr3:uid="{00000000-0010-0000-0E00-000005000000}" name="Cantonese Total" totalsRowFunction="sum" dataDxfId="675"/>
    <tableColumn id="6" xr3:uid="{00000000-0010-0000-0E00-000006000000}" name="French Total" totalsRowFunction="sum" dataDxfId="674"/>
    <tableColumn id="7" xr3:uid="{00000000-0010-0000-0E00-000007000000}" name="German Total" totalsRowFunction="sum" dataDxfId="673"/>
    <tableColumn id="8" xr3:uid="{00000000-0010-0000-0E00-000008000000}" name="Hmong Total" totalsRowFunction="sum" dataDxfId="672"/>
    <tableColumn id="9" xr3:uid="{00000000-0010-0000-0E00-000009000000}" name="Italian Total" totalsRowFunction="sum" dataDxfId="671"/>
    <tableColumn id="10" xr3:uid="{00000000-0010-0000-0E00-00000A000000}" name="Japanese Total" totalsRowFunction="sum" dataDxfId="670"/>
    <tableColumn id="11" xr3:uid="{00000000-0010-0000-0E00-00000B000000}" name="Korean Total" totalsRowFunction="sum" dataDxfId="669"/>
    <tableColumn id="12" xr3:uid="{00000000-0010-0000-0E00-00000C000000}" name="Latin Total" totalsRowFunction="sum" dataDxfId="668"/>
    <tableColumn id="13" xr3:uid="{00000000-0010-0000-0E00-00000D000000}" name="Mandarin Total" totalsRowFunction="sum" dataDxfId="667"/>
    <tableColumn id="14" xr3:uid="{00000000-0010-0000-0E00-00000E000000}" name="Spanish Total" totalsRowFunction="sum" dataDxfId="666"/>
    <tableColumn id="15" xr3:uid="{00000000-0010-0000-0E00-00000F000000}" name="Tagalog (Filipino) Total" totalsRowFunction="sum" dataDxfId="665"/>
    <tableColumn id="16" xr3:uid="{00000000-0010-0000-0E00-000010000000}" name="Vietnamese Total" totalsRowFunction="sum" dataDxfId="664"/>
    <tableColumn id="17" xr3:uid="{00000000-0010-0000-0E00-000011000000}" name="Other Total" totalsRowFunction="sum" dataDxfId="663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Kings county and also includes language totals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Table17" displayName="Table17" ref="A2:Q5" totalsRowCount="1" headerRowDxfId="662">
  <autoFilter ref="A2:Q4" xr:uid="{00000000-0009-0000-0100-000011000000}"/>
  <tableColumns count="17">
    <tableColumn id="1" xr3:uid="{00000000-0010-0000-0F00-000001000000}" name="Participating Districts" totalsRowLabel="Total: 2"/>
    <tableColumn id="2" xr3:uid="{00000000-0010-0000-0F00-000002000000}" name="Participating Schools" totalsRowLabel="2" totalsRowDxfId="661"/>
    <tableColumn id="3" xr3:uid="{00000000-0010-0000-0F00-000003000000}" name="American Sign Language Total" totalsRowFunction="sum"/>
    <tableColumn id="4" xr3:uid="{00000000-0010-0000-0F00-000004000000}" name="Arabic Total" totalsRowFunction="sum"/>
    <tableColumn id="5" xr3:uid="{00000000-0010-0000-0F00-000005000000}" name="Cantonese Total" totalsRowFunction="sum"/>
    <tableColumn id="6" xr3:uid="{00000000-0010-0000-0F00-000006000000}" name="French Total" totalsRowFunction="sum"/>
    <tableColumn id="7" xr3:uid="{00000000-0010-0000-0F00-000007000000}" name="German Total" totalsRowFunction="sum"/>
    <tableColumn id="8" xr3:uid="{00000000-0010-0000-0F00-000008000000}" name="Hmong Total" totalsRowFunction="sum"/>
    <tableColumn id="9" xr3:uid="{00000000-0010-0000-0F00-000009000000}" name="Italian Total" totalsRowFunction="sum"/>
    <tableColumn id="10" xr3:uid="{00000000-0010-0000-0F00-00000A000000}" name="Japanese Total" totalsRowFunction="sum"/>
    <tableColumn id="11" xr3:uid="{00000000-0010-0000-0F00-00000B000000}" name="Korean Total" totalsRowFunction="sum"/>
    <tableColumn id="12" xr3:uid="{00000000-0010-0000-0F00-00000C000000}" name="Latin Total" totalsRowFunction="sum"/>
    <tableColumn id="13" xr3:uid="{00000000-0010-0000-0F00-00000D000000}" name="Mandarin Total" totalsRowFunction="sum"/>
    <tableColumn id="14" xr3:uid="{00000000-0010-0000-0F00-00000E000000}" name="Spanish Total" totalsRowFunction="sum"/>
    <tableColumn id="15" xr3:uid="{00000000-0010-0000-0F00-00000F000000}" name="Tagalog (Filipino) Total" totalsRowFunction="sum"/>
    <tableColumn id="16" xr3:uid="{00000000-0010-0000-0F00-000010000000}" name="Vietnamese Total" totalsRowFunction="sum"/>
    <tableColumn id="17" xr3:uid="{00000000-0010-0000-0F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Lake county and also includes language totals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Table18" displayName="Table18" ref="A2:Q4" totalsRowCount="1" headerRowDxfId="660">
  <autoFilter ref="A2:Q3" xr:uid="{00000000-0009-0000-0100-000012000000}"/>
  <tableColumns count="17">
    <tableColumn id="1" xr3:uid="{00000000-0010-0000-1000-000001000000}" name="Participating District" totalsRowLabel="Total: 1"/>
    <tableColumn id="2" xr3:uid="{00000000-0010-0000-1000-000002000000}" name="Participating School" totalsRowLabel="1"/>
    <tableColumn id="3" xr3:uid="{00000000-0010-0000-1000-000003000000}" name="American Sign Language Total" totalsRowFunction="sum"/>
    <tableColumn id="4" xr3:uid="{00000000-0010-0000-1000-000004000000}" name="Arabic Total" totalsRowFunction="sum"/>
    <tableColumn id="5" xr3:uid="{00000000-0010-0000-1000-000005000000}" name="Cantonese Total" totalsRowFunction="sum"/>
    <tableColumn id="6" xr3:uid="{00000000-0010-0000-1000-000006000000}" name="French Total" totalsRowFunction="sum"/>
    <tableColumn id="7" xr3:uid="{00000000-0010-0000-1000-000007000000}" name="German Total" totalsRowFunction="sum"/>
    <tableColumn id="8" xr3:uid="{00000000-0010-0000-1000-000008000000}" name="Hmong Total" totalsRowFunction="sum"/>
    <tableColumn id="9" xr3:uid="{00000000-0010-0000-1000-000009000000}" name="Italian Total" totalsRowFunction="sum"/>
    <tableColumn id="10" xr3:uid="{00000000-0010-0000-1000-00000A000000}" name="Japanese Total" totalsRowFunction="sum"/>
    <tableColumn id="11" xr3:uid="{00000000-0010-0000-1000-00000B000000}" name="Korean Total" totalsRowFunction="sum"/>
    <tableColumn id="12" xr3:uid="{00000000-0010-0000-1000-00000C000000}" name="Latin Total" totalsRowFunction="sum"/>
    <tableColumn id="13" xr3:uid="{00000000-0010-0000-1000-00000D000000}" name="Mandarin Total" totalsRowFunction="sum"/>
    <tableColumn id="14" xr3:uid="{00000000-0010-0000-1000-00000E000000}" name="Spanish Total" totalsRowFunction="sum"/>
    <tableColumn id="15" xr3:uid="{00000000-0010-0000-1000-00000F000000}" name="Tagalog (Filipino) Total" totalsRowFunction="sum"/>
    <tableColumn id="16" xr3:uid="{00000000-0010-0000-1000-000010000000}" name="Vietnamese Total" totalsRowFunction="sum"/>
    <tableColumn id="17" xr3:uid="{00000000-0010-0000-10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Lassen county and also includes language totals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Table19" displayName="Table19" ref="A2:Q48" totalsRowCount="1" headerRowDxfId="659">
  <autoFilter ref="A2:Q47" xr:uid="{00000000-0009-0000-0100-000013000000}"/>
  <tableColumns count="17">
    <tableColumn id="1" xr3:uid="{00000000-0010-0000-1100-000001000000}" name="Participating Districts" totalsRowLabel="Total: 45" dataDxfId="658" totalsRowDxfId="657"/>
    <tableColumn id="2" xr3:uid="{00000000-0010-0000-1100-000002000000}" name="Participating Schools" totalsRowLabel="272" dataDxfId="656" totalsRowDxfId="655"/>
    <tableColumn id="3" xr3:uid="{00000000-0010-0000-1100-000003000000}" name="American Sign Language Total" totalsRowFunction="sum" totalsRowDxfId="654"/>
    <tableColumn id="4" xr3:uid="{00000000-0010-0000-1100-000004000000}" name="Arabic Total" totalsRowFunction="sum" totalsRowDxfId="653"/>
    <tableColumn id="5" xr3:uid="{00000000-0010-0000-1100-000005000000}" name="Cantonese Total" totalsRowFunction="sum" totalsRowDxfId="652"/>
    <tableColumn id="6" xr3:uid="{00000000-0010-0000-1100-000006000000}" name="French Total" totalsRowFunction="sum" totalsRowDxfId="651"/>
    <tableColumn id="7" xr3:uid="{00000000-0010-0000-1100-000007000000}" name="German Total" totalsRowFunction="sum" totalsRowDxfId="650"/>
    <tableColumn id="8" xr3:uid="{00000000-0010-0000-1100-000008000000}" name="Hmong Total" totalsRowFunction="sum" totalsRowDxfId="649"/>
    <tableColumn id="9" xr3:uid="{00000000-0010-0000-1100-000009000000}" name="Italian Total" totalsRowFunction="sum" totalsRowDxfId="648"/>
    <tableColumn id="10" xr3:uid="{00000000-0010-0000-1100-00000A000000}" name="Japanese Total" totalsRowFunction="sum" totalsRowDxfId="647"/>
    <tableColumn id="11" xr3:uid="{00000000-0010-0000-1100-00000B000000}" name="Korean Total" totalsRowFunction="sum" totalsRowDxfId="646"/>
    <tableColumn id="12" xr3:uid="{00000000-0010-0000-1100-00000C000000}" name="Latin Total" totalsRowFunction="sum" totalsRowDxfId="645"/>
    <tableColumn id="13" xr3:uid="{00000000-0010-0000-1100-00000D000000}" name="Mandarin Total" totalsRowFunction="sum" totalsRowDxfId="644"/>
    <tableColumn id="14" xr3:uid="{00000000-0010-0000-1100-00000E000000}" name="Spanish Total" totalsRowFunction="sum" totalsRowDxfId="643"/>
    <tableColumn id="15" xr3:uid="{00000000-0010-0000-1100-00000F000000}" name="Tagalog (Filipino) Total" totalsRowFunction="sum" totalsRowDxfId="642"/>
    <tableColumn id="16" xr3:uid="{00000000-0010-0000-1100-000010000000}" name="Vietnamese Total" totalsRowFunction="sum" totalsRowDxfId="641"/>
    <tableColumn id="17" xr3:uid="{00000000-0010-0000-1100-000011000000}" name="Other Total" totalsRowFunction="sum" totalsRowDxfId="64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Los Angeles county and also includes language totals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Table20" displayName="Table20" ref="A2:Q6" totalsRowCount="1" headerRowDxfId="639">
  <autoFilter ref="A2:Q5" xr:uid="{00000000-0009-0000-0100-000014000000}"/>
  <tableColumns count="17">
    <tableColumn id="1" xr3:uid="{00000000-0010-0000-1200-000001000000}" name="Participating Districts" totalsRowLabel="Total: 3"/>
    <tableColumn id="2" xr3:uid="{00000000-0010-0000-1200-000002000000}" name="Participating Schools" totalsRowLabel="4" totalsRowDxfId="638"/>
    <tableColumn id="3" xr3:uid="{00000000-0010-0000-1200-000003000000}" name="American Sign Language Total" totalsRowFunction="sum"/>
    <tableColumn id="4" xr3:uid="{00000000-0010-0000-1200-000004000000}" name="Arabic Total" totalsRowFunction="sum"/>
    <tableColumn id="5" xr3:uid="{00000000-0010-0000-1200-000005000000}" name="Cantonese Total" totalsRowFunction="sum"/>
    <tableColumn id="6" xr3:uid="{00000000-0010-0000-1200-000006000000}" name="French Total" totalsRowFunction="sum"/>
    <tableColumn id="7" xr3:uid="{00000000-0010-0000-1200-000007000000}" name="German Total" totalsRowFunction="sum"/>
    <tableColumn id="8" xr3:uid="{00000000-0010-0000-1200-000008000000}" name="Hmong Total" totalsRowFunction="sum"/>
    <tableColumn id="9" xr3:uid="{00000000-0010-0000-1200-000009000000}" name="Italian Total" totalsRowFunction="sum"/>
    <tableColumn id="10" xr3:uid="{00000000-0010-0000-1200-00000A000000}" name="Japanese Total" totalsRowFunction="sum"/>
    <tableColumn id="11" xr3:uid="{00000000-0010-0000-1200-00000B000000}" name="Korean Total" totalsRowFunction="sum"/>
    <tableColumn id="12" xr3:uid="{00000000-0010-0000-1200-00000C000000}" name="Latin Total" totalsRowFunction="sum"/>
    <tableColumn id="13" xr3:uid="{00000000-0010-0000-1200-00000D000000}" name="Mandarin Total" totalsRowFunction="sum"/>
    <tableColumn id="14" xr3:uid="{00000000-0010-0000-1200-00000E000000}" name="Spanish Total" totalsRowFunction="sum"/>
    <tableColumn id="15" xr3:uid="{00000000-0010-0000-1200-00000F000000}" name="Tagalog (Filipino) Total" totalsRowFunction="sum"/>
    <tableColumn id="16" xr3:uid="{00000000-0010-0000-1200-000010000000}" name="Vietnamese Total" totalsRowFunction="sum"/>
    <tableColumn id="17" xr3:uid="{00000000-0010-0000-12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Madera county and also includes language tota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Q20" totalsRowCount="1" headerRowDxfId="895" dataDxfId="894">
  <autoFilter ref="A2:Q19" xr:uid="{00000000-0009-0000-0100-000002000000}"/>
  <tableColumns count="17">
    <tableColumn id="1" xr3:uid="{00000000-0010-0000-0100-000001000000}" name="Participating Districts" totalsRowLabel="Total: 17" totalsRowDxfId="893"/>
    <tableColumn id="2" xr3:uid="{00000000-0010-0000-0100-000002000000}" name="Participating Schools" totalsRowLabel="42" dataDxfId="892" totalsRowDxfId="891"/>
    <tableColumn id="18" xr3:uid="{00000000-0010-0000-0100-000012000000}" name="American Sign Language Total" totalsRowFunction="sum" dataDxfId="890" totalsRowDxfId="889"/>
    <tableColumn id="3" xr3:uid="{00000000-0010-0000-0100-000003000000}" name="Arabic Total" totalsRowFunction="sum" dataDxfId="888" totalsRowDxfId="887"/>
    <tableColumn id="5" xr3:uid="{00000000-0010-0000-0100-000005000000}" name="Cantonese Total" totalsRowFunction="sum" dataDxfId="886" totalsRowDxfId="885"/>
    <tableColumn id="6" xr3:uid="{00000000-0010-0000-0100-000006000000}" name="French Total" totalsRowFunction="sum" dataDxfId="884" totalsRowDxfId="883"/>
    <tableColumn id="7" xr3:uid="{00000000-0010-0000-0100-000007000000}" name="German Total" totalsRowFunction="sum" dataDxfId="882" totalsRowDxfId="881"/>
    <tableColumn id="8" xr3:uid="{00000000-0010-0000-0100-000008000000}" name="Hmong Total" totalsRowFunction="sum" dataDxfId="880" totalsRowDxfId="879"/>
    <tableColumn id="9" xr3:uid="{00000000-0010-0000-0100-000009000000}" name="Italian Total" totalsRowFunction="sum" dataDxfId="878" totalsRowDxfId="877"/>
    <tableColumn id="10" xr3:uid="{00000000-0010-0000-0100-00000A000000}" name="Japanese Total" totalsRowFunction="sum" dataDxfId="876" totalsRowDxfId="875"/>
    <tableColumn id="11" xr3:uid="{00000000-0010-0000-0100-00000B000000}" name="Korean Total" totalsRowFunction="sum" dataDxfId="874" totalsRowDxfId="873"/>
    <tableColumn id="12" xr3:uid="{00000000-0010-0000-0100-00000C000000}" name="Latin Total" totalsRowFunction="sum" dataDxfId="872" totalsRowDxfId="871"/>
    <tableColumn id="13" xr3:uid="{00000000-0010-0000-0100-00000D000000}" name="Mandarin Total" totalsRowFunction="sum" dataDxfId="870" totalsRowDxfId="869"/>
    <tableColumn id="14" xr3:uid="{00000000-0010-0000-0100-00000E000000}" name="Spanish Total" totalsRowFunction="sum" dataDxfId="868" totalsRowDxfId="867"/>
    <tableColumn id="15" xr3:uid="{00000000-0010-0000-0100-00000F000000}" name="Tagalog (Filipino) Total" totalsRowFunction="sum" dataDxfId="866" totalsRowDxfId="865"/>
    <tableColumn id="16" xr3:uid="{00000000-0010-0000-0100-000010000000}" name="Vietnamese Total" totalsRowFunction="sum" dataDxfId="864" totalsRowDxfId="863"/>
    <tableColumn id="17" xr3:uid="{00000000-0010-0000-0100-000011000000}" name="Other Total" totalsRowFunction="sum" dataDxfId="862" totalsRowDxfId="861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Alameda county and also includes language totals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Table21" displayName="Table21" ref="A2:Q7" totalsRowCount="1" headerRowDxfId="637" dataDxfId="636">
  <autoFilter ref="A2:Q6" xr:uid="{00000000-0009-0000-0100-000015000000}"/>
  <tableColumns count="17">
    <tableColumn id="1" xr3:uid="{00000000-0010-0000-1300-000001000000}" name="Participating Districts" totalsRowLabel="Total: 4" dataDxfId="635"/>
    <tableColumn id="2" xr3:uid="{00000000-0010-0000-1300-000002000000}" name="Participating Schools" totalsRowLabel="9" dataDxfId="634" totalsRowDxfId="633"/>
    <tableColumn id="3" xr3:uid="{00000000-0010-0000-1300-000003000000}" name="American Sign Language Total" totalsRowFunction="sum" dataDxfId="632"/>
    <tableColumn id="4" xr3:uid="{00000000-0010-0000-1300-000004000000}" name="Arabic Total" totalsRowFunction="sum" dataDxfId="631"/>
    <tableColumn id="5" xr3:uid="{00000000-0010-0000-1300-000005000000}" name="Cantonese Total" totalsRowFunction="sum" dataDxfId="630"/>
    <tableColumn id="6" xr3:uid="{00000000-0010-0000-1300-000006000000}" name="French Total" totalsRowFunction="sum" dataDxfId="629"/>
    <tableColumn id="7" xr3:uid="{00000000-0010-0000-1300-000007000000}" name="German Total" totalsRowFunction="sum" dataDxfId="628"/>
    <tableColumn id="8" xr3:uid="{00000000-0010-0000-1300-000008000000}" name="Hmong Total" totalsRowFunction="sum" dataDxfId="627"/>
    <tableColumn id="9" xr3:uid="{00000000-0010-0000-1300-000009000000}" name="Italian Total" totalsRowFunction="sum" dataDxfId="626"/>
    <tableColumn id="10" xr3:uid="{00000000-0010-0000-1300-00000A000000}" name="Japanese Total" totalsRowFunction="sum" dataDxfId="625"/>
    <tableColumn id="11" xr3:uid="{00000000-0010-0000-1300-00000B000000}" name="Korean Total" totalsRowFunction="sum" dataDxfId="624"/>
    <tableColumn id="12" xr3:uid="{00000000-0010-0000-1300-00000C000000}" name="Latin Total" totalsRowFunction="sum" dataDxfId="623"/>
    <tableColumn id="13" xr3:uid="{00000000-0010-0000-1300-00000D000000}" name="Mandarin Total" totalsRowFunction="sum" dataDxfId="622"/>
    <tableColumn id="14" xr3:uid="{00000000-0010-0000-1300-00000E000000}" name="Spanish Total" totalsRowFunction="sum" dataDxfId="621"/>
    <tableColumn id="15" xr3:uid="{00000000-0010-0000-1300-00000F000000}" name="Tagalog (Filipino) Total" totalsRowFunction="sum" dataDxfId="620"/>
    <tableColumn id="16" xr3:uid="{00000000-0010-0000-1300-000010000000}" name="Vietnamese Total" totalsRowFunction="sum" dataDxfId="619"/>
    <tableColumn id="17" xr3:uid="{00000000-0010-0000-1300-000011000000}" name="Other Total" totalsRowFunction="sum" dataDxfId="618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Marin county and also includes language totals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Table22" displayName="Table22" ref="A2:Q9" totalsRowCount="1" headerRowDxfId="617">
  <autoFilter ref="A2:Q8" xr:uid="{00000000-0009-0000-0100-000016000000}"/>
  <tableColumns count="17">
    <tableColumn id="1" xr3:uid="{00000000-0010-0000-1400-000001000000}" name="Participating Districts" totalsRowLabel="Total: 6"/>
    <tableColumn id="2" xr3:uid="{00000000-0010-0000-1400-000002000000}" name="Participating Schools" totalsRowLabel="6" totalsRowDxfId="616"/>
    <tableColumn id="3" xr3:uid="{00000000-0010-0000-1400-000003000000}" name="American Sign Language Total" totalsRowFunction="sum"/>
    <tableColumn id="4" xr3:uid="{00000000-0010-0000-1400-000004000000}" name="Arabic Total" totalsRowFunction="sum"/>
    <tableColumn id="5" xr3:uid="{00000000-0010-0000-1400-000005000000}" name="Cantonese Total" totalsRowFunction="sum"/>
    <tableColumn id="6" xr3:uid="{00000000-0010-0000-1400-000006000000}" name="French Total" totalsRowFunction="sum"/>
    <tableColumn id="7" xr3:uid="{00000000-0010-0000-1400-000007000000}" name="German Total" totalsRowFunction="sum"/>
    <tableColumn id="8" xr3:uid="{00000000-0010-0000-1400-000008000000}" name="Hmong Total" totalsRowFunction="sum"/>
    <tableColumn id="9" xr3:uid="{00000000-0010-0000-1400-000009000000}" name="Italian Total" totalsRowFunction="sum"/>
    <tableColumn id="10" xr3:uid="{00000000-0010-0000-1400-00000A000000}" name="Japanese Total" totalsRowFunction="sum"/>
    <tableColumn id="11" xr3:uid="{00000000-0010-0000-1400-00000B000000}" name="Korean Total" totalsRowFunction="sum"/>
    <tableColumn id="12" xr3:uid="{00000000-0010-0000-1400-00000C000000}" name="Latin Total" totalsRowFunction="sum"/>
    <tableColumn id="13" xr3:uid="{00000000-0010-0000-1400-00000D000000}" name="Mandarin Total" totalsRowFunction="sum"/>
    <tableColumn id="14" xr3:uid="{00000000-0010-0000-1400-00000E000000}" name="Spanish Total" totalsRowFunction="sum"/>
    <tableColumn id="15" xr3:uid="{00000000-0010-0000-1400-00000F000000}" name="Tagalog (Filipino) Total" totalsRowFunction="sum"/>
    <tableColumn id="16" xr3:uid="{00000000-0010-0000-1400-000010000000}" name="Vietnamese Total" totalsRowFunction="sum"/>
    <tableColumn id="17" xr3:uid="{00000000-0010-0000-14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Mendocino county and also includes language totals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Table23" displayName="Table23" ref="A2:Q8" totalsRowCount="1" headerRowDxfId="615">
  <autoFilter ref="A2:Q7" xr:uid="{00000000-0009-0000-0100-000017000000}"/>
  <tableColumns count="17">
    <tableColumn id="1" xr3:uid="{00000000-0010-0000-1500-000001000000}" name="Participating Districts" totalsRowLabel="Total: 5"/>
    <tableColumn id="2" xr3:uid="{00000000-0010-0000-1500-000002000000}" name="Participating Schools" totalsRowLabel="6" totalsRowDxfId="614"/>
    <tableColumn id="3" xr3:uid="{00000000-0010-0000-1500-000003000000}" name="American Sign Language Total" totalsRowFunction="sum"/>
    <tableColumn id="4" xr3:uid="{00000000-0010-0000-1500-000004000000}" name="Arabic Total" totalsRowFunction="sum"/>
    <tableColumn id="5" xr3:uid="{00000000-0010-0000-1500-000005000000}" name="Cantonese Total" totalsRowFunction="sum"/>
    <tableColumn id="6" xr3:uid="{00000000-0010-0000-1500-000006000000}" name="French Total" totalsRowFunction="sum"/>
    <tableColumn id="7" xr3:uid="{00000000-0010-0000-1500-000007000000}" name="German Total" totalsRowFunction="sum"/>
    <tableColumn id="8" xr3:uid="{00000000-0010-0000-1500-000008000000}" name="Hmong Total" totalsRowFunction="sum"/>
    <tableColumn id="9" xr3:uid="{00000000-0010-0000-1500-000009000000}" name="Italian Total" totalsRowFunction="sum"/>
    <tableColumn id="10" xr3:uid="{00000000-0010-0000-1500-00000A000000}" name="Japanese Total" totalsRowFunction="sum"/>
    <tableColumn id="11" xr3:uid="{00000000-0010-0000-1500-00000B000000}" name="Korean Total" totalsRowFunction="sum"/>
    <tableColumn id="12" xr3:uid="{00000000-0010-0000-1500-00000C000000}" name="Latin Total" totalsRowFunction="sum"/>
    <tableColumn id="13" xr3:uid="{00000000-0010-0000-1500-00000D000000}" name="Mandarin Total" totalsRowFunction="sum"/>
    <tableColumn id="14" xr3:uid="{00000000-0010-0000-1500-00000E000000}" name="Spanish Total" totalsRowFunction="sum"/>
    <tableColumn id="15" xr3:uid="{00000000-0010-0000-1500-00000F000000}" name="Tagalog (Filipino) Total" totalsRowFunction="sum"/>
    <tableColumn id="16" xr3:uid="{00000000-0010-0000-1500-000010000000}" name="Vietnamese Total" totalsRowFunction="sum"/>
    <tableColumn id="17" xr3:uid="{00000000-0010-0000-15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Merced county and also includes language totals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6000000}" name="Table24" displayName="Table24" ref="A2:Q5" totalsRowCount="1" headerRowDxfId="613">
  <autoFilter ref="A2:Q4" xr:uid="{00000000-0009-0000-0100-000018000000}"/>
  <tableColumns count="17">
    <tableColumn id="1" xr3:uid="{00000000-0010-0000-1600-000001000000}" name="Participating Districts" totalsRowLabel="Total: 2"/>
    <tableColumn id="2" xr3:uid="{00000000-0010-0000-1600-000002000000}" name="Participating Schools" totalsRowLabel="2" totalsRowDxfId="612"/>
    <tableColumn id="3" xr3:uid="{00000000-0010-0000-1600-000003000000}" name="American Sign Language Total" totalsRowFunction="sum"/>
    <tableColumn id="4" xr3:uid="{00000000-0010-0000-1600-000004000000}" name="Arabic Total" totalsRowFunction="sum"/>
    <tableColumn id="5" xr3:uid="{00000000-0010-0000-1600-000005000000}" name="Cantonese Total" totalsRowFunction="sum"/>
    <tableColumn id="6" xr3:uid="{00000000-0010-0000-1600-000006000000}" name="French Total" totalsRowFunction="sum"/>
    <tableColumn id="7" xr3:uid="{00000000-0010-0000-1600-000007000000}" name="German Total" totalsRowFunction="sum"/>
    <tableColumn id="8" xr3:uid="{00000000-0010-0000-1600-000008000000}" name="Hmong Total" totalsRowFunction="sum"/>
    <tableColumn id="9" xr3:uid="{00000000-0010-0000-1600-000009000000}" name="Italian Total" totalsRowFunction="sum"/>
    <tableColumn id="10" xr3:uid="{00000000-0010-0000-1600-00000A000000}" name="Japanese Total" totalsRowFunction="sum"/>
    <tableColumn id="11" xr3:uid="{00000000-0010-0000-1600-00000B000000}" name="Korean Total" totalsRowFunction="sum"/>
    <tableColumn id="12" xr3:uid="{00000000-0010-0000-1600-00000C000000}" name="Latin Total" totalsRowFunction="sum"/>
    <tableColumn id="13" xr3:uid="{00000000-0010-0000-1600-00000D000000}" name="Mandarin Total" totalsRowFunction="sum"/>
    <tableColumn id="14" xr3:uid="{00000000-0010-0000-1600-00000E000000}" name="Spanish Total" totalsRowFunction="sum"/>
    <tableColumn id="15" xr3:uid="{00000000-0010-0000-1600-00000F000000}" name="Tagalog (Filipino) Total" totalsRowFunction="sum"/>
    <tableColumn id="16" xr3:uid="{00000000-0010-0000-1600-000010000000}" name="Vietnamese Total" totalsRowFunction="sum"/>
    <tableColumn id="17" xr3:uid="{00000000-0010-0000-16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Mono county and also includes language totals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7000000}" name="Table25" displayName="Table25" ref="A2:Q11" totalsRowCount="1" headerRowDxfId="611" dataDxfId="610">
  <autoFilter ref="A2:Q10" xr:uid="{00000000-0009-0000-0100-000019000000}"/>
  <tableColumns count="17">
    <tableColumn id="1" xr3:uid="{00000000-0010-0000-1700-000001000000}" name="Participating Districts" totalsRowLabel="Total: 8" dataDxfId="609" totalsRowDxfId="608"/>
    <tableColumn id="2" xr3:uid="{00000000-0010-0000-1700-000002000000}" name="Participating Schools" totalsRowLabel="16" dataDxfId="607" totalsRowDxfId="606"/>
    <tableColumn id="3" xr3:uid="{00000000-0010-0000-1700-000003000000}" name="American Sign Language Total" totalsRowFunction="sum" dataDxfId="605" totalsRowDxfId="604"/>
    <tableColumn id="4" xr3:uid="{00000000-0010-0000-1700-000004000000}" name="Arabic Total" totalsRowFunction="sum" dataDxfId="603" totalsRowDxfId="602"/>
    <tableColumn id="5" xr3:uid="{00000000-0010-0000-1700-000005000000}" name="Cantonese Total" totalsRowFunction="sum" dataDxfId="601" totalsRowDxfId="600"/>
    <tableColumn id="6" xr3:uid="{00000000-0010-0000-1700-000006000000}" name="French Total" totalsRowFunction="sum" dataDxfId="599" totalsRowDxfId="598"/>
    <tableColumn id="7" xr3:uid="{00000000-0010-0000-1700-000007000000}" name="German Total" totalsRowFunction="sum" dataDxfId="597" totalsRowDxfId="596"/>
    <tableColumn id="8" xr3:uid="{00000000-0010-0000-1700-000008000000}" name="Hmong Total" totalsRowFunction="sum" dataDxfId="595" totalsRowDxfId="594"/>
    <tableColumn id="9" xr3:uid="{00000000-0010-0000-1700-000009000000}" name="Italian Total" totalsRowFunction="sum" dataDxfId="593" totalsRowDxfId="592"/>
    <tableColumn id="10" xr3:uid="{00000000-0010-0000-1700-00000A000000}" name="Japanese Total" totalsRowFunction="sum" dataDxfId="591" totalsRowDxfId="590"/>
    <tableColumn id="11" xr3:uid="{00000000-0010-0000-1700-00000B000000}" name="Korean Total" totalsRowFunction="sum" dataDxfId="589" totalsRowDxfId="588"/>
    <tableColumn id="12" xr3:uid="{00000000-0010-0000-1700-00000C000000}" name="Latin Total" totalsRowFunction="sum" dataDxfId="587" totalsRowDxfId="586"/>
    <tableColumn id="13" xr3:uid="{00000000-0010-0000-1700-00000D000000}" name="Mandarin Total" totalsRowFunction="sum" dataDxfId="585" totalsRowDxfId="584"/>
    <tableColumn id="14" xr3:uid="{00000000-0010-0000-1700-00000E000000}" name="Spanish Total" totalsRowFunction="sum" dataDxfId="583" totalsRowDxfId="582"/>
    <tableColumn id="15" xr3:uid="{00000000-0010-0000-1700-00000F000000}" name="Tagalog (Filipino) Total" totalsRowFunction="sum" dataDxfId="581" totalsRowDxfId="580"/>
    <tableColumn id="16" xr3:uid="{00000000-0010-0000-1700-000010000000}" name="Vietnamese Total" totalsRowFunction="sum" dataDxfId="579" totalsRowDxfId="578"/>
    <tableColumn id="17" xr3:uid="{00000000-0010-0000-1700-000011000000}" name="Other Total" totalsRowFunction="sum" dataDxfId="577" totalsRowDxfId="576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Monterey county and also includes language totals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8000000}" name="Table26" displayName="Table26" ref="A2:Q6" totalsRowCount="1" headerRowDxfId="575">
  <autoFilter ref="A2:Q5" xr:uid="{00000000-0009-0000-0100-00001A000000}"/>
  <tableColumns count="17">
    <tableColumn id="1" xr3:uid="{00000000-0010-0000-1800-000001000000}" name="Participating Districts" totalsRowLabel="Total: 3"/>
    <tableColumn id="2" xr3:uid="{00000000-0010-0000-1800-000002000000}" name="Participating Schools" totalsRowLabel="6" totalsRowDxfId="574"/>
    <tableColumn id="3" xr3:uid="{00000000-0010-0000-1800-000003000000}" name="American Sign Language Total" totalsRowFunction="sum"/>
    <tableColumn id="4" xr3:uid="{00000000-0010-0000-1800-000004000000}" name="Arabic Total" totalsRowFunction="sum"/>
    <tableColumn id="5" xr3:uid="{00000000-0010-0000-1800-000005000000}" name="Cantonese Total" totalsRowFunction="sum"/>
    <tableColumn id="6" xr3:uid="{00000000-0010-0000-1800-000006000000}" name="French Total" totalsRowFunction="sum"/>
    <tableColumn id="7" xr3:uid="{00000000-0010-0000-1800-000007000000}" name="German Total" totalsRowFunction="sum"/>
    <tableColumn id="8" xr3:uid="{00000000-0010-0000-1800-000008000000}" name="Hmong Total" totalsRowFunction="sum"/>
    <tableColumn id="9" xr3:uid="{00000000-0010-0000-1800-000009000000}" name="Italian Total" totalsRowFunction="sum"/>
    <tableColumn id="10" xr3:uid="{00000000-0010-0000-1800-00000A000000}" name="Japanese Total" totalsRowFunction="sum"/>
    <tableColumn id="11" xr3:uid="{00000000-0010-0000-1800-00000B000000}" name="Korean Total" totalsRowFunction="sum"/>
    <tableColumn id="12" xr3:uid="{00000000-0010-0000-1800-00000C000000}" name="Latin Total" totalsRowFunction="sum"/>
    <tableColumn id="13" xr3:uid="{00000000-0010-0000-1800-00000D000000}" name="Mandarin Total" totalsRowFunction="sum"/>
    <tableColumn id="14" xr3:uid="{00000000-0010-0000-1800-00000E000000}" name="Spanish Total" totalsRowFunction="sum"/>
    <tableColumn id="15" xr3:uid="{00000000-0010-0000-1800-00000F000000}" name="Tagalog (Filipino) Total" totalsRowFunction="sum"/>
    <tableColumn id="16" xr3:uid="{00000000-0010-0000-1800-000010000000}" name="Vietnamese Total" totalsRowFunction="sum"/>
    <tableColumn id="17" xr3:uid="{00000000-0010-0000-18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Napa county and also includes language totals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Table27" displayName="Table27" ref="A2:Q4" totalsRowCount="1" headerRowDxfId="573" dataDxfId="572">
  <autoFilter ref="A2:Q3" xr:uid="{00000000-0009-0000-0100-00001B000000}"/>
  <tableColumns count="17">
    <tableColumn id="1" xr3:uid="{00000000-0010-0000-1900-000001000000}" name="Participating District" totalsRowLabel="Total: 1" dataDxfId="571"/>
    <tableColumn id="2" xr3:uid="{00000000-0010-0000-1900-000002000000}" name="Participating Schools" totalsRowLabel="3" dataDxfId="570" totalsRowDxfId="569"/>
    <tableColumn id="3" xr3:uid="{00000000-0010-0000-1900-000003000000}" name="American Sign Language Total" totalsRowFunction="sum" dataDxfId="568"/>
    <tableColumn id="4" xr3:uid="{00000000-0010-0000-1900-000004000000}" name="Arabic Total" totalsRowFunction="sum" dataDxfId="567"/>
    <tableColumn id="5" xr3:uid="{00000000-0010-0000-1900-000005000000}" name="Cantonese Total" totalsRowFunction="sum" dataDxfId="566"/>
    <tableColumn id="6" xr3:uid="{00000000-0010-0000-1900-000006000000}" name="French Total" totalsRowFunction="sum" dataDxfId="565"/>
    <tableColumn id="7" xr3:uid="{00000000-0010-0000-1900-000007000000}" name="German Total" totalsRowFunction="sum" dataDxfId="564"/>
    <tableColumn id="8" xr3:uid="{00000000-0010-0000-1900-000008000000}" name="Hmong Total" totalsRowFunction="sum" dataDxfId="563"/>
    <tableColumn id="9" xr3:uid="{00000000-0010-0000-1900-000009000000}" name="Italian Total" totalsRowFunction="sum" dataDxfId="562"/>
    <tableColumn id="10" xr3:uid="{00000000-0010-0000-1900-00000A000000}" name="Japanese Total" totalsRowFunction="sum" dataDxfId="561"/>
    <tableColumn id="11" xr3:uid="{00000000-0010-0000-1900-00000B000000}" name="Korean Total" totalsRowFunction="sum" dataDxfId="560"/>
    <tableColumn id="12" xr3:uid="{00000000-0010-0000-1900-00000C000000}" name="Latin Total" totalsRowFunction="sum" dataDxfId="559"/>
    <tableColumn id="13" xr3:uid="{00000000-0010-0000-1900-00000D000000}" name="Mandarin Total" totalsRowFunction="sum" dataDxfId="558"/>
    <tableColumn id="14" xr3:uid="{00000000-0010-0000-1900-00000E000000}" name="Spanish Total" totalsRowFunction="sum" dataDxfId="557"/>
    <tableColumn id="15" xr3:uid="{00000000-0010-0000-1900-00000F000000}" name="Tagalog (Filipino) Total" totalsRowFunction="sum" dataDxfId="556"/>
    <tableColumn id="16" xr3:uid="{00000000-0010-0000-1900-000010000000}" name="Vietnamese Total" totalsRowFunction="sum" dataDxfId="555"/>
    <tableColumn id="17" xr3:uid="{00000000-0010-0000-1900-000011000000}" name="Other Total" totalsRowFunction="sum" dataDxfId="554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Nevada county and also includes language totals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Table28" displayName="Table28" ref="A2:Q19" totalsRowCount="1" headerRowDxfId="553" dataDxfId="552">
  <autoFilter ref="A2:Q18" xr:uid="{00000000-0009-0000-0100-00001C000000}"/>
  <tableColumns count="17">
    <tableColumn id="1" xr3:uid="{00000000-0010-0000-1A00-000001000000}" name="Participating Districts" totalsRowLabel="Total: 16" dataDxfId="551"/>
    <tableColumn id="2" xr3:uid="{00000000-0010-0000-1A00-000002000000}" name="Participating Schools" totalsRowLabel="70" dataDxfId="550" totalsRowDxfId="549"/>
    <tableColumn id="3" xr3:uid="{00000000-0010-0000-1A00-000003000000}" name="American Sign Language Total" totalsRowFunction="sum" dataDxfId="548" totalsRowDxfId="547"/>
    <tableColumn id="4" xr3:uid="{00000000-0010-0000-1A00-000004000000}" name="Arabic Total" totalsRowFunction="sum" dataDxfId="546" totalsRowDxfId="545"/>
    <tableColumn id="5" xr3:uid="{00000000-0010-0000-1A00-000005000000}" name="Cantonese Total" totalsRowFunction="sum" dataDxfId="544" totalsRowDxfId="543"/>
    <tableColumn id="6" xr3:uid="{00000000-0010-0000-1A00-000006000000}" name="French Total" totalsRowFunction="sum" dataDxfId="542" totalsRowDxfId="541"/>
    <tableColumn id="7" xr3:uid="{00000000-0010-0000-1A00-000007000000}" name="German Total" totalsRowFunction="sum" dataDxfId="540" totalsRowDxfId="539"/>
    <tableColumn id="8" xr3:uid="{00000000-0010-0000-1A00-000008000000}" name="Hmong Total" totalsRowFunction="sum" dataDxfId="538" totalsRowDxfId="537"/>
    <tableColumn id="9" xr3:uid="{00000000-0010-0000-1A00-000009000000}" name="Italian Total" totalsRowFunction="sum" dataDxfId="536" totalsRowDxfId="535"/>
    <tableColumn id="10" xr3:uid="{00000000-0010-0000-1A00-00000A000000}" name="Japanese Total" totalsRowFunction="sum" dataDxfId="534" totalsRowDxfId="533"/>
    <tableColumn id="11" xr3:uid="{00000000-0010-0000-1A00-00000B000000}" name="Korean Total" totalsRowFunction="sum" dataDxfId="532" totalsRowDxfId="531"/>
    <tableColumn id="12" xr3:uid="{00000000-0010-0000-1A00-00000C000000}" name="Latin Total" totalsRowFunction="sum" dataDxfId="530" totalsRowDxfId="529"/>
    <tableColumn id="13" xr3:uid="{00000000-0010-0000-1A00-00000D000000}" name="Mandarin Total" totalsRowFunction="sum" dataDxfId="528" totalsRowDxfId="527"/>
    <tableColumn id="14" xr3:uid="{00000000-0010-0000-1A00-00000E000000}" name="Spanish Total" totalsRowFunction="sum" dataDxfId="526" totalsRowDxfId="525"/>
    <tableColumn id="15" xr3:uid="{00000000-0010-0000-1A00-00000F000000}" name="Tagalog (Filipino) Total" totalsRowFunction="sum" dataDxfId="524" totalsRowDxfId="523"/>
    <tableColumn id="16" xr3:uid="{00000000-0010-0000-1A00-000010000000}" name="Vietnamese Total" totalsRowFunction="sum" dataDxfId="522" totalsRowDxfId="521"/>
    <tableColumn id="17" xr3:uid="{00000000-0010-0000-1A00-000011000000}" name="Other Total" totalsRowFunction="sum" dataDxfId="520" totalsRowDxfId="519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Orange county and also includes language totals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B000000}" name="Table29" displayName="Table29" ref="A2:Q8" totalsRowCount="1" headerRowDxfId="518" dataDxfId="517">
  <autoFilter ref="A2:Q7" xr:uid="{00000000-0009-0000-0100-00001D000000}"/>
  <tableColumns count="17">
    <tableColumn id="1" xr3:uid="{00000000-0010-0000-1B00-000001000000}" name="Participating Districts" totalsRowLabel="Total: 5" dataDxfId="516"/>
    <tableColumn id="2" xr3:uid="{00000000-0010-0000-1B00-000002000000}" name="Participating Schools" totalsRowLabel="14" dataDxfId="515" totalsRowDxfId="514"/>
    <tableColumn id="3" xr3:uid="{00000000-0010-0000-1B00-000003000000}" name="American Sign Language Total" totalsRowFunction="sum" dataDxfId="513"/>
    <tableColumn id="4" xr3:uid="{00000000-0010-0000-1B00-000004000000}" name="Arabic Total" totalsRowFunction="sum" dataDxfId="512"/>
    <tableColumn id="5" xr3:uid="{00000000-0010-0000-1B00-000005000000}" name="Cantonese Total" totalsRowFunction="sum" dataDxfId="511"/>
    <tableColumn id="6" xr3:uid="{00000000-0010-0000-1B00-000006000000}" name="French Total" totalsRowFunction="sum" dataDxfId="510"/>
    <tableColumn id="7" xr3:uid="{00000000-0010-0000-1B00-000007000000}" name="German Total" totalsRowFunction="sum" dataDxfId="509"/>
    <tableColumn id="8" xr3:uid="{00000000-0010-0000-1B00-000008000000}" name="Hmong Total" totalsRowFunction="sum" dataDxfId="508"/>
    <tableColumn id="9" xr3:uid="{00000000-0010-0000-1B00-000009000000}" name="Italian Total" totalsRowFunction="sum" dataDxfId="507"/>
    <tableColumn id="10" xr3:uid="{00000000-0010-0000-1B00-00000A000000}" name="Japanese Total" totalsRowFunction="sum" dataDxfId="506"/>
    <tableColumn id="11" xr3:uid="{00000000-0010-0000-1B00-00000B000000}" name="Korean Total" totalsRowFunction="sum" dataDxfId="505"/>
    <tableColumn id="12" xr3:uid="{00000000-0010-0000-1B00-00000C000000}" name="Latin Total" totalsRowFunction="sum" dataDxfId="504"/>
    <tableColumn id="13" xr3:uid="{00000000-0010-0000-1B00-00000D000000}" name="Mandarin Total" totalsRowFunction="sum" dataDxfId="503"/>
    <tableColumn id="14" xr3:uid="{00000000-0010-0000-1B00-00000E000000}" name="Spanish Total" totalsRowFunction="sum" dataDxfId="502"/>
    <tableColumn id="15" xr3:uid="{00000000-0010-0000-1B00-00000F000000}" name="Tagalog (Filipino) Total" totalsRowFunction="sum" dataDxfId="501"/>
    <tableColumn id="16" xr3:uid="{00000000-0010-0000-1B00-000010000000}" name="Vietnamese Total" totalsRowFunction="sum" dataDxfId="500"/>
    <tableColumn id="17" xr3:uid="{00000000-0010-0000-1B00-000011000000}" name="Other Total" totalsRowFunction="sum" dataDxfId="499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Placer county and also includes language totals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C000000}" name="Table31" displayName="Table31" ref="A2:Q4" totalsRowCount="1" headerRowDxfId="498">
  <autoFilter ref="A2:Q3" xr:uid="{00000000-0009-0000-0100-00001E000000}"/>
  <tableColumns count="17">
    <tableColumn id="1" xr3:uid="{00000000-0010-0000-1C00-000001000000}" name="Participating District" totalsRowLabel="Total: 1"/>
    <tableColumn id="2" xr3:uid="{00000000-0010-0000-1C00-000002000000}" name="Participating School" totalsRowLabel="1" totalsRowDxfId="497"/>
    <tableColumn id="3" xr3:uid="{00000000-0010-0000-1C00-000003000000}" name="American Sign Language Total" totalsRowFunction="sum"/>
    <tableColumn id="4" xr3:uid="{00000000-0010-0000-1C00-000004000000}" name="Arabic Total" totalsRowFunction="sum"/>
    <tableColumn id="5" xr3:uid="{00000000-0010-0000-1C00-000005000000}" name="Cantonese Total" totalsRowFunction="sum"/>
    <tableColumn id="6" xr3:uid="{00000000-0010-0000-1C00-000006000000}" name="French Total" totalsRowFunction="sum"/>
    <tableColumn id="7" xr3:uid="{00000000-0010-0000-1C00-000007000000}" name="German Total" totalsRowFunction="sum"/>
    <tableColumn id="8" xr3:uid="{00000000-0010-0000-1C00-000008000000}" name="Hmong Total" totalsRowFunction="sum"/>
    <tableColumn id="9" xr3:uid="{00000000-0010-0000-1C00-000009000000}" name="Italian Total" totalsRowFunction="sum"/>
    <tableColumn id="10" xr3:uid="{00000000-0010-0000-1C00-00000A000000}" name="Japanese Total" totalsRowFunction="sum"/>
    <tableColumn id="11" xr3:uid="{00000000-0010-0000-1C00-00000B000000}" name="Korean Total" totalsRowFunction="sum"/>
    <tableColumn id="12" xr3:uid="{00000000-0010-0000-1C00-00000C000000}" name="Latin Total" totalsRowFunction="sum"/>
    <tableColumn id="13" xr3:uid="{00000000-0010-0000-1C00-00000D000000}" name="Mandarin Total" totalsRowFunction="sum"/>
    <tableColumn id="14" xr3:uid="{00000000-0010-0000-1C00-00000E000000}" name="Spanish Total" totalsRowFunction="sum"/>
    <tableColumn id="15" xr3:uid="{00000000-0010-0000-1C00-00000F000000}" name="Tagalog (Filipino) Total" totalsRowFunction="sum"/>
    <tableColumn id="16" xr3:uid="{00000000-0010-0000-1C00-000010000000}" name="Vietnamese Total" totalsRowFunction="sum"/>
    <tableColumn id="17" xr3:uid="{00000000-0010-0000-1C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Plumas county and also includes language tota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2:Q4" totalsRowCount="1" headerRowDxfId="860" dataDxfId="859">
  <autoFilter ref="A2:Q3" xr:uid="{00000000-0009-0000-0100-000004000000}"/>
  <tableColumns count="17">
    <tableColumn id="1" xr3:uid="{00000000-0010-0000-0200-000001000000}" name="Participating District" totalsRowLabel="Total: 1" dataDxfId="858"/>
    <tableColumn id="2" xr3:uid="{00000000-0010-0000-0200-000002000000}" name="Participating Schools" totalsRowLabel="2" dataDxfId="857" totalsRowDxfId="856"/>
    <tableColumn id="3" xr3:uid="{00000000-0010-0000-0200-000003000000}" name="American Sign Language Total" totalsRowFunction="sum" dataDxfId="855"/>
    <tableColumn id="4" xr3:uid="{00000000-0010-0000-0200-000004000000}" name="Arabic Total" totalsRowFunction="sum" dataDxfId="854"/>
    <tableColumn id="5" xr3:uid="{00000000-0010-0000-0200-000005000000}" name="Cantonese Total" totalsRowFunction="sum" dataDxfId="853"/>
    <tableColumn id="6" xr3:uid="{00000000-0010-0000-0200-000006000000}" name="French Total" totalsRowFunction="sum" dataDxfId="852"/>
    <tableColumn id="7" xr3:uid="{00000000-0010-0000-0200-000007000000}" name="German Total" totalsRowFunction="sum" dataDxfId="851"/>
    <tableColumn id="8" xr3:uid="{00000000-0010-0000-0200-000008000000}" name="Hmong Total" totalsRowFunction="sum" dataDxfId="850"/>
    <tableColumn id="9" xr3:uid="{00000000-0010-0000-0200-000009000000}" name="Italian Total" totalsRowFunction="sum" dataDxfId="849"/>
    <tableColumn id="10" xr3:uid="{00000000-0010-0000-0200-00000A000000}" name="Japanese Total" totalsRowFunction="sum" dataDxfId="848"/>
    <tableColumn id="11" xr3:uid="{00000000-0010-0000-0200-00000B000000}" name="Korean Total" totalsRowFunction="sum" dataDxfId="847"/>
    <tableColumn id="12" xr3:uid="{00000000-0010-0000-0200-00000C000000}" name="Latin Total" totalsRowFunction="sum" dataDxfId="846"/>
    <tableColumn id="13" xr3:uid="{00000000-0010-0000-0200-00000D000000}" name="Mandarin Total" totalsRowFunction="sum" dataDxfId="845"/>
    <tableColumn id="14" xr3:uid="{00000000-0010-0000-0200-00000E000000}" name="Spanish Total" totalsRowFunction="sum" dataDxfId="844"/>
    <tableColumn id="15" xr3:uid="{00000000-0010-0000-0200-00000F000000}" name="Tagalog (Filipino) Total" totalsRowFunction="sum" dataDxfId="843"/>
    <tableColumn id="16" xr3:uid="{00000000-0010-0000-0200-000010000000}" name="Vietnamese Total" totalsRowFunction="sum" dataDxfId="842"/>
    <tableColumn id="17" xr3:uid="{00000000-0010-0000-0200-000011000000}" name="Other Total" totalsRowFunction="sum" dataDxfId="841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Amador county and also includes language totals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D000000}" name="Table32" displayName="Table32" ref="A2:Q23" totalsRowCount="1" headerRowDxfId="496" dataDxfId="495">
  <autoFilter ref="A2:Q22" xr:uid="{00000000-0009-0000-0100-00001F000000}"/>
  <tableColumns count="17">
    <tableColumn id="1" xr3:uid="{00000000-0010-0000-1D00-000001000000}" name="Participating Districts" totalsRowLabel="Total: 20" dataDxfId="494"/>
    <tableColumn id="2" xr3:uid="{00000000-0010-0000-1D00-000002000000}" name="Participating Schools" totalsRowLabel="61" dataDxfId="493" totalsRowDxfId="492"/>
    <tableColumn id="3" xr3:uid="{00000000-0010-0000-1D00-000003000000}" name="American Sign Language Total" totalsRowFunction="sum" dataDxfId="491" totalsRowDxfId="490"/>
    <tableColumn id="4" xr3:uid="{00000000-0010-0000-1D00-000004000000}" name="Arabic Total" totalsRowFunction="sum" dataDxfId="489" totalsRowDxfId="488"/>
    <tableColumn id="5" xr3:uid="{00000000-0010-0000-1D00-000005000000}" name="Cantonese Total" totalsRowFunction="sum" dataDxfId="487" totalsRowDxfId="486"/>
    <tableColumn id="6" xr3:uid="{00000000-0010-0000-1D00-000006000000}" name="French Total" totalsRowFunction="sum" dataDxfId="485" totalsRowDxfId="484"/>
    <tableColumn id="7" xr3:uid="{00000000-0010-0000-1D00-000007000000}" name="German Total" totalsRowFunction="sum" dataDxfId="483" totalsRowDxfId="482"/>
    <tableColumn id="8" xr3:uid="{00000000-0010-0000-1D00-000008000000}" name="Hmong Total" totalsRowFunction="sum" dataDxfId="481" totalsRowDxfId="480"/>
    <tableColumn id="9" xr3:uid="{00000000-0010-0000-1D00-000009000000}" name="Italian Total" totalsRowFunction="sum" dataDxfId="479" totalsRowDxfId="478"/>
    <tableColumn id="10" xr3:uid="{00000000-0010-0000-1D00-00000A000000}" name="Japanese Total" totalsRowFunction="sum" dataDxfId="477" totalsRowDxfId="476"/>
    <tableColumn id="11" xr3:uid="{00000000-0010-0000-1D00-00000B000000}" name="Korean Total" totalsRowFunction="sum" dataDxfId="475" totalsRowDxfId="474"/>
    <tableColumn id="12" xr3:uid="{00000000-0010-0000-1D00-00000C000000}" name="Latin Total" totalsRowFunction="sum" dataDxfId="473" totalsRowDxfId="472"/>
    <tableColumn id="13" xr3:uid="{00000000-0010-0000-1D00-00000D000000}" name="Mandarin Total" totalsRowFunction="sum" dataDxfId="471" totalsRowDxfId="470"/>
    <tableColumn id="14" xr3:uid="{00000000-0010-0000-1D00-00000E000000}" name="Spanish Total" totalsRowFunction="sum" dataDxfId="469" totalsRowDxfId="468"/>
    <tableColumn id="15" xr3:uid="{00000000-0010-0000-1D00-00000F000000}" name="Tagalog (Filipino) Total" totalsRowFunction="sum" dataDxfId="467" totalsRowDxfId="466"/>
    <tableColumn id="16" xr3:uid="{00000000-0010-0000-1D00-000010000000}" name="Vietnamese Total" totalsRowFunction="sum" dataDxfId="465" totalsRowDxfId="464"/>
    <tableColumn id="17" xr3:uid="{00000000-0010-0000-1D00-000011000000}" name="Other Total" totalsRowFunction="sum" dataDxfId="463" totalsRowDxfId="462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Riverside county and also includes language totals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E000000}" name="Table33" displayName="Table33" ref="A2:Q11" totalsRowCount="1" headerRowDxfId="461" dataDxfId="460">
  <autoFilter ref="A2:Q10" xr:uid="{00000000-0009-0000-0100-000020000000}"/>
  <tableColumns count="17">
    <tableColumn id="1" xr3:uid="{00000000-0010-0000-1E00-000001000000}" name="Participating Districts" totalsRowLabel="Total: 8" dataDxfId="459"/>
    <tableColumn id="2" xr3:uid="{00000000-0010-0000-1E00-000002000000}" name="Participating Schools" totalsRowLabel="51" dataDxfId="458" totalsRowDxfId="457"/>
    <tableColumn id="3" xr3:uid="{00000000-0010-0000-1E00-000003000000}" name="American Sign Language Total" totalsRowFunction="sum" dataDxfId="456"/>
    <tableColumn id="4" xr3:uid="{00000000-0010-0000-1E00-000004000000}" name="Arabic Total" totalsRowFunction="sum" dataDxfId="455"/>
    <tableColumn id="5" xr3:uid="{00000000-0010-0000-1E00-000005000000}" name="Cantonese Total" totalsRowFunction="sum" dataDxfId="454"/>
    <tableColumn id="6" xr3:uid="{00000000-0010-0000-1E00-000006000000}" name="French Total" totalsRowFunction="sum" dataDxfId="453"/>
    <tableColumn id="7" xr3:uid="{00000000-0010-0000-1E00-000007000000}" name="German Total" totalsRowFunction="sum" dataDxfId="452"/>
    <tableColumn id="8" xr3:uid="{00000000-0010-0000-1E00-000008000000}" name="Hmong Total" totalsRowFunction="sum" dataDxfId="451"/>
    <tableColumn id="9" xr3:uid="{00000000-0010-0000-1E00-000009000000}" name="Italian Total" totalsRowFunction="sum" dataDxfId="450"/>
    <tableColumn id="10" xr3:uid="{00000000-0010-0000-1E00-00000A000000}" name="Japanese Total" totalsRowFunction="sum" dataDxfId="449"/>
    <tableColumn id="11" xr3:uid="{00000000-0010-0000-1E00-00000B000000}" name="Korean Total" totalsRowFunction="sum" dataDxfId="448"/>
    <tableColumn id="12" xr3:uid="{00000000-0010-0000-1E00-00000C000000}" name="Latin Total" totalsRowFunction="sum" dataDxfId="447"/>
    <tableColumn id="13" xr3:uid="{00000000-0010-0000-1E00-00000D000000}" name="Mandarin Total" totalsRowFunction="sum" dataDxfId="446"/>
    <tableColumn id="14" xr3:uid="{00000000-0010-0000-1E00-00000E000000}" name="Spanish Total" totalsRowFunction="sum" dataDxfId="445"/>
    <tableColumn id="15" xr3:uid="{00000000-0010-0000-1E00-00000F000000}" name="Tagalog (Filipino) Total" totalsRowFunction="sum" dataDxfId="444"/>
    <tableColumn id="16" xr3:uid="{00000000-0010-0000-1E00-000010000000}" name="Vietnamese Total" totalsRowFunction="sum" dataDxfId="443"/>
    <tableColumn id="17" xr3:uid="{00000000-0010-0000-1E00-000011000000}" name="Other Total" totalsRowFunction="sum" dataDxfId="442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cramento county and also includes language totals.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F000000}" name="Table34" displayName="Table34" ref="A2:Q4" totalsRowCount="1" headerRowDxfId="441">
  <autoFilter ref="A2:Q3" xr:uid="{00000000-0009-0000-0100-000021000000}"/>
  <tableColumns count="17">
    <tableColumn id="1" xr3:uid="{00000000-0010-0000-1F00-000001000000}" name="Participating District" totalsRowLabel="Total: 1"/>
    <tableColumn id="2" xr3:uid="{00000000-0010-0000-1F00-000002000000}" name="Participating School" totalsRowLabel="1" totalsRowDxfId="440"/>
    <tableColumn id="3" xr3:uid="{00000000-0010-0000-1F00-000003000000}" name="American Sign Language Total" totalsRowFunction="sum"/>
    <tableColumn id="4" xr3:uid="{00000000-0010-0000-1F00-000004000000}" name="Arabic Total" totalsRowFunction="sum"/>
    <tableColumn id="5" xr3:uid="{00000000-0010-0000-1F00-000005000000}" name="Cantonese Total" totalsRowFunction="sum"/>
    <tableColumn id="6" xr3:uid="{00000000-0010-0000-1F00-000006000000}" name="French Total" totalsRowFunction="sum"/>
    <tableColumn id="7" xr3:uid="{00000000-0010-0000-1F00-000007000000}" name="German Total" totalsRowFunction="sum"/>
    <tableColumn id="8" xr3:uid="{00000000-0010-0000-1F00-000008000000}" name="Hmong Total" totalsRowFunction="sum"/>
    <tableColumn id="9" xr3:uid="{00000000-0010-0000-1F00-000009000000}" name="Italian Total" totalsRowFunction="sum"/>
    <tableColumn id="10" xr3:uid="{00000000-0010-0000-1F00-00000A000000}" name="Japanese Total" totalsRowFunction="sum"/>
    <tableColumn id="11" xr3:uid="{00000000-0010-0000-1F00-00000B000000}" name="Korean Total" totalsRowFunction="sum"/>
    <tableColumn id="12" xr3:uid="{00000000-0010-0000-1F00-00000C000000}" name="Latin Total" totalsRowFunction="sum"/>
    <tableColumn id="13" xr3:uid="{00000000-0010-0000-1F00-00000D000000}" name="Mandarin Total" totalsRowFunction="sum"/>
    <tableColumn id="14" xr3:uid="{00000000-0010-0000-1F00-00000E000000}" name="Spanish Total" totalsRowFunction="sum"/>
    <tableColumn id="15" xr3:uid="{00000000-0010-0000-1F00-00000F000000}" name="Tagalog (Filipino) Total" totalsRowFunction="sum"/>
    <tableColumn id="16" xr3:uid="{00000000-0010-0000-1F00-000010000000}" name="Vietnamese Total" totalsRowFunction="sum"/>
    <tableColumn id="17" xr3:uid="{00000000-0010-0000-1F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 Benito county and also includes language totals.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0000000}" name="Table35" displayName="Table35" ref="A2:Q23" totalsRowCount="1" headerRowDxfId="439" dataDxfId="438">
  <autoFilter ref="A2:Q22" xr:uid="{00000000-0009-0000-0100-000022000000}"/>
  <tableColumns count="17">
    <tableColumn id="1" xr3:uid="{00000000-0010-0000-2000-000001000000}" name="Participating Districts" totalsRowLabel="Total: 20" dataDxfId="437" totalsRowDxfId="436"/>
    <tableColumn id="2" xr3:uid="{00000000-0010-0000-2000-000002000000}" name="Participating Schools" totalsRowLabel="53" dataDxfId="435" totalsRowDxfId="434"/>
    <tableColumn id="3" xr3:uid="{00000000-0010-0000-2000-000003000000}" name="American Sign Language Total" totalsRowFunction="sum" dataDxfId="433" totalsRowDxfId="432"/>
    <tableColumn id="4" xr3:uid="{00000000-0010-0000-2000-000004000000}" name="Arabic Total" totalsRowFunction="sum" dataDxfId="431" totalsRowDxfId="430"/>
    <tableColumn id="5" xr3:uid="{00000000-0010-0000-2000-000005000000}" name="Cantonese Total" totalsRowFunction="sum" dataDxfId="429" totalsRowDxfId="428"/>
    <tableColumn id="6" xr3:uid="{00000000-0010-0000-2000-000006000000}" name="French Total" totalsRowFunction="sum" dataDxfId="427" totalsRowDxfId="426"/>
    <tableColumn id="7" xr3:uid="{00000000-0010-0000-2000-000007000000}" name="German Total" totalsRowFunction="sum" dataDxfId="425" totalsRowDxfId="424"/>
    <tableColumn id="8" xr3:uid="{00000000-0010-0000-2000-000008000000}" name="Hmong Total" totalsRowFunction="sum" dataDxfId="423" totalsRowDxfId="422"/>
    <tableColumn id="9" xr3:uid="{00000000-0010-0000-2000-000009000000}" name="Italian Total" totalsRowFunction="sum" dataDxfId="421" totalsRowDxfId="420"/>
    <tableColumn id="10" xr3:uid="{00000000-0010-0000-2000-00000A000000}" name="Japanese Total" totalsRowFunction="sum" dataDxfId="419" totalsRowDxfId="418"/>
    <tableColumn id="11" xr3:uid="{00000000-0010-0000-2000-00000B000000}" name="Korean Total" totalsRowFunction="sum" dataDxfId="417" totalsRowDxfId="416"/>
    <tableColumn id="12" xr3:uid="{00000000-0010-0000-2000-00000C000000}" name="Latin Total" totalsRowFunction="sum" dataDxfId="415" totalsRowDxfId="414"/>
    <tableColumn id="13" xr3:uid="{00000000-0010-0000-2000-00000D000000}" name="Mandarin Total" totalsRowFunction="sum" dataDxfId="413" totalsRowDxfId="412"/>
    <tableColumn id="14" xr3:uid="{00000000-0010-0000-2000-00000E000000}" name="Spanish Total" totalsRowFunction="sum" dataDxfId="411" totalsRowDxfId="410"/>
    <tableColumn id="15" xr3:uid="{00000000-0010-0000-2000-00000F000000}" name="Tagalog (Filipino) Total" totalsRowFunction="sum" dataDxfId="409" totalsRowDxfId="408"/>
    <tableColumn id="16" xr3:uid="{00000000-0010-0000-2000-000010000000}" name="Vietnamese Total" totalsRowFunction="sum" dataDxfId="407" totalsRowDxfId="406"/>
    <tableColumn id="17" xr3:uid="{00000000-0010-0000-2000-000011000000}" name="Other Total" totalsRowFunction="sum" dataDxfId="405" totalsRowDxfId="404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 Bernardino county and also includes language totals.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1000000}" name="Table36" displayName="Table36" ref="A2:Q22" totalsRowCount="1" headerRowDxfId="403" dataDxfId="402">
  <autoFilter ref="A2:Q21" xr:uid="{00000000-0009-0000-0100-000023000000}"/>
  <tableColumns count="17">
    <tableColumn id="1" xr3:uid="{00000000-0010-0000-2100-000001000000}" name="Participating Districts" totalsRowLabel="Total: 19" dataDxfId="401"/>
    <tableColumn id="2" xr3:uid="{00000000-0010-0000-2100-000002000000}" name="Participating Schools" totalsRowLabel="82" dataDxfId="400" totalsRowDxfId="399"/>
    <tableColumn id="3" xr3:uid="{00000000-0010-0000-2100-000003000000}" name="American Sign Language Total" totalsRowFunction="sum" dataDxfId="398" totalsRowDxfId="397"/>
    <tableColumn id="4" xr3:uid="{00000000-0010-0000-2100-000004000000}" name="Arabic Total" totalsRowFunction="sum" dataDxfId="396" totalsRowDxfId="395"/>
    <tableColumn id="5" xr3:uid="{00000000-0010-0000-2100-000005000000}" name="Cantonese Total" totalsRowFunction="sum" dataDxfId="394" totalsRowDxfId="393"/>
    <tableColumn id="6" xr3:uid="{00000000-0010-0000-2100-000006000000}" name="French Total" totalsRowFunction="sum" dataDxfId="392" totalsRowDxfId="391"/>
    <tableColumn id="7" xr3:uid="{00000000-0010-0000-2100-000007000000}" name="German Total" totalsRowFunction="sum" dataDxfId="390" totalsRowDxfId="389"/>
    <tableColumn id="8" xr3:uid="{00000000-0010-0000-2100-000008000000}" name="Hmong Total" totalsRowFunction="sum" dataDxfId="388" totalsRowDxfId="387"/>
    <tableColumn id="9" xr3:uid="{00000000-0010-0000-2100-000009000000}" name="Italian Total" totalsRowFunction="sum" dataDxfId="386" totalsRowDxfId="385"/>
    <tableColumn id="10" xr3:uid="{00000000-0010-0000-2100-00000A000000}" name="Japanese Total" totalsRowFunction="sum" dataDxfId="384" totalsRowDxfId="383"/>
    <tableColumn id="11" xr3:uid="{00000000-0010-0000-2100-00000B000000}" name="Korean Total" totalsRowFunction="sum" dataDxfId="382" totalsRowDxfId="381"/>
    <tableColumn id="12" xr3:uid="{00000000-0010-0000-2100-00000C000000}" name="Latin Total" totalsRowFunction="sum" dataDxfId="380" totalsRowDxfId="379"/>
    <tableColumn id="13" xr3:uid="{00000000-0010-0000-2100-00000D000000}" name="Mandarin Total" totalsRowFunction="sum" dataDxfId="378" totalsRowDxfId="377"/>
    <tableColumn id="14" xr3:uid="{00000000-0010-0000-2100-00000E000000}" name="Spanish Total" totalsRowFunction="sum" dataDxfId="376" totalsRowDxfId="375"/>
    <tableColumn id="15" xr3:uid="{00000000-0010-0000-2100-00000F000000}" name="Tagalog (Filipino) Total" totalsRowFunction="sum" dataDxfId="374" totalsRowDxfId="373"/>
    <tableColumn id="16" xr3:uid="{00000000-0010-0000-2100-000010000000}" name="Vietnamese Total" totalsRowFunction="sum" dataDxfId="372" totalsRowDxfId="371"/>
    <tableColumn id="17" xr3:uid="{00000000-0010-0000-2100-000011000000}" name="Other Total" totalsRowFunction="sum" dataDxfId="370" totalsRowDxfId="369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 Diego county and also includes language totals.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2000000}" name="Table37" displayName="Table37" ref="A2:Q4" totalsRowCount="1" headerRowDxfId="368" dataDxfId="367">
  <autoFilter ref="A2:Q3" xr:uid="{00000000-0009-0000-0100-000024000000}"/>
  <tableColumns count="17">
    <tableColumn id="1" xr3:uid="{00000000-0010-0000-2200-000001000000}" name="Participating District" totalsRowLabel="Total: 1" dataDxfId="366"/>
    <tableColumn id="2" xr3:uid="{00000000-0010-0000-2200-000002000000}" name="Participating Schools" totalsRowLabel="16" dataDxfId="365" totalsRowDxfId="364"/>
    <tableColumn id="3" xr3:uid="{00000000-0010-0000-2200-000003000000}" name="American Sign Language Total" totalsRowFunction="sum" dataDxfId="363"/>
    <tableColumn id="4" xr3:uid="{00000000-0010-0000-2200-000004000000}" name="Arabic Total" totalsRowFunction="sum" dataDxfId="362"/>
    <tableColumn id="5" xr3:uid="{00000000-0010-0000-2200-000005000000}" name="Cantonese Total" totalsRowFunction="sum" dataDxfId="361"/>
    <tableColumn id="6" xr3:uid="{00000000-0010-0000-2200-000006000000}" name="French Total" totalsRowFunction="sum" dataDxfId="360"/>
    <tableColumn id="7" xr3:uid="{00000000-0010-0000-2200-000007000000}" name="German Total" totalsRowFunction="sum" dataDxfId="359"/>
    <tableColumn id="8" xr3:uid="{00000000-0010-0000-2200-000008000000}" name="Hmong Total" totalsRowFunction="sum" dataDxfId="358"/>
    <tableColumn id="9" xr3:uid="{00000000-0010-0000-2200-000009000000}" name="Italian Total" totalsRowFunction="sum" dataDxfId="357"/>
    <tableColumn id="10" xr3:uid="{00000000-0010-0000-2200-00000A000000}" name="Japanese Total" totalsRowFunction="sum" dataDxfId="356"/>
    <tableColumn id="11" xr3:uid="{00000000-0010-0000-2200-00000B000000}" name="Korean Total" totalsRowFunction="sum" dataDxfId="355"/>
    <tableColumn id="12" xr3:uid="{00000000-0010-0000-2200-00000C000000}" name="Latin Total" totalsRowFunction="sum" dataDxfId="354"/>
    <tableColumn id="13" xr3:uid="{00000000-0010-0000-2200-00000D000000}" name="Mandarin Total" totalsRowFunction="sum" dataDxfId="353"/>
    <tableColumn id="14" xr3:uid="{00000000-0010-0000-2200-00000E000000}" name="Spanish Total" totalsRowFunction="sum" dataDxfId="352"/>
    <tableColumn id="15" xr3:uid="{00000000-0010-0000-2200-00000F000000}" name="Tagalog (Filipino) Total" totalsRowFunction="sum" dataDxfId="351"/>
    <tableColumn id="16" xr3:uid="{00000000-0010-0000-2200-000010000000}" name="Vietnamese Total" totalsRowFunction="sum" dataDxfId="350"/>
    <tableColumn id="17" xr3:uid="{00000000-0010-0000-2200-000011000000}" name="Other Total" totalsRowFunction="sum" dataDxfId="349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 Francisco county and also includes language totals.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3000000}" name="Table38" displayName="Table38" ref="A2:Q13" totalsRowCount="1" headerRowDxfId="348">
  <autoFilter ref="A2:Q12" xr:uid="{00000000-0009-0000-0100-000025000000}"/>
  <tableColumns count="17">
    <tableColumn id="1" xr3:uid="{00000000-0010-0000-2300-000001000000}" name="Participating Districts" totalsRowLabel="Total: 10" dataDxfId="347"/>
    <tableColumn id="2" xr3:uid="{00000000-0010-0000-2300-000002000000}" name="Participating Schools" totalsRowLabel="28" dataDxfId="346" totalsRowDxfId="345"/>
    <tableColumn id="3" xr3:uid="{00000000-0010-0000-2300-000003000000}" name="American Sign Language Total" totalsRowFunction="sum" dataDxfId="344"/>
    <tableColumn id="4" xr3:uid="{00000000-0010-0000-2300-000004000000}" name="Arabic Total" totalsRowFunction="sum" dataDxfId="343"/>
    <tableColumn id="5" xr3:uid="{00000000-0010-0000-2300-000005000000}" name="Cantonese Total" totalsRowFunction="sum" dataDxfId="342"/>
    <tableColumn id="6" xr3:uid="{00000000-0010-0000-2300-000006000000}" name="French Total" totalsRowFunction="sum" dataDxfId="341"/>
    <tableColumn id="7" xr3:uid="{00000000-0010-0000-2300-000007000000}" name="German Total" totalsRowFunction="sum" dataDxfId="340"/>
    <tableColumn id="8" xr3:uid="{00000000-0010-0000-2300-000008000000}" name="Hmong Total" totalsRowFunction="sum" dataDxfId="339"/>
    <tableColumn id="9" xr3:uid="{00000000-0010-0000-2300-000009000000}" name="Italian Total" totalsRowFunction="sum" dataDxfId="338"/>
    <tableColumn id="10" xr3:uid="{00000000-0010-0000-2300-00000A000000}" name="Japanese Total" totalsRowFunction="sum" dataDxfId="337"/>
    <tableColumn id="11" xr3:uid="{00000000-0010-0000-2300-00000B000000}" name="Korean Total" totalsRowFunction="sum" dataDxfId="336"/>
    <tableColumn id="12" xr3:uid="{00000000-0010-0000-2300-00000C000000}" name="Latin Total" totalsRowFunction="sum" dataDxfId="335"/>
    <tableColumn id="13" xr3:uid="{00000000-0010-0000-2300-00000D000000}" name="Mandarin Total" totalsRowFunction="sum" dataDxfId="334"/>
    <tableColumn id="14" xr3:uid="{00000000-0010-0000-2300-00000E000000}" name="Spanish Total" totalsRowFunction="sum" dataDxfId="333"/>
    <tableColumn id="15" xr3:uid="{00000000-0010-0000-2300-00000F000000}" name="Tagalog (Filipino) Total" totalsRowFunction="sum" dataDxfId="332"/>
    <tableColumn id="16" xr3:uid="{00000000-0010-0000-2300-000010000000}" name="Vietnamese Total" totalsRowFunction="sum" dataDxfId="331"/>
    <tableColumn id="17" xr3:uid="{00000000-0010-0000-2300-000011000000}" name="Other Total" totalsRowFunction="sum" dataDxfId="33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 Joaquin county and also includes language totals.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4000000}" name="Table39" displayName="Table39" ref="A2:Q8" totalsRowCount="1" headerRowDxfId="329" dataDxfId="328">
  <autoFilter ref="A2:Q7" xr:uid="{00000000-0009-0000-0100-000026000000}"/>
  <tableColumns count="17">
    <tableColumn id="1" xr3:uid="{00000000-0010-0000-2400-000001000000}" name="Participating Districts" totalsRowLabel="Total: 5" dataDxfId="327"/>
    <tableColumn id="2" xr3:uid="{00000000-0010-0000-2400-000002000000}" name="Participating Schools" totalsRowLabel="8" dataDxfId="326" totalsRowDxfId="325"/>
    <tableColumn id="3" xr3:uid="{00000000-0010-0000-2400-000003000000}" name="American Sign Language Total" totalsRowFunction="sum" dataDxfId="324"/>
    <tableColumn id="4" xr3:uid="{00000000-0010-0000-2400-000004000000}" name="Arabic Total" totalsRowFunction="sum" dataDxfId="323"/>
    <tableColumn id="5" xr3:uid="{00000000-0010-0000-2400-000005000000}" name="Cantonese Total" totalsRowFunction="sum" dataDxfId="322"/>
    <tableColumn id="6" xr3:uid="{00000000-0010-0000-2400-000006000000}" name="French Total" totalsRowFunction="sum" dataDxfId="321"/>
    <tableColumn id="7" xr3:uid="{00000000-0010-0000-2400-000007000000}" name="German Total" totalsRowFunction="sum" dataDxfId="320"/>
    <tableColumn id="8" xr3:uid="{00000000-0010-0000-2400-000008000000}" name="Hmong Total" totalsRowFunction="sum" dataDxfId="319"/>
    <tableColumn id="9" xr3:uid="{00000000-0010-0000-2400-000009000000}" name="Italian Total" totalsRowFunction="sum" dataDxfId="318"/>
    <tableColumn id="10" xr3:uid="{00000000-0010-0000-2400-00000A000000}" name="Japanese Total" totalsRowFunction="sum" dataDxfId="317"/>
    <tableColumn id="11" xr3:uid="{00000000-0010-0000-2400-00000B000000}" name="Korean Total" totalsRowFunction="sum" dataDxfId="316"/>
    <tableColumn id="12" xr3:uid="{00000000-0010-0000-2400-00000C000000}" name="Latin Total" totalsRowFunction="sum" dataDxfId="315"/>
    <tableColumn id="13" xr3:uid="{00000000-0010-0000-2400-00000D000000}" name="Mandarin Total" totalsRowFunction="sum" dataDxfId="314"/>
    <tableColumn id="14" xr3:uid="{00000000-0010-0000-2400-00000E000000}" name="Spanish Total" totalsRowFunction="sum" dataDxfId="313"/>
    <tableColumn id="15" xr3:uid="{00000000-0010-0000-2400-00000F000000}" name="Tagalog (Filipino) Total" totalsRowFunction="sum" dataDxfId="312"/>
    <tableColumn id="16" xr3:uid="{00000000-0010-0000-2400-000010000000}" name="Vietnamese Total" totalsRowFunction="sum" dataDxfId="311"/>
    <tableColumn id="17" xr3:uid="{00000000-0010-0000-2400-000011000000}" name="Other Total" totalsRowFunction="sum" dataDxfId="31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 Luis Obispo county and also includes language totals.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5000000}" name="Table40" displayName="Table40" ref="A2:Q9" totalsRowCount="1" headerRowDxfId="309" dataDxfId="308">
  <autoFilter ref="A2:Q8" xr:uid="{00000000-0009-0000-0100-000027000000}"/>
  <tableColumns count="17">
    <tableColumn id="1" xr3:uid="{00000000-0010-0000-2500-000001000000}" name="Participating Districts" totalsRowLabel="Total: 6" dataDxfId="307" totalsRowDxfId="306"/>
    <tableColumn id="2" xr3:uid="{00000000-0010-0000-2500-000002000000}" name="Participating Schools" totalsRowLabel="22" totalsRowDxfId="305"/>
    <tableColumn id="3" xr3:uid="{00000000-0010-0000-2500-000003000000}" name="American Sign Language Total" totalsRowFunction="sum" dataDxfId="304" totalsRowDxfId="303"/>
    <tableColumn id="4" xr3:uid="{00000000-0010-0000-2500-000004000000}" name="Arabic Total" totalsRowFunction="sum" dataDxfId="302" totalsRowDxfId="301"/>
    <tableColumn id="5" xr3:uid="{00000000-0010-0000-2500-000005000000}" name="Cantonese Total" totalsRowFunction="sum" dataDxfId="300" totalsRowDxfId="299"/>
    <tableColumn id="6" xr3:uid="{00000000-0010-0000-2500-000006000000}" name="French Total" totalsRowFunction="sum" dataDxfId="298" totalsRowDxfId="297"/>
    <tableColumn id="7" xr3:uid="{00000000-0010-0000-2500-000007000000}" name="German Total" totalsRowFunction="sum" dataDxfId="296" totalsRowDxfId="295"/>
    <tableColumn id="8" xr3:uid="{00000000-0010-0000-2500-000008000000}" name="Hmong Total" totalsRowFunction="sum" dataDxfId="294" totalsRowDxfId="293"/>
    <tableColumn id="9" xr3:uid="{00000000-0010-0000-2500-000009000000}" name="Italian Total" totalsRowFunction="sum" dataDxfId="292" totalsRowDxfId="291"/>
    <tableColumn id="10" xr3:uid="{00000000-0010-0000-2500-00000A000000}" name="Japanese Total" totalsRowFunction="sum" dataDxfId="290" totalsRowDxfId="289"/>
    <tableColumn id="11" xr3:uid="{00000000-0010-0000-2500-00000B000000}" name="Korean Total" totalsRowFunction="sum" dataDxfId="288" totalsRowDxfId="287"/>
    <tableColumn id="12" xr3:uid="{00000000-0010-0000-2500-00000C000000}" name="Latin Total" totalsRowFunction="sum" dataDxfId="286" totalsRowDxfId="285"/>
    <tableColumn id="13" xr3:uid="{00000000-0010-0000-2500-00000D000000}" name="Mandarin Total" totalsRowFunction="sum" dataDxfId="284" totalsRowDxfId="283"/>
    <tableColumn id="14" xr3:uid="{00000000-0010-0000-2500-00000E000000}" name="Spanish Total" totalsRowFunction="sum" dataDxfId="282" totalsRowDxfId="281"/>
    <tableColumn id="15" xr3:uid="{00000000-0010-0000-2500-00000F000000}" name="Tagalog (Filipino) Total" totalsRowFunction="sum" dataDxfId="280" totalsRowDxfId="279"/>
    <tableColumn id="16" xr3:uid="{00000000-0010-0000-2500-000010000000}" name="Vietnamese Total" totalsRowFunction="sum" dataDxfId="278" totalsRowDxfId="277"/>
    <tableColumn id="17" xr3:uid="{00000000-0010-0000-2500-000011000000}" name="Other Total" totalsRowFunction="sum" dataDxfId="276" totalsRowDxfId="275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 Mateo county and also includes language totals.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6000000}" name="Table41" displayName="Table41" ref="A2:Q8" totalsRowCount="1" headerRowDxfId="274" dataDxfId="273">
  <autoFilter ref="A2:Q7" xr:uid="{00000000-0009-0000-0100-000028000000}"/>
  <tableColumns count="17">
    <tableColumn id="1" xr3:uid="{00000000-0010-0000-2600-000001000000}" name="Participating Districts" totalsRowLabel="Total: 5" dataDxfId="272"/>
    <tableColumn id="2" xr3:uid="{00000000-0010-0000-2600-000002000000}" name="Participating Schools" totalsRowLabel="13" dataDxfId="271" totalsRowDxfId="270"/>
    <tableColumn id="3" xr3:uid="{00000000-0010-0000-2600-000003000000}" name="American Sign Language Total" totalsRowFunction="sum" dataDxfId="269"/>
    <tableColumn id="4" xr3:uid="{00000000-0010-0000-2600-000004000000}" name="Arabic Total" totalsRowFunction="sum" dataDxfId="268"/>
    <tableColumn id="5" xr3:uid="{00000000-0010-0000-2600-000005000000}" name="Cantonese Total" totalsRowFunction="sum" dataDxfId="267"/>
    <tableColumn id="6" xr3:uid="{00000000-0010-0000-2600-000006000000}" name="French Total" totalsRowFunction="sum" dataDxfId="266"/>
    <tableColumn id="7" xr3:uid="{00000000-0010-0000-2600-000007000000}" name="German Total" totalsRowFunction="sum" dataDxfId="265"/>
    <tableColumn id="8" xr3:uid="{00000000-0010-0000-2600-000008000000}" name="Hmong Total" totalsRowFunction="sum" dataDxfId="264"/>
    <tableColumn id="9" xr3:uid="{00000000-0010-0000-2600-000009000000}" name="Italian Total" totalsRowFunction="sum" dataDxfId="263"/>
    <tableColumn id="10" xr3:uid="{00000000-0010-0000-2600-00000A000000}" name="Japanese Total" totalsRowFunction="sum" dataDxfId="262"/>
    <tableColumn id="11" xr3:uid="{00000000-0010-0000-2600-00000B000000}" name="Korean Total" totalsRowFunction="sum" dataDxfId="261"/>
    <tableColumn id="12" xr3:uid="{00000000-0010-0000-2600-00000C000000}" name="Latin Total" totalsRowFunction="sum" dataDxfId="260"/>
    <tableColumn id="13" xr3:uid="{00000000-0010-0000-2600-00000D000000}" name="Mandarin Total" totalsRowFunction="sum" dataDxfId="259"/>
    <tableColumn id="14" xr3:uid="{00000000-0010-0000-2600-00000E000000}" name="Spanish Total" totalsRowFunction="sum" dataDxfId="258"/>
    <tableColumn id="15" xr3:uid="{00000000-0010-0000-2600-00000F000000}" name="Tagalog (Filipino) Total" totalsRowFunction="sum" dataDxfId="257"/>
    <tableColumn id="16" xr3:uid="{00000000-0010-0000-2600-000010000000}" name="Vietnamese Total" totalsRowFunction="sum" dataDxfId="256"/>
    <tableColumn id="17" xr3:uid="{00000000-0010-0000-2600-000011000000}" name="Other Total" totalsRowFunction="sum" dataDxfId="255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ta Barbara county and also includes language total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A2:Q6" totalsRowCount="1" headerRowDxfId="840">
  <autoFilter ref="A2:Q5" xr:uid="{00000000-0009-0000-0100-000005000000}"/>
  <tableColumns count="17">
    <tableColumn id="1" xr3:uid="{00000000-0010-0000-0300-000001000000}" name="Participating Districts" totalsRowLabel="Total: 3"/>
    <tableColumn id="2" xr3:uid="{00000000-0010-0000-0300-000002000000}" name="Participating Schools" totalsRowLabel="7" dataDxfId="839" totalsRowDxfId="838"/>
    <tableColumn id="3" xr3:uid="{00000000-0010-0000-0300-000003000000}" name="American Sign Language Total" totalsRowFunction="sum"/>
    <tableColumn id="4" xr3:uid="{00000000-0010-0000-0300-000004000000}" name="Arabic Total" totalsRowFunction="sum"/>
    <tableColumn id="5" xr3:uid="{00000000-0010-0000-0300-000005000000}" name="Cantonese Total" totalsRowFunction="sum"/>
    <tableColumn id="6" xr3:uid="{00000000-0010-0000-0300-000006000000}" name="French Total" totalsRowFunction="sum"/>
    <tableColumn id="7" xr3:uid="{00000000-0010-0000-0300-000007000000}" name="German Total" totalsRowFunction="sum"/>
    <tableColumn id="8" xr3:uid="{00000000-0010-0000-0300-000008000000}" name="Hmong Total" totalsRowFunction="sum"/>
    <tableColumn id="9" xr3:uid="{00000000-0010-0000-0300-000009000000}" name="Italian Total" totalsRowFunction="sum"/>
    <tableColumn id="10" xr3:uid="{00000000-0010-0000-0300-00000A000000}" name="Japanese Total" totalsRowFunction="sum"/>
    <tableColumn id="11" xr3:uid="{00000000-0010-0000-0300-00000B000000}" name="Korean Total" totalsRowFunction="sum"/>
    <tableColumn id="12" xr3:uid="{00000000-0010-0000-0300-00000C000000}" name="Latin Total" totalsRowFunction="sum"/>
    <tableColumn id="13" xr3:uid="{00000000-0010-0000-0300-00000D000000}" name="Mandarin Total" totalsRowFunction="sum"/>
    <tableColumn id="14" xr3:uid="{00000000-0010-0000-0300-00000E000000}" name="Spanish Total" totalsRowFunction="sum"/>
    <tableColumn id="15" xr3:uid="{00000000-0010-0000-0300-00000F000000}" name="Tagalog (Filipino) Total" totalsRowFunction="sum"/>
    <tableColumn id="16" xr3:uid="{00000000-0010-0000-0300-000010000000}" name="Vietnamese Total" totalsRowFunction="sum"/>
    <tableColumn id="17" xr3:uid="{00000000-0010-0000-03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Butte county and also includes language totals.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7000000}" name="Table42" displayName="Table42" ref="A2:Q15" totalsRowCount="1" headerRowDxfId="254" dataDxfId="253">
  <autoFilter ref="A2:Q14" xr:uid="{00000000-0009-0000-0100-000029000000}"/>
  <tableColumns count="17">
    <tableColumn id="1" xr3:uid="{00000000-0010-0000-2700-000001000000}" name="Participating Districts" totalsRowLabel="Total: 12" dataDxfId="252"/>
    <tableColumn id="2" xr3:uid="{00000000-0010-0000-2700-000002000000}" name="Participating Schools" totalsRowLabel="56" dataDxfId="251" totalsRowDxfId="250"/>
    <tableColumn id="3" xr3:uid="{00000000-0010-0000-2700-000003000000}" name="American Sign Language Total" totalsRowFunction="sum" dataDxfId="249"/>
    <tableColumn id="4" xr3:uid="{00000000-0010-0000-2700-000004000000}" name="Arabic Total" totalsRowFunction="sum" dataDxfId="248"/>
    <tableColumn id="5" xr3:uid="{00000000-0010-0000-2700-000005000000}" name="Cantonese Total" totalsRowFunction="sum" dataDxfId="247"/>
    <tableColumn id="6" xr3:uid="{00000000-0010-0000-2700-000006000000}" name="French Total" totalsRowFunction="sum" dataDxfId="246"/>
    <tableColumn id="7" xr3:uid="{00000000-0010-0000-2700-000007000000}" name="German Total" totalsRowFunction="sum" dataDxfId="245"/>
    <tableColumn id="8" xr3:uid="{00000000-0010-0000-2700-000008000000}" name="Hmong Total" totalsRowFunction="sum" dataDxfId="244"/>
    <tableColumn id="9" xr3:uid="{00000000-0010-0000-2700-000009000000}" name="Italian Total" totalsRowFunction="sum" dataDxfId="243"/>
    <tableColumn id="10" xr3:uid="{00000000-0010-0000-2700-00000A000000}" name="Japanese Total" totalsRowFunction="sum" dataDxfId="242"/>
    <tableColumn id="11" xr3:uid="{00000000-0010-0000-2700-00000B000000}" name="Korean Total" totalsRowFunction="sum" dataDxfId="241"/>
    <tableColumn id="12" xr3:uid="{00000000-0010-0000-2700-00000C000000}" name="Latin Total" totalsRowFunction="sum" dataDxfId="240"/>
    <tableColumn id="13" xr3:uid="{00000000-0010-0000-2700-00000D000000}" name="Mandarin Total" totalsRowFunction="sum" dataDxfId="239"/>
    <tableColumn id="14" xr3:uid="{00000000-0010-0000-2700-00000E000000}" name="Spanish Total" totalsRowFunction="sum" dataDxfId="238"/>
    <tableColumn id="15" xr3:uid="{00000000-0010-0000-2700-00000F000000}" name="Tagalog (Filipino) Total" totalsRowFunction="sum" dataDxfId="237"/>
    <tableColumn id="16" xr3:uid="{00000000-0010-0000-2700-000010000000}" name="Vietnamese Total" totalsRowFunction="sum" dataDxfId="236"/>
    <tableColumn id="17" xr3:uid="{00000000-0010-0000-2700-000011000000}" name="Other Total" totalsRowFunction="sum" dataDxfId="235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ta Clara county and also includes language totals.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28000000}" name="Table1" displayName="Table1" ref="A2:Q7" totalsRowCount="1" headerRowDxfId="234" dataDxfId="233">
  <autoFilter ref="A2:Q6" xr:uid="{00000000-0009-0000-0100-000001000000}"/>
  <tableColumns count="17">
    <tableColumn id="1" xr3:uid="{00000000-0010-0000-2800-000001000000}" name="Participating Districts" totalsRowLabel="Total: 4" dataDxfId="232"/>
    <tableColumn id="2" xr3:uid="{00000000-0010-0000-2800-000002000000}" name="Participating Schools" totalsRowLabel="8" dataDxfId="231" totalsRowDxfId="230"/>
    <tableColumn id="3" xr3:uid="{00000000-0010-0000-2800-000003000000}" name="American Sign Language Total" totalsRowFunction="sum" dataDxfId="229"/>
    <tableColumn id="4" xr3:uid="{00000000-0010-0000-2800-000004000000}" name="Arabic Total" totalsRowFunction="sum" dataDxfId="228"/>
    <tableColumn id="5" xr3:uid="{00000000-0010-0000-2800-000005000000}" name="Cantonese Total" totalsRowFunction="sum" dataDxfId="227"/>
    <tableColumn id="6" xr3:uid="{00000000-0010-0000-2800-000006000000}" name="French Total" totalsRowFunction="sum" dataDxfId="226"/>
    <tableColumn id="7" xr3:uid="{00000000-0010-0000-2800-000007000000}" name="German Total" totalsRowFunction="sum" dataDxfId="225"/>
    <tableColumn id="8" xr3:uid="{00000000-0010-0000-2800-000008000000}" name="Hmong Total" totalsRowFunction="sum" dataDxfId="224"/>
    <tableColumn id="9" xr3:uid="{00000000-0010-0000-2800-000009000000}" name="Italian Total" totalsRowFunction="sum" dataDxfId="223"/>
    <tableColumn id="10" xr3:uid="{00000000-0010-0000-2800-00000A000000}" name="Japanese Total" totalsRowFunction="sum" dataDxfId="222"/>
    <tableColumn id="11" xr3:uid="{00000000-0010-0000-2800-00000B000000}" name="Korean Total" totalsRowFunction="sum" dataDxfId="221"/>
    <tableColumn id="12" xr3:uid="{00000000-0010-0000-2800-00000C000000}" name="Latin Total" totalsRowFunction="sum" dataDxfId="220"/>
    <tableColumn id="13" xr3:uid="{00000000-0010-0000-2800-00000D000000}" name="Mandarin Total" totalsRowFunction="sum" dataDxfId="219"/>
    <tableColumn id="14" xr3:uid="{00000000-0010-0000-2800-00000E000000}" name="Spanish Total" totalsRowFunction="sum" dataDxfId="218"/>
    <tableColumn id="15" xr3:uid="{00000000-0010-0000-2800-00000F000000}" name="Tagalog (Filipino) Total" totalsRowFunction="sum" dataDxfId="217"/>
    <tableColumn id="16" xr3:uid="{00000000-0010-0000-2800-000010000000}" name="Vietnamese Total" totalsRowFunction="sum" dataDxfId="216"/>
    <tableColumn id="17" xr3:uid="{00000000-0010-0000-2800-000011000000}" name="Other Total" totalsRowFunction="sum" dataDxfId="215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anta Cruz county and also includes language totals.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Table43" displayName="Table43" ref="A2:Q4" totalsRowCount="1" headerRowDxfId="214" dataDxfId="213">
  <autoFilter ref="A2:Q3" xr:uid="{00000000-0009-0000-0100-00002A000000}"/>
  <tableColumns count="17">
    <tableColumn id="1" xr3:uid="{00000000-0010-0000-2900-000001000000}" name="Participating District" totalsRowLabel="Total: 1" dataDxfId="212"/>
    <tableColumn id="2" xr3:uid="{00000000-0010-0000-2900-000002000000}" name="Participating Schools" totalsRowLabel="3" dataDxfId="211" totalsRowDxfId="210"/>
    <tableColumn id="3" xr3:uid="{00000000-0010-0000-2900-000003000000}" name="American Sign Language Total" totalsRowFunction="sum" dataDxfId="209"/>
    <tableColumn id="4" xr3:uid="{00000000-0010-0000-2900-000004000000}" name="Arabic Total" totalsRowFunction="sum" dataDxfId="208"/>
    <tableColumn id="5" xr3:uid="{00000000-0010-0000-2900-000005000000}" name="Cantonese Total" totalsRowFunction="sum" dataDxfId="207"/>
    <tableColumn id="6" xr3:uid="{00000000-0010-0000-2900-000006000000}" name="French Total" totalsRowFunction="sum" dataDxfId="206"/>
    <tableColumn id="7" xr3:uid="{00000000-0010-0000-2900-000007000000}" name="German Total" totalsRowFunction="sum" dataDxfId="205"/>
    <tableColumn id="8" xr3:uid="{00000000-0010-0000-2900-000008000000}" name="Hmong Total" totalsRowFunction="sum" dataDxfId="204"/>
    <tableColumn id="9" xr3:uid="{00000000-0010-0000-2900-000009000000}" name="Italian Total" totalsRowFunction="sum" dataDxfId="203"/>
    <tableColumn id="10" xr3:uid="{00000000-0010-0000-2900-00000A000000}" name="Japanese Total" totalsRowFunction="sum" dataDxfId="202"/>
    <tableColumn id="11" xr3:uid="{00000000-0010-0000-2900-00000B000000}" name="Korean Total" totalsRowFunction="sum" dataDxfId="201"/>
    <tableColumn id="12" xr3:uid="{00000000-0010-0000-2900-00000C000000}" name="Latin Total" totalsRowFunction="sum" dataDxfId="200"/>
    <tableColumn id="13" xr3:uid="{00000000-0010-0000-2900-00000D000000}" name="Mandarin Total" totalsRowFunction="sum" dataDxfId="199"/>
    <tableColumn id="14" xr3:uid="{00000000-0010-0000-2900-00000E000000}" name="Spanish Total" totalsRowFunction="sum" dataDxfId="198"/>
    <tableColumn id="15" xr3:uid="{00000000-0010-0000-2900-00000F000000}" name="Tagalog (Filipino) Total" totalsRowFunction="sum" dataDxfId="197"/>
    <tableColumn id="16" xr3:uid="{00000000-0010-0000-2900-000010000000}" name="Vietnamese Total" totalsRowFunction="sum" dataDxfId="196"/>
    <tableColumn id="17" xr3:uid="{00000000-0010-0000-2900-000011000000}" name="Other Total" totalsRowFunction="sum" dataDxfId="195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hasta county and also includes language totals.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Table44" displayName="Table44" ref="A2:Q4" totalsRowCount="1" headerRowDxfId="194">
  <autoFilter ref="A2:Q3" xr:uid="{00000000-0009-0000-0100-00002B000000}"/>
  <tableColumns count="17">
    <tableColumn id="1" xr3:uid="{00000000-0010-0000-2A00-000001000000}" name="Participating District" totalsRowLabel="Total: 1"/>
    <tableColumn id="2" xr3:uid="{00000000-0010-0000-2A00-000002000000}" name="Participating School" totalsRowLabel="1" totalsRowDxfId="193"/>
    <tableColumn id="3" xr3:uid="{00000000-0010-0000-2A00-000003000000}" name="American Sign Language Total" totalsRowFunction="sum"/>
    <tableColumn id="4" xr3:uid="{00000000-0010-0000-2A00-000004000000}" name="Arabic Total" totalsRowFunction="sum"/>
    <tableColumn id="5" xr3:uid="{00000000-0010-0000-2A00-000005000000}" name="Cantonese Total" totalsRowFunction="sum"/>
    <tableColumn id="6" xr3:uid="{00000000-0010-0000-2A00-000006000000}" name="French Total" totalsRowFunction="sum"/>
    <tableColumn id="7" xr3:uid="{00000000-0010-0000-2A00-000007000000}" name="German Total" totalsRowFunction="sum"/>
    <tableColumn id="8" xr3:uid="{00000000-0010-0000-2A00-000008000000}" name="Hmong Total" totalsRowFunction="sum"/>
    <tableColumn id="9" xr3:uid="{00000000-0010-0000-2A00-000009000000}" name="Italian Total" totalsRowFunction="sum"/>
    <tableColumn id="10" xr3:uid="{00000000-0010-0000-2A00-00000A000000}" name="Japanese Total" totalsRowFunction="sum"/>
    <tableColumn id="11" xr3:uid="{00000000-0010-0000-2A00-00000B000000}" name="Korean Total" totalsRowFunction="sum"/>
    <tableColumn id="12" xr3:uid="{00000000-0010-0000-2A00-00000C000000}" name="Latin Total" totalsRowFunction="sum"/>
    <tableColumn id="13" xr3:uid="{00000000-0010-0000-2A00-00000D000000}" name="Mandarin Total" totalsRowFunction="sum"/>
    <tableColumn id="14" xr3:uid="{00000000-0010-0000-2A00-00000E000000}" name="Spanish Total" totalsRowFunction="sum"/>
    <tableColumn id="15" xr3:uid="{00000000-0010-0000-2A00-00000F000000}" name="Tagalog (Filipino) Total" totalsRowFunction="sum"/>
    <tableColumn id="16" xr3:uid="{00000000-0010-0000-2A00-000010000000}" name="Vietnamese Total" totalsRowFunction="sum"/>
    <tableColumn id="17" xr3:uid="{00000000-0010-0000-2A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iskiyou county and also includes language totals.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Table45" displayName="Table45" ref="A2:Q6" totalsRowCount="1" headerRowDxfId="192" dataDxfId="191">
  <autoFilter ref="A2:Q5" xr:uid="{00000000-0009-0000-0100-00002C000000}"/>
  <tableColumns count="17">
    <tableColumn id="1" xr3:uid="{00000000-0010-0000-2B00-000001000000}" name="Participating Districts" totalsRowLabel="Total: 3" dataDxfId="190"/>
    <tableColumn id="2" xr3:uid="{00000000-0010-0000-2B00-000002000000}" name="Participating Schools" totalsRowLabel="7" dataDxfId="189" totalsRowDxfId="188"/>
    <tableColumn id="3" xr3:uid="{00000000-0010-0000-2B00-000003000000}" name="American Sign Language Total" totalsRowFunction="sum" dataDxfId="187"/>
    <tableColumn id="4" xr3:uid="{00000000-0010-0000-2B00-000004000000}" name="Arabic Total" totalsRowFunction="sum" dataDxfId="186"/>
    <tableColumn id="5" xr3:uid="{00000000-0010-0000-2B00-000005000000}" name="Cantonese Total" totalsRowFunction="sum" dataDxfId="185"/>
    <tableColumn id="6" xr3:uid="{00000000-0010-0000-2B00-000006000000}" name="French Total" totalsRowFunction="sum" dataDxfId="184"/>
    <tableColumn id="7" xr3:uid="{00000000-0010-0000-2B00-000007000000}" name="German Total" totalsRowFunction="sum" dataDxfId="183"/>
    <tableColumn id="8" xr3:uid="{00000000-0010-0000-2B00-000008000000}" name="Hmong Total" totalsRowFunction="sum" dataDxfId="182"/>
    <tableColumn id="9" xr3:uid="{00000000-0010-0000-2B00-000009000000}" name="Italian Total" totalsRowFunction="sum" dataDxfId="181"/>
    <tableColumn id="10" xr3:uid="{00000000-0010-0000-2B00-00000A000000}" name="Japanese Total" totalsRowFunction="sum" dataDxfId="180"/>
    <tableColumn id="11" xr3:uid="{00000000-0010-0000-2B00-00000B000000}" name="Korean Total" totalsRowFunction="sum" dataDxfId="179"/>
    <tableColumn id="12" xr3:uid="{00000000-0010-0000-2B00-00000C000000}" name="Latin Total" totalsRowFunction="sum" dataDxfId="178"/>
    <tableColumn id="13" xr3:uid="{00000000-0010-0000-2B00-00000D000000}" name="Mandarin Total" totalsRowFunction="sum" dataDxfId="177"/>
    <tableColumn id="14" xr3:uid="{00000000-0010-0000-2B00-00000E000000}" name="Spanish Total" totalsRowFunction="sum" dataDxfId="176"/>
    <tableColumn id="15" xr3:uid="{00000000-0010-0000-2B00-00000F000000}" name="Tagalog (Filipino) Total" totalsRowFunction="sum" dataDxfId="175"/>
    <tableColumn id="16" xr3:uid="{00000000-0010-0000-2B00-000010000000}" name="Vietnamese Total" totalsRowFunction="sum" dataDxfId="174"/>
    <tableColumn id="17" xr3:uid="{00000000-0010-0000-2B00-000011000000}" name="Other Total" totalsRowFunction="sum" dataDxfId="173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olano county and also includes language totals.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Table46" displayName="Table46" ref="A2:Q12" totalsRowCount="1" headerRowDxfId="172">
  <autoFilter ref="A2:Q11" xr:uid="{00000000-0009-0000-0100-00002D000000}"/>
  <tableColumns count="17">
    <tableColumn id="1" xr3:uid="{00000000-0010-0000-2C00-000001000000}" name="Participating Districts" totalsRowLabel="Total: 9"/>
    <tableColumn id="2" xr3:uid="{00000000-0010-0000-2C00-000002000000}" name="Participating Schools" totalsRowLabel="17" totalsRowDxfId="171"/>
    <tableColumn id="3" xr3:uid="{00000000-0010-0000-2C00-000003000000}" name="American Sign Language Total" totalsRowFunction="sum"/>
    <tableColumn id="4" xr3:uid="{00000000-0010-0000-2C00-000004000000}" name="Arabic Total" totalsRowFunction="sum"/>
    <tableColumn id="5" xr3:uid="{00000000-0010-0000-2C00-000005000000}" name="Cantonese Total" totalsRowFunction="sum"/>
    <tableColumn id="6" xr3:uid="{00000000-0010-0000-2C00-000006000000}" name="French Total" totalsRowFunction="sum"/>
    <tableColumn id="7" xr3:uid="{00000000-0010-0000-2C00-000007000000}" name="German Total" totalsRowFunction="sum"/>
    <tableColumn id="8" xr3:uid="{00000000-0010-0000-2C00-000008000000}" name="Hmong Total" totalsRowFunction="sum"/>
    <tableColumn id="9" xr3:uid="{00000000-0010-0000-2C00-000009000000}" name="Italian Total" totalsRowFunction="sum"/>
    <tableColumn id="10" xr3:uid="{00000000-0010-0000-2C00-00000A000000}" name="Japanese Total" totalsRowFunction="sum"/>
    <tableColumn id="11" xr3:uid="{00000000-0010-0000-2C00-00000B000000}" name="Korean Total" totalsRowFunction="sum"/>
    <tableColumn id="12" xr3:uid="{00000000-0010-0000-2C00-00000C000000}" name="Latin Total" totalsRowFunction="sum"/>
    <tableColumn id="13" xr3:uid="{00000000-0010-0000-2C00-00000D000000}" name="Mandarin Total" totalsRowFunction="sum"/>
    <tableColumn id="14" xr3:uid="{00000000-0010-0000-2C00-00000E000000}" name="Spanish Total" totalsRowFunction="sum"/>
    <tableColumn id="15" xr3:uid="{00000000-0010-0000-2C00-00000F000000}" name="Tagalog (Filipino) Total" totalsRowFunction="sum"/>
    <tableColumn id="16" xr3:uid="{00000000-0010-0000-2C00-000010000000}" name="Vietnamese Total" totalsRowFunction="sum"/>
    <tableColumn id="17" xr3:uid="{00000000-0010-0000-2C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onoma county and also includes language totals.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Table47" displayName="Table47" ref="A2:Q13" totalsRowCount="1" headerRowDxfId="170" dataDxfId="169">
  <autoFilter ref="A2:Q12" xr:uid="{00000000-0009-0000-0100-00002E000000}"/>
  <tableColumns count="17">
    <tableColumn id="1" xr3:uid="{00000000-0010-0000-2D00-000001000000}" name="Participating Districts" totalsRowLabel="Total: 10" dataDxfId="168"/>
    <tableColumn id="2" xr3:uid="{00000000-0010-0000-2D00-000002000000}" name="Participating Schools" totalsRowLabel="19" totalsRowDxfId="167"/>
    <tableColumn id="3" xr3:uid="{00000000-0010-0000-2D00-000003000000}" name="American Sign Language Total" totalsRowFunction="sum" dataDxfId="166"/>
    <tableColumn id="4" xr3:uid="{00000000-0010-0000-2D00-000004000000}" name="Arabic Total" totalsRowFunction="sum" dataDxfId="165"/>
    <tableColumn id="5" xr3:uid="{00000000-0010-0000-2D00-000005000000}" name="Cantonese Total" totalsRowFunction="sum" dataDxfId="164"/>
    <tableColumn id="6" xr3:uid="{00000000-0010-0000-2D00-000006000000}" name="French Total" totalsRowFunction="sum" dataDxfId="163"/>
    <tableColumn id="7" xr3:uid="{00000000-0010-0000-2D00-000007000000}" name="German Total" totalsRowFunction="sum" dataDxfId="162"/>
    <tableColumn id="8" xr3:uid="{00000000-0010-0000-2D00-000008000000}" name="Hmong Total" totalsRowFunction="sum" dataDxfId="161"/>
    <tableColumn id="9" xr3:uid="{00000000-0010-0000-2D00-000009000000}" name="Italian Total" totalsRowFunction="sum" dataDxfId="160"/>
    <tableColumn id="10" xr3:uid="{00000000-0010-0000-2D00-00000A000000}" name="Japanese Total" totalsRowFunction="sum" dataDxfId="159"/>
    <tableColumn id="11" xr3:uid="{00000000-0010-0000-2D00-00000B000000}" name="Korean Total" totalsRowFunction="sum" dataDxfId="158"/>
    <tableColumn id="12" xr3:uid="{00000000-0010-0000-2D00-00000C000000}" name="Latin Total" totalsRowFunction="sum" dataDxfId="157"/>
    <tableColumn id="13" xr3:uid="{00000000-0010-0000-2D00-00000D000000}" name="Mandarin Total" totalsRowFunction="sum" dataDxfId="156"/>
    <tableColumn id="14" xr3:uid="{00000000-0010-0000-2D00-00000E000000}" name="Spanish Total" totalsRowFunction="sum" dataDxfId="155"/>
    <tableColumn id="15" xr3:uid="{00000000-0010-0000-2D00-00000F000000}" name="Tagalog (Filipino) Total" totalsRowFunction="sum" dataDxfId="154"/>
    <tableColumn id="16" xr3:uid="{00000000-0010-0000-2D00-000010000000}" name="Vietnamese Total" totalsRowFunction="sum" dataDxfId="153"/>
    <tableColumn id="17" xr3:uid="{00000000-0010-0000-2D00-000011000000}" name="Other Total" totalsRowFunction="sum" dataDxfId="152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tanislaus county and also includes language totals.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Table48" displayName="Table48" ref="A2:Q8" totalsRowCount="1" headerRowDxfId="151">
  <autoFilter ref="A2:Q7" xr:uid="{00000000-0009-0000-0100-00002F000000}"/>
  <tableColumns count="17">
    <tableColumn id="1" xr3:uid="{00000000-0010-0000-2E00-000001000000}" name="Participating Districts" totalsRowLabel="Total: 5"/>
    <tableColumn id="2" xr3:uid="{00000000-0010-0000-2E00-000002000000}" name="Participating Schools" totalsRowLabel="6" totalsRowDxfId="150"/>
    <tableColumn id="3" xr3:uid="{00000000-0010-0000-2E00-000003000000}" name="American Sign Language Total" totalsRowFunction="sum"/>
    <tableColumn id="4" xr3:uid="{00000000-0010-0000-2E00-000004000000}" name="Arabic Total" totalsRowFunction="sum"/>
    <tableColumn id="5" xr3:uid="{00000000-0010-0000-2E00-000005000000}" name="Cantonese Total" totalsRowFunction="sum"/>
    <tableColumn id="6" xr3:uid="{00000000-0010-0000-2E00-000006000000}" name="French Total" totalsRowFunction="sum"/>
    <tableColumn id="7" xr3:uid="{00000000-0010-0000-2E00-000007000000}" name="German Total" totalsRowFunction="sum"/>
    <tableColumn id="8" xr3:uid="{00000000-0010-0000-2E00-000008000000}" name="Hmong Total" totalsRowFunction="sum"/>
    <tableColumn id="9" xr3:uid="{00000000-0010-0000-2E00-000009000000}" name="Italian Total" totalsRowFunction="sum"/>
    <tableColumn id="10" xr3:uid="{00000000-0010-0000-2E00-00000A000000}" name="Japanese Total" totalsRowFunction="sum"/>
    <tableColumn id="11" xr3:uid="{00000000-0010-0000-2E00-00000B000000}" name="Korean Total" totalsRowFunction="sum"/>
    <tableColumn id="12" xr3:uid="{00000000-0010-0000-2E00-00000C000000}" name="Latin Total" totalsRowFunction="sum"/>
    <tableColumn id="13" xr3:uid="{00000000-0010-0000-2E00-00000D000000}" name="Mandarin Total" totalsRowFunction="sum"/>
    <tableColumn id="14" xr3:uid="{00000000-0010-0000-2E00-00000E000000}" name="Spanish Total" totalsRowFunction="sum"/>
    <tableColumn id="15" xr3:uid="{00000000-0010-0000-2E00-00000F000000}" name="Tagalog (Filipino) Total" totalsRowFunction="sum"/>
    <tableColumn id="16" xr3:uid="{00000000-0010-0000-2E00-000010000000}" name="Vietnamese Total" totalsRowFunction="sum"/>
    <tableColumn id="17" xr3:uid="{00000000-0010-0000-2E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Sutter county and also includes language totals.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F000000}" name="Table49" displayName="Table49" ref="A2:Q6" totalsRowCount="1" headerRowDxfId="149" dataDxfId="148">
  <autoFilter ref="A2:Q5" xr:uid="{00000000-0009-0000-0100-000030000000}"/>
  <tableColumns count="17">
    <tableColumn id="1" xr3:uid="{00000000-0010-0000-2F00-000001000000}" name="Participating Districts" totalsRowLabel="Total: 3" dataDxfId="147"/>
    <tableColumn id="2" xr3:uid="{00000000-0010-0000-2F00-000002000000}" name="Participating Schools" totalsRowLabel="4" dataDxfId="146" totalsRowDxfId="145"/>
    <tableColumn id="3" xr3:uid="{00000000-0010-0000-2F00-000003000000}" name="American Sign Language Total" totalsRowFunction="sum" dataDxfId="144"/>
    <tableColumn id="4" xr3:uid="{00000000-0010-0000-2F00-000004000000}" name="Arabic Total" totalsRowFunction="sum" dataDxfId="143"/>
    <tableColumn id="5" xr3:uid="{00000000-0010-0000-2F00-000005000000}" name="Cantonese Total" totalsRowFunction="sum" dataDxfId="142"/>
    <tableColumn id="6" xr3:uid="{00000000-0010-0000-2F00-000006000000}" name="French Total" totalsRowFunction="sum" dataDxfId="141"/>
    <tableColumn id="7" xr3:uid="{00000000-0010-0000-2F00-000007000000}" name="German Total" totalsRowFunction="sum" dataDxfId="140"/>
    <tableColumn id="8" xr3:uid="{00000000-0010-0000-2F00-000008000000}" name="Hmong Total" totalsRowFunction="sum" dataDxfId="139"/>
    <tableColumn id="9" xr3:uid="{00000000-0010-0000-2F00-000009000000}" name="Italian Total" totalsRowFunction="sum" dataDxfId="138"/>
    <tableColumn id="10" xr3:uid="{00000000-0010-0000-2F00-00000A000000}" name="Japanese Total" totalsRowFunction="sum" dataDxfId="137"/>
    <tableColumn id="11" xr3:uid="{00000000-0010-0000-2F00-00000B000000}" name="Korean Total" totalsRowFunction="sum" dataDxfId="136"/>
    <tableColumn id="12" xr3:uid="{00000000-0010-0000-2F00-00000C000000}" name="Latin Total" totalsRowFunction="sum" dataDxfId="135"/>
    <tableColumn id="13" xr3:uid="{00000000-0010-0000-2F00-00000D000000}" name="Mandarin Total" totalsRowFunction="sum" dataDxfId="134"/>
    <tableColumn id="14" xr3:uid="{00000000-0010-0000-2F00-00000E000000}" name="Spanish Total" totalsRowFunction="sum" dataDxfId="133"/>
    <tableColumn id="15" xr3:uid="{00000000-0010-0000-2F00-00000F000000}" name="Tagalog (Filipino) Total" totalsRowFunction="sum" dataDxfId="132"/>
    <tableColumn id="16" xr3:uid="{00000000-0010-0000-2F00-000010000000}" name="Vietnamese Total" totalsRowFunction="sum" dataDxfId="131"/>
    <tableColumn id="17" xr3:uid="{00000000-0010-0000-2F00-000011000000}" name="Other Total" totalsRowFunction="sum" dataDxfId="13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Tehama county and also includes language totals.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30000000}" name="Table50" displayName="Table50" ref="A2:Q13" totalsRowCount="1" headerRowDxfId="129" dataDxfId="128">
  <autoFilter ref="A2:Q12" xr:uid="{00000000-0009-0000-0100-000031000000}"/>
  <tableColumns count="17">
    <tableColumn id="1" xr3:uid="{00000000-0010-0000-3000-000001000000}" name="Participating Districts" totalsRowLabel="Total: 10" dataDxfId="127"/>
    <tableColumn id="2" xr3:uid="{00000000-0010-0000-3000-000002000000}" name="Participating Schools" totalsRowLabel="19" dataDxfId="126" totalsRowDxfId="125"/>
    <tableColumn id="3" xr3:uid="{00000000-0010-0000-3000-000003000000}" name="American Sign Language Total" totalsRowFunction="sum" dataDxfId="124"/>
    <tableColumn id="4" xr3:uid="{00000000-0010-0000-3000-000004000000}" name="Arabic Total" totalsRowFunction="sum" dataDxfId="123"/>
    <tableColumn id="5" xr3:uid="{00000000-0010-0000-3000-000005000000}" name="Cantonese Total" totalsRowFunction="sum" dataDxfId="122"/>
    <tableColumn id="6" xr3:uid="{00000000-0010-0000-3000-000006000000}" name="French Total" totalsRowFunction="sum" dataDxfId="121"/>
    <tableColumn id="7" xr3:uid="{00000000-0010-0000-3000-000007000000}" name="German Total" totalsRowFunction="sum" dataDxfId="120"/>
    <tableColumn id="8" xr3:uid="{00000000-0010-0000-3000-000008000000}" name="Hmong Total" totalsRowFunction="sum" dataDxfId="119"/>
    <tableColumn id="9" xr3:uid="{00000000-0010-0000-3000-000009000000}" name="Italian Total" totalsRowFunction="sum" dataDxfId="118"/>
    <tableColumn id="10" xr3:uid="{00000000-0010-0000-3000-00000A000000}" name="Japanese Total" totalsRowFunction="sum" dataDxfId="117"/>
    <tableColumn id="11" xr3:uid="{00000000-0010-0000-3000-00000B000000}" name="Korean Total" totalsRowFunction="sum" dataDxfId="116"/>
    <tableColumn id="12" xr3:uid="{00000000-0010-0000-3000-00000C000000}" name="Latin Total" totalsRowFunction="sum" dataDxfId="115"/>
    <tableColumn id="13" xr3:uid="{00000000-0010-0000-3000-00000D000000}" name="Mandarin Total" totalsRowFunction="sum" dataDxfId="114"/>
    <tableColumn id="14" xr3:uid="{00000000-0010-0000-3000-00000E000000}" name="Spanish Total" totalsRowFunction="sum" dataDxfId="113"/>
    <tableColumn id="15" xr3:uid="{00000000-0010-0000-3000-00000F000000}" name="Tagalog (Filipino) Total" totalsRowFunction="sum" dataDxfId="112"/>
    <tableColumn id="16" xr3:uid="{00000000-0010-0000-3000-000010000000}" name="Vietnamese Total" totalsRowFunction="sum" dataDxfId="111"/>
    <tableColumn id="17" xr3:uid="{00000000-0010-0000-3000-000011000000}" name="Other Total" totalsRowFunction="sum" dataDxfId="11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Tulare county and also includes language total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6" displayName="Table6" ref="A2:Q4" totalsRowCount="1" headerRowDxfId="837">
  <autoFilter ref="A2:Q3" xr:uid="{00000000-0009-0000-0100-000006000000}"/>
  <tableColumns count="17">
    <tableColumn id="1" xr3:uid="{00000000-0010-0000-0400-000001000000}" name="Participating District" totalsRowLabel="Total: 1"/>
    <tableColumn id="2" xr3:uid="{00000000-0010-0000-0400-000002000000}" name="Participating School" totalsRowLabel="1" totalsRowDxfId="836"/>
    <tableColumn id="3" xr3:uid="{00000000-0010-0000-0400-000003000000}" name="American Sign Language Total" totalsRowFunction="sum"/>
    <tableColumn id="4" xr3:uid="{00000000-0010-0000-0400-000004000000}" name="Arabic Total" totalsRowFunction="sum"/>
    <tableColumn id="5" xr3:uid="{00000000-0010-0000-0400-000005000000}" name="Cantonese Total" totalsRowFunction="sum"/>
    <tableColumn id="6" xr3:uid="{00000000-0010-0000-0400-000006000000}" name="French Total" totalsRowFunction="sum"/>
    <tableColumn id="7" xr3:uid="{00000000-0010-0000-0400-000007000000}" name="German Total" totalsRowFunction="sum"/>
    <tableColumn id="8" xr3:uid="{00000000-0010-0000-0400-000008000000}" name="Hmong Total" totalsRowFunction="sum"/>
    <tableColumn id="9" xr3:uid="{00000000-0010-0000-0400-000009000000}" name="Italian Total" totalsRowFunction="sum"/>
    <tableColumn id="10" xr3:uid="{00000000-0010-0000-0400-00000A000000}" name="Japanese Total" totalsRowFunction="sum"/>
    <tableColumn id="11" xr3:uid="{00000000-0010-0000-0400-00000B000000}" name="Korean Total" totalsRowFunction="sum"/>
    <tableColumn id="12" xr3:uid="{00000000-0010-0000-0400-00000C000000}" name="Latin Total" totalsRowFunction="sum"/>
    <tableColumn id="13" xr3:uid="{00000000-0010-0000-0400-00000D000000}" name="Mandarin Total" totalsRowFunction="sum"/>
    <tableColumn id="14" xr3:uid="{00000000-0010-0000-0400-00000E000000}" name="Spanish Total" totalsRowFunction="sum"/>
    <tableColumn id="15" xr3:uid="{00000000-0010-0000-0400-00000F000000}" name="Tagalog (Filipino) Total" totalsRowFunction="sum"/>
    <tableColumn id="16" xr3:uid="{00000000-0010-0000-0400-000010000000}" name="Vietnamese Total" totalsRowFunction="sum"/>
    <tableColumn id="17" xr3:uid="{00000000-0010-0000-04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Calaveras county and also includes language totals.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31000000}" name="Table51" displayName="Table51" ref="A2:Q11" totalsRowCount="1" headerRowDxfId="109" dataDxfId="108">
  <autoFilter ref="A2:Q10" xr:uid="{00000000-0009-0000-0100-000032000000}"/>
  <tableColumns count="17">
    <tableColumn id="1" xr3:uid="{00000000-0010-0000-3100-000001000000}" name="Participating Districts" totalsRowLabel="Total: 8" dataDxfId="107"/>
    <tableColumn id="2" xr3:uid="{00000000-0010-0000-3100-000002000000}" name="Participating Schools" totalsRowLabel="21" dataDxfId="106" totalsRowDxfId="105"/>
    <tableColumn id="3" xr3:uid="{00000000-0010-0000-3100-000003000000}" name="American Sign Language Total" totalsRowFunction="sum" dataDxfId="104" totalsRowDxfId="103"/>
    <tableColumn id="4" xr3:uid="{00000000-0010-0000-3100-000004000000}" name="Arabic Total" totalsRowFunction="sum" dataDxfId="102" totalsRowDxfId="101"/>
    <tableColumn id="5" xr3:uid="{00000000-0010-0000-3100-000005000000}" name="Cantonese Total" totalsRowFunction="sum" dataDxfId="100" totalsRowDxfId="99"/>
    <tableColumn id="6" xr3:uid="{00000000-0010-0000-3100-000006000000}" name="French Total" totalsRowFunction="sum" dataDxfId="98" totalsRowDxfId="97"/>
    <tableColumn id="7" xr3:uid="{00000000-0010-0000-3100-000007000000}" name="German Total" totalsRowFunction="sum" dataDxfId="96" totalsRowDxfId="95"/>
    <tableColumn id="8" xr3:uid="{00000000-0010-0000-3100-000008000000}" name="Hmong Total" totalsRowFunction="sum" dataDxfId="94" totalsRowDxfId="93"/>
    <tableColumn id="9" xr3:uid="{00000000-0010-0000-3100-000009000000}" name="Italian Total" totalsRowFunction="sum" dataDxfId="92" totalsRowDxfId="91"/>
    <tableColumn id="10" xr3:uid="{00000000-0010-0000-3100-00000A000000}" name="Japanese Total" totalsRowFunction="sum" dataDxfId="90" totalsRowDxfId="89"/>
    <tableColumn id="11" xr3:uid="{00000000-0010-0000-3100-00000B000000}" name="Korean Total" totalsRowFunction="sum" dataDxfId="88" totalsRowDxfId="87"/>
    <tableColumn id="12" xr3:uid="{00000000-0010-0000-3100-00000C000000}" name="Latin Total" totalsRowFunction="sum" dataDxfId="86" totalsRowDxfId="85"/>
    <tableColumn id="13" xr3:uid="{00000000-0010-0000-3100-00000D000000}" name="Mandarin Total" totalsRowFunction="sum" dataDxfId="84" totalsRowDxfId="83"/>
    <tableColumn id="14" xr3:uid="{00000000-0010-0000-3100-00000E000000}" name="Spanish Total" totalsRowFunction="sum" dataDxfId="82" totalsRowDxfId="81"/>
    <tableColumn id="15" xr3:uid="{00000000-0010-0000-3100-00000F000000}" name="Tagalog (Filipino) Total" totalsRowFunction="sum" dataDxfId="80" totalsRowDxfId="79"/>
    <tableColumn id="16" xr3:uid="{00000000-0010-0000-3100-000010000000}" name="Vietnamese Total" totalsRowFunction="sum" dataDxfId="78" totalsRowDxfId="77"/>
    <tableColumn id="17" xr3:uid="{00000000-0010-0000-3100-000011000000}" name="Other Total" totalsRowFunction="sum" dataDxfId="76" totalsRowDxfId="75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Ventura county and also includes language totals.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32000000}" name="Table52" displayName="Table52" ref="A2:Q7" totalsRowCount="1" headerRowDxfId="74" dataDxfId="73">
  <autoFilter ref="A2:Q6" xr:uid="{00000000-0009-0000-0100-000033000000}"/>
  <tableColumns count="17">
    <tableColumn id="1" xr3:uid="{00000000-0010-0000-3200-000001000000}" name="Participating Districts" totalsRowLabel="Total: 4" dataDxfId="72"/>
    <tableColumn id="2" xr3:uid="{00000000-0010-0000-3200-000002000000}" name="Participating Schools" totalsRowLabel="6" dataDxfId="71" totalsRowDxfId="70"/>
    <tableColumn id="3" xr3:uid="{00000000-0010-0000-3200-000003000000}" name="American Sign Language Total" totalsRowFunction="sum" dataDxfId="69"/>
    <tableColumn id="4" xr3:uid="{00000000-0010-0000-3200-000004000000}" name="Arabic Total" totalsRowFunction="sum" dataDxfId="68"/>
    <tableColumn id="5" xr3:uid="{00000000-0010-0000-3200-000005000000}" name="Cantonese Total" totalsRowFunction="sum" dataDxfId="67"/>
    <tableColumn id="6" xr3:uid="{00000000-0010-0000-3200-000006000000}" name="French Total" totalsRowFunction="sum" dataDxfId="66"/>
    <tableColumn id="7" xr3:uid="{00000000-0010-0000-3200-000007000000}" name="German Total" totalsRowFunction="sum" dataDxfId="65"/>
    <tableColumn id="8" xr3:uid="{00000000-0010-0000-3200-000008000000}" name="Hmong Total" totalsRowFunction="sum" dataDxfId="64"/>
    <tableColumn id="9" xr3:uid="{00000000-0010-0000-3200-000009000000}" name="Italian Total" totalsRowFunction="sum" dataDxfId="63"/>
    <tableColumn id="10" xr3:uid="{00000000-0010-0000-3200-00000A000000}" name="Japanese Total" totalsRowFunction="sum" dataDxfId="62"/>
    <tableColumn id="11" xr3:uid="{00000000-0010-0000-3200-00000B000000}" name="Korean Total" totalsRowFunction="sum" dataDxfId="61"/>
    <tableColumn id="12" xr3:uid="{00000000-0010-0000-3200-00000C000000}" name="Latin Total" totalsRowFunction="sum" dataDxfId="60"/>
    <tableColumn id="13" xr3:uid="{00000000-0010-0000-3200-00000D000000}" name="Mandarin Total" totalsRowFunction="sum" dataDxfId="59"/>
    <tableColumn id="14" xr3:uid="{00000000-0010-0000-3200-00000E000000}" name="Spanish Total" totalsRowFunction="sum" dataDxfId="58"/>
    <tableColumn id="15" xr3:uid="{00000000-0010-0000-3200-00000F000000}" name="Tagalog (Filipino) Total" totalsRowFunction="sum" dataDxfId="57"/>
    <tableColumn id="16" xr3:uid="{00000000-0010-0000-3200-000010000000}" name="Vietnamese Total" totalsRowFunction="sum" dataDxfId="56"/>
    <tableColumn id="17" xr3:uid="{00000000-0010-0000-3200-000011000000}" name="Other Total" totalsRowFunction="sum" dataDxfId="55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Yolo county and also includes language totals."/>
    </ext>
  </extLst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3000000}" name="Table53" displayName="Table53" ref="A2:Q5" totalsRowCount="1" headerRowDxfId="54" dataDxfId="53">
  <autoFilter ref="A2:Q4" xr:uid="{00000000-0009-0000-0100-000034000000}"/>
  <tableColumns count="17">
    <tableColumn id="1" xr3:uid="{00000000-0010-0000-3300-000001000000}" name="Participating Districts" totalsRowLabel="Total: 2" dataDxfId="52"/>
    <tableColumn id="2" xr3:uid="{00000000-0010-0000-3300-000002000000}" name="Participating Schools" totalsRowLabel="4" dataDxfId="51" totalsRowDxfId="50"/>
    <tableColumn id="3" xr3:uid="{00000000-0010-0000-3300-000003000000}" name="American Sign Language Total" totalsRowFunction="sum" dataDxfId="49"/>
    <tableColumn id="4" xr3:uid="{00000000-0010-0000-3300-000004000000}" name="Arabic Total" totalsRowFunction="sum" dataDxfId="48"/>
    <tableColumn id="5" xr3:uid="{00000000-0010-0000-3300-000005000000}" name="Cantonese Total" totalsRowFunction="sum" dataDxfId="47"/>
    <tableColumn id="6" xr3:uid="{00000000-0010-0000-3300-000006000000}" name="French Total" totalsRowFunction="sum" dataDxfId="46"/>
    <tableColumn id="7" xr3:uid="{00000000-0010-0000-3300-000007000000}" name="German Total" totalsRowFunction="sum" dataDxfId="45"/>
    <tableColumn id="8" xr3:uid="{00000000-0010-0000-3300-000008000000}" name="Hmong Total" totalsRowFunction="sum" dataDxfId="44"/>
    <tableColumn id="9" xr3:uid="{00000000-0010-0000-3300-000009000000}" name="Italian Total" totalsRowFunction="sum" dataDxfId="43"/>
    <tableColumn id="10" xr3:uid="{00000000-0010-0000-3300-00000A000000}" name="Japanese Total" totalsRowFunction="sum" dataDxfId="42"/>
    <tableColumn id="11" xr3:uid="{00000000-0010-0000-3300-00000B000000}" name="Korean Total" totalsRowFunction="sum" dataDxfId="41"/>
    <tableColumn id="12" xr3:uid="{00000000-0010-0000-3300-00000C000000}" name="Latin Total" totalsRowFunction="sum" dataDxfId="40"/>
    <tableColumn id="13" xr3:uid="{00000000-0010-0000-3300-00000D000000}" name="Mandarin Total" totalsRowFunction="sum" dataDxfId="39"/>
    <tableColumn id="14" xr3:uid="{00000000-0010-0000-3300-00000E000000}" name="Spanish Total" totalsRowFunction="sum" dataDxfId="38"/>
    <tableColumn id="15" xr3:uid="{00000000-0010-0000-3300-00000F000000}" name="Tagalog (Filipino) Total" totalsRowFunction="sum" dataDxfId="37"/>
    <tableColumn id="16" xr3:uid="{00000000-0010-0000-3300-000010000000}" name="Vietnamese Total" totalsRowFunction="sum" dataDxfId="36"/>
    <tableColumn id="17" xr3:uid="{00000000-0010-0000-3300-000011000000}" name="Other Total" totalsRowFunction="sum" dataDxfId="35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Yuba county and also includes language total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7" displayName="Table7" ref="A2:Q5" totalsRowCount="1" headerRowDxfId="835">
  <autoFilter ref="A2:Q4" xr:uid="{00000000-0009-0000-0100-000007000000}"/>
  <tableColumns count="17">
    <tableColumn id="1" xr3:uid="{00000000-0010-0000-0500-000001000000}" name="Participating Districts" totalsRowLabel="Total: 2"/>
    <tableColumn id="2" xr3:uid="{00000000-0010-0000-0500-000002000000}" name="Participating Schools" totalsRowLabel="2" totalsRowDxfId="834"/>
    <tableColumn id="3" xr3:uid="{00000000-0010-0000-0500-000003000000}" name="American Sign Language Total" totalsRowFunction="sum"/>
    <tableColumn id="4" xr3:uid="{00000000-0010-0000-0500-000004000000}" name="Arabic Total" totalsRowFunction="sum"/>
    <tableColumn id="5" xr3:uid="{00000000-0010-0000-0500-000005000000}" name="Cantonese Total" totalsRowFunction="sum"/>
    <tableColumn id="6" xr3:uid="{00000000-0010-0000-0500-000006000000}" name="French Total" totalsRowFunction="sum"/>
    <tableColumn id="7" xr3:uid="{00000000-0010-0000-0500-000007000000}" name="German Total" totalsRowFunction="sum"/>
    <tableColumn id="8" xr3:uid="{00000000-0010-0000-0500-000008000000}" name="Hmong Total" totalsRowFunction="sum"/>
    <tableColumn id="9" xr3:uid="{00000000-0010-0000-0500-000009000000}" name="Italian Total" totalsRowFunction="sum"/>
    <tableColumn id="10" xr3:uid="{00000000-0010-0000-0500-00000A000000}" name="Japanese Total" totalsRowFunction="sum"/>
    <tableColumn id="11" xr3:uid="{00000000-0010-0000-0500-00000B000000}" name="Korean Total" totalsRowFunction="sum"/>
    <tableColumn id="12" xr3:uid="{00000000-0010-0000-0500-00000C000000}" name="Latin Total" totalsRowFunction="sum"/>
    <tableColumn id="13" xr3:uid="{00000000-0010-0000-0500-00000D000000}" name="Mandarin Total" totalsRowFunction="sum"/>
    <tableColumn id="14" xr3:uid="{00000000-0010-0000-0500-00000E000000}" name="Spanish Total" totalsRowFunction="sum"/>
    <tableColumn id="15" xr3:uid="{00000000-0010-0000-0500-00000F000000}" name="Tagalog (Filipino) Total" totalsRowFunction="sum"/>
    <tableColumn id="16" xr3:uid="{00000000-0010-0000-0500-000010000000}" name="Vietnamese Total" totalsRowFunction="sum"/>
    <tableColumn id="17" xr3:uid="{00000000-0010-0000-05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Colusa county and also includes language total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8" displayName="Table8" ref="A2:Q12" totalsRowCount="1" headerRowDxfId="833" dataDxfId="832">
  <autoFilter ref="A2:Q11" xr:uid="{00000000-0009-0000-0100-000008000000}"/>
  <tableColumns count="17">
    <tableColumn id="1" xr3:uid="{00000000-0010-0000-0600-000001000000}" name="Participating Districts" totalsRowLabel="Total: 9" dataDxfId="831"/>
    <tableColumn id="2" xr3:uid="{00000000-0010-0000-0600-000002000000}" name="Participating Schools" totalsRowLabel="28" dataDxfId="830" totalsRowDxfId="829"/>
    <tableColumn id="3" xr3:uid="{00000000-0010-0000-0600-000003000000}" name="American Sign Language Total" totalsRowFunction="sum" dataDxfId="828" totalsRowDxfId="827"/>
    <tableColumn id="4" xr3:uid="{00000000-0010-0000-0600-000004000000}" name="Arabic Total" totalsRowFunction="sum" dataDxfId="826" totalsRowDxfId="825"/>
    <tableColumn id="5" xr3:uid="{00000000-0010-0000-0600-000005000000}" name="Cantonese Total" totalsRowFunction="sum" dataDxfId="824" totalsRowDxfId="823"/>
    <tableColumn id="6" xr3:uid="{00000000-0010-0000-0600-000006000000}" name="French Total" totalsRowFunction="sum" dataDxfId="822" totalsRowDxfId="821"/>
    <tableColumn id="7" xr3:uid="{00000000-0010-0000-0600-000007000000}" name="German Total" totalsRowFunction="sum" dataDxfId="820" totalsRowDxfId="819"/>
    <tableColumn id="8" xr3:uid="{00000000-0010-0000-0600-000008000000}" name="Hmong Total" totalsRowFunction="sum" dataDxfId="818" totalsRowDxfId="817"/>
    <tableColumn id="9" xr3:uid="{00000000-0010-0000-0600-000009000000}" name="Italian Total" totalsRowFunction="sum" dataDxfId="816" totalsRowDxfId="815"/>
    <tableColumn id="10" xr3:uid="{00000000-0010-0000-0600-00000A000000}" name="Japanese Total" totalsRowFunction="sum" dataDxfId="814" totalsRowDxfId="813"/>
    <tableColumn id="11" xr3:uid="{00000000-0010-0000-0600-00000B000000}" name="Korean Total" totalsRowFunction="sum" dataDxfId="812" totalsRowDxfId="811"/>
    <tableColumn id="12" xr3:uid="{00000000-0010-0000-0600-00000C000000}" name="Latin Total" totalsRowFunction="sum" dataDxfId="810" totalsRowDxfId="809"/>
    <tableColumn id="13" xr3:uid="{00000000-0010-0000-0600-00000D000000}" name="Mandarin Total" totalsRowFunction="sum" dataDxfId="808" totalsRowDxfId="807"/>
    <tableColumn id="14" xr3:uid="{00000000-0010-0000-0600-00000E000000}" name="Spanish Total" totalsRowFunction="sum" dataDxfId="806" totalsRowDxfId="805"/>
    <tableColumn id="15" xr3:uid="{00000000-0010-0000-0600-00000F000000}" name="Tagalog (Filipino) Total" totalsRowFunction="sum" dataDxfId="804" totalsRowDxfId="803"/>
    <tableColumn id="16" xr3:uid="{00000000-0010-0000-0600-000010000000}" name="Vietnamese Total" totalsRowFunction="sum" dataDxfId="802" totalsRowDxfId="801"/>
    <tableColumn id="17" xr3:uid="{00000000-0010-0000-0600-000011000000}" name="Other Total" totalsRowFunction="sum" dataDxfId="800" totalsRowDxfId="799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Contra Costa county and also includes language total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2:Q4" totalsRowCount="1" headerRowDxfId="798">
  <autoFilter ref="A2:Q3" xr:uid="{00000000-0009-0000-0100-000009000000}"/>
  <tableColumns count="17">
    <tableColumn id="1" xr3:uid="{00000000-0010-0000-0700-000001000000}" name="Participating District" totalsRowLabel="Total: 1"/>
    <tableColumn id="2" xr3:uid="{00000000-0010-0000-0700-000002000000}" name="Participating School" totalsRowLabel="1" totalsRowDxfId="797"/>
    <tableColumn id="3" xr3:uid="{00000000-0010-0000-0700-000003000000}" name="American Sign Language Total" totalsRowFunction="sum"/>
    <tableColumn id="4" xr3:uid="{00000000-0010-0000-0700-000004000000}" name="Arabic Total" totalsRowFunction="sum"/>
    <tableColumn id="5" xr3:uid="{00000000-0010-0000-0700-000005000000}" name="Cantonese Total" totalsRowFunction="sum"/>
    <tableColumn id="6" xr3:uid="{00000000-0010-0000-0700-000006000000}" name="French Total" totalsRowFunction="sum"/>
    <tableColumn id="7" xr3:uid="{00000000-0010-0000-0700-000007000000}" name="German Total" totalsRowFunction="sum"/>
    <tableColumn id="8" xr3:uid="{00000000-0010-0000-0700-000008000000}" name="Hmong Total" totalsRowFunction="sum"/>
    <tableColumn id="9" xr3:uid="{00000000-0010-0000-0700-000009000000}" name="Italian Total" totalsRowFunction="sum"/>
    <tableColumn id="10" xr3:uid="{00000000-0010-0000-0700-00000A000000}" name="Japanese Total" totalsRowFunction="sum"/>
    <tableColumn id="11" xr3:uid="{00000000-0010-0000-0700-00000B000000}" name="Korean Total" totalsRowFunction="sum"/>
    <tableColumn id="12" xr3:uid="{00000000-0010-0000-0700-00000C000000}" name="Latin Total" totalsRowFunction="sum"/>
    <tableColumn id="13" xr3:uid="{00000000-0010-0000-0700-00000D000000}" name="Mandarin Total" totalsRowFunction="sum"/>
    <tableColumn id="14" xr3:uid="{00000000-0010-0000-0700-00000E000000}" name="Spanish Total" totalsRowFunction="sum"/>
    <tableColumn id="15" xr3:uid="{00000000-0010-0000-0700-00000F000000}" name="Tagalog (Filipino) Total" totalsRowFunction="sum"/>
    <tableColumn id="16" xr3:uid="{00000000-0010-0000-0700-000010000000}" name="Vietnamese Total" totalsRowFunction="sum"/>
    <tableColumn id="17" xr3:uid="{00000000-0010-0000-0700-000011000000}" name="Other Total" totalsRowFunction="sum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Del Norte county and also includes language total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e10" displayName="Table10" ref="A2:Q5" totalsRowCount="1" headerRowDxfId="796" dataDxfId="795">
  <autoFilter ref="A2:Q4" xr:uid="{00000000-0009-0000-0100-00000A000000}"/>
  <tableColumns count="17">
    <tableColumn id="1" xr3:uid="{00000000-0010-0000-0800-000001000000}" name="Participating Districts" totalsRowLabel="Total: 2" dataDxfId="794"/>
    <tableColumn id="2" xr3:uid="{00000000-0010-0000-0800-000002000000}" name="Participating Schools" totalsRowLabel="5" dataDxfId="793" totalsRowDxfId="792"/>
    <tableColumn id="3" xr3:uid="{00000000-0010-0000-0800-000003000000}" name="American Sign Language Total" totalsRowFunction="sum" dataDxfId="791"/>
    <tableColumn id="4" xr3:uid="{00000000-0010-0000-0800-000004000000}" name="Arabic Total" totalsRowFunction="sum" dataDxfId="790"/>
    <tableColumn id="5" xr3:uid="{00000000-0010-0000-0800-000005000000}" name="Cantonese Total" totalsRowFunction="sum" dataDxfId="789"/>
    <tableColumn id="6" xr3:uid="{00000000-0010-0000-0800-000006000000}" name="French Total" totalsRowFunction="sum" dataDxfId="788"/>
    <tableColumn id="7" xr3:uid="{00000000-0010-0000-0800-000007000000}" name="German Total" totalsRowFunction="sum" dataDxfId="787"/>
    <tableColumn id="8" xr3:uid="{00000000-0010-0000-0800-000008000000}" name="Hmong Total" totalsRowFunction="sum" dataDxfId="786"/>
    <tableColumn id="9" xr3:uid="{00000000-0010-0000-0800-000009000000}" name="Italian Total" totalsRowFunction="sum" dataDxfId="785"/>
    <tableColumn id="10" xr3:uid="{00000000-0010-0000-0800-00000A000000}" name="Japanese Total" totalsRowFunction="sum" dataDxfId="784"/>
    <tableColumn id="11" xr3:uid="{00000000-0010-0000-0800-00000B000000}" name="Korean Total" totalsRowFunction="sum" dataDxfId="783"/>
    <tableColumn id="12" xr3:uid="{00000000-0010-0000-0800-00000C000000}" name="Latin Total" totalsRowFunction="sum" dataDxfId="782"/>
    <tableColumn id="13" xr3:uid="{00000000-0010-0000-0800-00000D000000}" name="Mandarin Total" totalsRowFunction="sum" dataDxfId="781"/>
    <tableColumn id="14" xr3:uid="{00000000-0010-0000-0800-00000E000000}" name="Spanish Total" totalsRowFunction="sum" dataDxfId="780"/>
    <tableColumn id="15" xr3:uid="{00000000-0010-0000-0800-00000F000000}" name="Tagalog (Filipino) Total" totalsRowFunction="sum" dataDxfId="779"/>
    <tableColumn id="16" xr3:uid="{00000000-0010-0000-0800-000010000000}" name="Vietnamese Total" totalsRowFunction="sum" dataDxfId="778"/>
    <tableColumn id="17" xr3:uid="{00000000-0010-0000-0800-000011000000}" name="Other Total" totalsRowFunction="sum" dataDxfId="777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8-19 California State Seal of Biliteracy program in El Dorado county and also includes language tota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5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8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14.54296875" customWidth="1"/>
    <col min="2" max="3" width="15.08984375" bestFit="1" customWidth="1"/>
    <col min="4" max="4" width="16.1796875" customWidth="1"/>
    <col min="5" max="5" width="7.54296875" customWidth="1"/>
    <col min="6" max="6" width="10.1796875" customWidth="1"/>
    <col min="7" max="7" width="7.36328125" customWidth="1"/>
    <col min="8" max="10" width="7.6328125" customWidth="1"/>
    <col min="11" max="11" width="9.81640625" customWidth="1"/>
    <col min="12" max="12" width="7.453125" customWidth="1"/>
    <col min="13" max="13" width="7.08984375" customWidth="1"/>
    <col min="14" max="14" width="9.36328125" customWidth="1"/>
    <col min="15" max="15" width="8.08984375" customWidth="1"/>
    <col min="16" max="16" width="8.90625" customWidth="1"/>
    <col min="17" max="17" width="11.08984375" customWidth="1"/>
    <col min="18" max="18" width="7.1796875" customWidth="1"/>
    <col min="19" max="19" width="7.36328125" customWidth="1"/>
  </cols>
  <sheetData>
    <row r="1" spans="1:19" ht="22.8" x14ac:dyDescent="0.4">
      <c r="A1" s="1" t="s">
        <v>796</v>
      </c>
      <c r="B1" s="1"/>
    </row>
    <row r="2" spans="1:19" x14ac:dyDescent="0.25">
      <c r="A2" t="s">
        <v>155</v>
      </c>
    </row>
    <row r="3" spans="1:19" x14ac:dyDescent="0.25">
      <c r="A3" t="s">
        <v>799</v>
      </c>
    </row>
    <row r="4" spans="1:19" ht="48" customHeight="1" x14ac:dyDescent="0.25">
      <c r="A4" s="2" t="s">
        <v>156</v>
      </c>
      <c r="B4" s="2" t="s">
        <v>172</v>
      </c>
      <c r="C4" s="2" t="s">
        <v>157</v>
      </c>
      <c r="D4" s="2" t="s">
        <v>158</v>
      </c>
      <c r="E4" s="2" t="s">
        <v>173</v>
      </c>
      <c r="F4" s="2" t="s">
        <v>159</v>
      </c>
      <c r="G4" s="2" t="s">
        <v>160</v>
      </c>
      <c r="H4" s="2" t="s">
        <v>161</v>
      </c>
      <c r="I4" s="2" t="s">
        <v>188</v>
      </c>
      <c r="J4" s="2" t="s">
        <v>174</v>
      </c>
      <c r="K4" s="2" t="s">
        <v>162</v>
      </c>
      <c r="L4" s="2" t="s">
        <v>163</v>
      </c>
      <c r="M4" s="2" t="s">
        <v>164</v>
      </c>
      <c r="N4" s="2" t="s">
        <v>165</v>
      </c>
      <c r="O4" s="2" t="s">
        <v>166</v>
      </c>
      <c r="P4" s="2" t="s">
        <v>797</v>
      </c>
      <c r="Q4" s="2" t="s">
        <v>167</v>
      </c>
      <c r="R4" s="2" t="s">
        <v>168</v>
      </c>
      <c r="S4" s="3" t="s">
        <v>169</v>
      </c>
    </row>
    <row r="5" spans="1:19" x14ac:dyDescent="0.25">
      <c r="A5" t="s">
        <v>5</v>
      </c>
      <c r="B5" s="5">
        <v>17</v>
      </c>
      <c r="C5" s="4">
        <v>42</v>
      </c>
      <c r="D5" s="5">
        <f>Table2[[#Totals],[American Sign Language Total]]</f>
        <v>65</v>
      </c>
      <c r="E5" s="5">
        <f>Table2[[#Totals],[Arabic Total]]</f>
        <v>11</v>
      </c>
      <c r="F5" s="5">
        <f>Table2[[#Totals],[Cantonese Total]]</f>
        <v>13</v>
      </c>
      <c r="G5" s="5">
        <f>Table2[[#Totals],[French Total]]</f>
        <v>260</v>
      </c>
      <c r="H5" s="5">
        <f>Table2[[#Totals],[German Total]]</f>
        <v>28</v>
      </c>
      <c r="I5" s="5">
        <f>Table2[[#Totals],[Hmong Total]]</f>
        <v>0</v>
      </c>
      <c r="J5" s="5">
        <f>Table2[[#Totals],[Italian Total]]</f>
        <v>0</v>
      </c>
      <c r="K5" s="5">
        <f>Table2[[#Totals],[Japanese Total]]</f>
        <v>68</v>
      </c>
      <c r="L5" s="5">
        <f>Table2[[#Totals],[Korean Total]]</f>
        <v>8</v>
      </c>
      <c r="M5" s="5">
        <f>Table2[[#Totals],[Latin Total]]</f>
        <v>3</v>
      </c>
      <c r="N5" s="5">
        <f>Table2[[#Totals],[Mandarin Total]]</f>
        <v>415</v>
      </c>
      <c r="O5" s="5">
        <f>Table2[[#Totals],[Spanish Total]]</f>
        <v>1347</v>
      </c>
      <c r="P5" s="5">
        <f>Table2[[#Totals],[Tagalog (Filipino) Total]]</f>
        <v>0</v>
      </c>
      <c r="Q5" s="5">
        <f>Table2[[#Totals],[Vietnamese Total]]</f>
        <v>0</v>
      </c>
      <c r="R5" s="5">
        <f>Table2[[#Totals],[Other Total]]</f>
        <v>3</v>
      </c>
      <c r="S5" s="5">
        <f>SUM(Table30[[#This Row],[American Sign Language Total]:[Other Total]])</f>
        <v>2221</v>
      </c>
    </row>
    <row r="6" spans="1:19" x14ac:dyDescent="0.25">
      <c r="A6" t="s">
        <v>133</v>
      </c>
      <c r="B6" s="5">
        <v>1</v>
      </c>
      <c r="C6" s="4">
        <v>2</v>
      </c>
      <c r="D6" s="5">
        <f>Table4[[#Totals],[American Sign Language Total]]</f>
        <v>0</v>
      </c>
      <c r="E6" s="5">
        <f>Table4[[#Totals],[Arabic Total]]</f>
        <v>0</v>
      </c>
      <c r="F6" s="5">
        <f>Table4[[#Totals],[Cantonese Total]]</f>
        <v>0</v>
      </c>
      <c r="G6" s="5">
        <f>Table4[[#Totals],[French Total]]</f>
        <v>0</v>
      </c>
      <c r="H6" s="5">
        <f>Table4[[#Totals],[German Total]]</f>
        <v>0</v>
      </c>
      <c r="I6" s="5">
        <f>Table4[[#Totals],[Hmong Total]]</f>
        <v>0</v>
      </c>
      <c r="J6" s="5">
        <f>Table4[[#Totals],[Italian Total]]</f>
        <v>0</v>
      </c>
      <c r="K6" s="5">
        <f>Table4[[#Totals],[Japanese Total]]</f>
        <v>0</v>
      </c>
      <c r="L6" s="5">
        <f>Table4[[#Totals],[Korean Total]]</f>
        <v>0</v>
      </c>
      <c r="M6" s="5">
        <f>Table4[[#Totals],[Latin Total]]</f>
        <v>0</v>
      </c>
      <c r="N6" s="5">
        <f>Table4[[#Totals],[Mandarin Total]]</f>
        <v>10</v>
      </c>
      <c r="O6" s="5">
        <f>Table4[[#Totals],[Spanish Total]]</f>
        <v>0</v>
      </c>
      <c r="P6" s="5">
        <f>Table4[[#Totals],[Tagalog (Filipino) Total]]</f>
        <v>0</v>
      </c>
      <c r="Q6" s="5">
        <f>Table4[[#Totals],[Vietnamese Total]]</f>
        <v>0</v>
      </c>
      <c r="R6" s="5">
        <f>Table4[[#Totals],[Other Total]]</f>
        <v>0</v>
      </c>
      <c r="S6" s="5">
        <f>SUM(Table30[[#This Row],[American Sign Language Total]:[Other Total]])</f>
        <v>10</v>
      </c>
    </row>
    <row r="7" spans="1:19" x14ac:dyDescent="0.25">
      <c r="A7" t="s">
        <v>63</v>
      </c>
      <c r="B7" s="5">
        <v>3</v>
      </c>
      <c r="C7" s="4">
        <v>7</v>
      </c>
      <c r="D7" s="5">
        <f>Table5[[#Totals],[American Sign Language Total]]</f>
        <v>0</v>
      </c>
      <c r="E7" s="5">
        <f>Table5[[#Totals],[Arabic Total]]</f>
        <v>0</v>
      </c>
      <c r="F7" s="5">
        <f>Table5[[#Totals],[Cantonese Total]]</f>
        <v>0</v>
      </c>
      <c r="G7" s="5">
        <f>Table5[[#Totals],[French Total]]</f>
        <v>7</v>
      </c>
      <c r="H7" s="5">
        <f>Table5[[#Totals],[German Total]]</f>
        <v>0</v>
      </c>
      <c r="I7" s="5">
        <f>Table5[[#Totals],[Hmong Total]]</f>
        <v>0</v>
      </c>
      <c r="J7" s="5">
        <f>Table5[[#Totals],[Italian Total]]</f>
        <v>0</v>
      </c>
      <c r="K7" s="5">
        <f>Table5[[#Totals],[Japanese Total]]</f>
        <v>9</v>
      </c>
      <c r="L7" s="5">
        <f>Table5[[#Totals],[Korean Total]]</f>
        <v>0</v>
      </c>
      <c r="M7" s="5">
        <f>Table5[[#Totals],[Latin Total]]</f>
        <v>0</v>
      </c>
      <c r="N7" s="5">
        <f>Table5[[#Totals],[Mandarin Total]]</f>
        <v>0</v>
      </c>
      <c r="O7" s="5">
        <f>Table5[[#Totals],[Spanish Total]]</f>
        <v>162</v>
      </c>
      <c r="P7" s="5">
        <f>Table5[[#Totals],[Tagalog (Filipino) Total]]</f>
        <v>0</v>
      </c>
      <c r="Q7" s="5">
        <f>Table5[[#Totals],[Vietnamese Total]]</f>
        <v>0</v>
      </c>
      <c r="R7" s="5">
        <f>Table5[[#Totals],[Other Total]]</f>
        <v>0</v>
      </c>
      <c r="S7" s="5">
        <f>SUM(Table30[[#This Row],[American Sign Language Total]:[Other Total]])</f>
        <v>178</v>
      </c>
    </row>
    <row r="8" spans="1:19" x14ac:dyDescent="0.25">
      <c r="A8" t="s">
        <v>102</v>
      </c>
      <c r="B8" s="5">
        <v>1</v>
      </c>
      <c r="C8" s="4">
        <v>1</v>
      </c>
      <c r="D8" s="5">
        <f>Table6[[#Totals],[American Sign Language Total]]</f>
        <v>0</v>
      </c>
      <c r="E8" s="5">
        <f>Table6[[#Totals],[Arabic Total]]</f>
        <v>0</v>
      </c>
      <c r="F8" s="5">
        <f>Table6[[#Totals],[Cantonese Total]]</f>
        <v>0</v>
      </c>
      <c r="G8" s="5">
        <f>Table6[[#Totals],[French Total]]</f>
        <v>0</v>
      </c>
      <c r="H8" s="5">
        <f>Table6[[#Totals],[German Total]]</f>
        <v>0</v>
      </c>
      <c r="I8" s="5">
        <f>Table6[[#Totals],[Hmong Total]]</f>
        <v>0</v>
      </c>
      <c r="J8" s="5">
        <f>Table6[[#Totals],[Italian Total]]</f>
        <v>0</v>
      </c>
      <c r="K8" s="5">
        <f>Table6[[#Totals],[Japanese Total]]</f>
        <v>0</v>
      </c>
      <c r="L8" s="5">
        <f>Table6[[#Totals],[Korean Total]]</f>
        <v>0</v>
      </c>
      <c r="M8" s="5">
        <f>Table6[[#Totals],[Latin Total]]</f>
        <v>0</v>
      </c>
      <c r="N8" s="5">
        <f>Table6[[#Totals],[Mandarin Total]]</f>
        <v>0</v>
      </c>
      <c r="O8" s="5">
        <f>Table6[[#Totals],[Spanish Total]]</f>
        <v>10</v>
      </c>
      <c r="P8" s="5">
        <f>Table6[[#Totals],[Tagalog (Filipino) Total]]</f>
        <v>0</v>
      </c>
      <c r="Q8" s="5">
        <f>Table6[[#Totals],[Vietnamese Total]]</f>
        <v>0</v>
      </c>
      <c r="R8" s="5">
        <f>Table6[[#Totals],[Other Total]]</f>
        <v>0</v>
      </c>
      <c r="S8" s="5">
        <f>SUM(Table30[[#This Row],[American Sign Language Total]:[Other Total]])</f>
        <v>10</v>
      </c>
    </row>
    <row r="9" spans="1:19" x14ac:dyDescent="0.25">
      <c r="A9" t="s">
        <v>72</v>
      </c>
      <c r="B9" s="5">
        <v>2</v>
      </c>
      <c r="C9" s="4">
        <v>2</v>
      </c>
      <c r="D9" s="5">
        <f>Table7[[#Totals],[American Sign Language Total]]</f>
        <v>0</v>
      </c>
      <c r="E9" s="5">
        <f>Table7[[#Totals],[Arabic Total]]</f>
        <v>0</v>
      </c>
      <c r="F9" s="5">
        <f>Table7[[#Totals],[Cantonese Total]]</f>
        <v>0</v>
      </c>
      <c r="G9" s="5">
        <f>Table7[[#Totals],[French Total]]</f>
        <v>0</v>
      </c>
      <c r="H9" s="5">
        <f>Table7[[#Totals],[German Total]]</f>
        <v>0</v>
      </c>
      <c r="I9" s="5">
        <f>Table7[[#Totals],[Hmong Total]]</f>
        <v>0</v>
      </c>
      <c r="J9" s="5">
        <f>Table7[[#Totals],[Italian Total]]</f>
        <v>0</v>
      </c>
      <c r="K9" s="5">
        <f>Table7[[#Totals],[Japanese Total]]</f>
        <v>0</v>
      </c>
      <c r="L9" s="5">
        <f>Table7[[#Totals],[Korean Total]]</f>
        <v>0</v>
      </c>
      <c r="M9" s="5">
        <f>Table7[[#Totals],[Latin Total]]</f>
        <v>0</v>
      </c>
      <c r="N9" s="5">
        <f>Table7[[#Totals],[Mandarin Total]]</f>
        <v>0</v>
      </c>
      <c r="O9" s="5">
        <f>Table7[[#Totals],[Spanish Total]]</f>
        <v>16</v>
      </c>
      <c r="P9" s="5">
        <f>Table7[[#Totals],[Tagalog (Filipino) Total]]</f>
        <v>0</v>
      </c>
      <c r="Q9" s="5">
        <f>Table7[[#Totals],[Vietnamese Total]]</f>
        <v>0</v>
      </c>
      <c r="R9" s="5">
        <f>Table7[[#Totals],[Other Total]]</f>
        <v>0</v>
      </c>
      <c r="S9" s="5">
        <f>SUM(Table30[[#This Row],[American Sign Language Total]:[Other Total]])</f>
        <v>16</v>
      </c>
    </row>
    <row r="10" spans="1:19" x14ac:dyDescent="0.25">
      <c r="A10" t="s">
        <v>79</v>
      </c>
      <c r="B10" s="5">
        <v>9</v>
      </c>
      <c r="C10" s="4">
        <v>28</v>
      </c>
      <c r="D10" s="5">
        <f>Table8[[#Totals],[American Sign Language Total]]</f>
        <v>15</v>
      </c>
      <c r="E10" s="5">
        <f>Table8[[#Totals],[Arabic Total]]</f>
        <v>0</v>
      </c>
      <c r="F10" s="5">
        <f>Table8[[#Totals],[Cantonese Total]]</f>
        <v>1</v>
      </c>
      <c r="G10" s="5">
        <f>Table8[[#Totals],[French Total]]</f>
        <v>282</v>
      </c>
      <c r="H10" s="5">
        <f>Table8[[#Totals],[German Total]]</f>
        <v>32</v>
      </c>
      <c r="I10" s="5">
        <f>Table8[[#Totals],[Hmong Total]]</f>
        <v>0</v>
      </c>
      <c r="J10" s="5">
        <f>Table8[[#Totals],[Italian Total]]</f>
        <v>8</v>
      </c>
      <c r="K10" s="5">
        <f>Table8[[#Totals],[Japanese Total]]</f>
        <v>29</v>
      </c>
      <c r="L10" s="5">
        <f>Table8[[#Totals],[Korean Total]]</f>
        <v>24</v>
      </c>
      <c r="M10" s="5">
        <f>Table8[[#Totals],[Latin Total]]</f>
        <v>0</v>
      </c>
      <c r="N10" s="5">
        <f>Table8[[#Totals],[Mandarin Total]]</f>
        <v>108</v>
      </c>
      <c r="O10" s="5">
        <f>Table8[[#Totals],[Spanish Total]]</f>
        <v>1351</v>
      </c>
      <c r="P10" s="5">
        <f>Table8[[#Totals],[Tagalog (Filipino) Total]]</f>
        <v>7</v>
      </c>
      <c r="Q10" s="5">
        <f>Table8[[#Totals],[Vietnamese Total]]</f>
        <v>0</v>
      </c>
      <c r="R10" s="5">
        <f>Table8[[#Totals],[Other Total]]</f>
        <v>6</v>
      </c>
      <c r="S10" s="5">
        <f>SUM(Table30[[#This Row],[American Sign Language Total]:[Other Total]])</f>
        <v>1863</v>
      </c>
    </row>
    <row r="11" spans="1:19" x14ac:dyDescent="0.25">
      <c r="A11" t="s">
        <v>69</v>
      </c>
      <c r="B11" s="5">
        <v>1</v>
      </c>
      <c r="C11" s="4">
        <v>1</v>
      </c>
      <c r="D11" s="5">
        <f>Table9[[#Totals],[American Sign Language Total]]</f>
        <v>0</v>
      </c>
      <c r="E11" s="5">
        <f>Table9[[#Totals],[Arabic Total]]</f>
        <v>0</v>
      </c>
      <c r="F11" s="5">
        <f>Table9[[#Totals],[Cantonese Total]]</f>
        <v>0</v>
      </c>
      <c r="G11" s="5">
        <f>Table9[[#Totals],[French Total]]</f>
        <v>0</v>
      </c>
      <c r="H11" s="5">
        <f>Table9[[#Totals],[German Total]]</f>
        <v>0</v>
      </c>
      <c r="I11" s="5">
        <f>Table9[[#Totals],[Hmong Total]]</f>
        <v>3</v>
      </c>
      <c r="J11" s="5">
        <f>Table9[[#Totals],[Italian Total]]</f>
        <v>0</v>
      </c>
      <c r="K11" s="5">
        <f>Table9[[#Totals],[Japanese Total]]</f>
        <v>0</v>
      </c>
      <c r="L11" s="5">
        <f>Table9[[#Totals],[Korean Total]]</f>
        <v>0</v>
      </c>
      <c r="M11" s="5">
        <f>Table9[[#Totals],[Latin Total]]</f>
        <v>0</v>
      </c>
      <c r="N11" s="5">
        <f>Table9[[#Totals],[Mandarin Total]]</f>
        <v>0</v>
      </c>
      <c r="O11" s="5">
        <f>Table9[[#Totals],[Spanish Total]]</f>
        <v>11</v>
      </c>
      <c r="P11" s="5">
        <f>Table9[[#Totals],[Tagalog (Filipino) Total]]</f>
        <v>0</v>
      </c>
      <c r="Q11" s="5">
        <f>Table9[[#Totals],[Vietnamese Total]]</f>
        <v>0</v>
      </c>
      <c r="R11" s="5">
        <f>Table9[[#Totals],[Other Total]]</f>
        <v>3</v>
      </c>
      <c r="S11" s="5">
        <f>SUM(Table30[[#This Row],[American Sign Language Total]:[Other Total]])</f>
        <v>17</v>
      </c>
    </row>
    <row r="12" spans="1:19" x14ac:dyDescent="0.25">
      <c r="A12" t="s">
        <v>99</v>
      </c>
      <c r="B12" s="5">
        <v>2</v>
      </c>
      <c r="C12" s="4">
        <v>5</v>
      </c>
      <c r="D12" s="5">
        <f>Table10[[#Totals],[American Sign Language Total]]</f>
        <v>0</v>
      </c>
      <c r="E12" s="5">
        <f>Table10[[#Totals],[Arabic Total]]</f>
        <v>0</v>
      </c>
      <c r="F12" s="5">
        <f>Table10[[#Totals],[Cantonese Total]]</f>
        <v>0</v>
      </c>
      <c r="G12" s="5">
        <f>Table10[[#Totals],[French Total]]</f>
        <v>29</v>
      </c>
      <c r="H12" s="5">
        <f>Table10[[#Totals],[German Total]]</f>
        <v>3</v>
      </c>
      <c r="I12" s="5">
        <f>Table10[[#Totals],[Hmong Total]]</f>
        <v>0</v>
      </c>
      <c r="J12" s="5">
        <f>Table10[[#Totals],[Italian Total]]</f>
        <v>11</v>
      </c>
      <c r="K12" s="5">
        <f>Table10[[#Totals],[Japanese Total]]</f>
        <v>29</v>
      </c>
      <c r="L12" s="5">
        <f>Table10[[#Totals],[Korean Total]]</f>
        <v>0</v>
      </c>
      <c r="M12" s="5">
        <f>Table10[[#Totals],[Latin Total]]</f>
        <v>0</v>
      </c>
      <c r="N12" s="5">
        <f>Table10[[#Totals],[Mandarin Total]]</f>
        <v>0</v>
      </c>
      <c r="O12" s="5">
        <f>Table10[[#Totals],[Spanish Total]]</f>
        <v>193</v>
      </c>
      <c r="P12" s="5">
        <f>Table10[[#Totals],[Tagalog (Filipino) Total]]</f>
        <v>0</v>
      </c>
      <c r="Q12" s="5">
        <f>Table10[[#Totals],[Vietnamese Total]]</f>
        <v>0</v>
      </c>
      <c r="R12" s="5">
        <f>Table10[[#Totals],[Other Total]]</f>
        <v>2</v>
      </c>
      <c r="S12" s="5">
        <f>SUM(Table30[[#This Row],[American Sign Language Total]:[Other Total]])</f>
        <v>267</v>
      </c>
    </row>
    <row r="13" spans="1:19" x14ac:dyDescent="0.25">
      <c r="A13" t="s">
        <v>13</v>
      </c>
      <c r="B13" s="5">
        <v>19</v>
      </c>
      <c r="C13" s="4">
        <v>35</v>
      </c>
      <c r="D13" s="5">
        <f>Table11[[#Totals],[American Sign Language Total]]</f>
        <v>1</v>
      </c>
      <c r="E13" s="5">
        <f>Table11[[#Totals],[Arabic Total]]</f>
        <v>0</v>
      </c>
      <c r="F13" s="5">
        <f>Table11[[#Totals],[Cantonese Total]]</f>
        <v>1</v>
      </c>
      <c r="G13" s="5">
        <f>Table11[[#Totals],[French Total]]</f>
        <v>67</v>
      </c>
      <c r="H13" s="5">
        <f>Table11[[#Totals],[German Total]]</f>
        <v>3</v>
      </c>
      <c r="I13" s="5">
        <f>Table11[[#Totals],[Hmong Total]]</f>
        <v>84</v>
      </c>
      <c r="J13" s="5">
        <f>Table11[[#Totals],[Italian Total]]</f>
        <v>1</v>
      </c>
      <c r="K13" s="5">
        <f>Table11[[#Totals],[Japanese Total]]</f>
        <v>0</v>
      </c>
      <c r="L13" s="5">
        <f>Table11[[#Totals],[Korean Total]]</f>
        <v>0</v>
      </c>
      <c r="M13" s="5">
        <f>Table11[[#Totals],[Latin Total]]</f>
        <v>1</v>
      </c>
      <c r="N13" s="5">
        <f>Table11[[#Totals],[Mandarin Total]]</f>
        <v>7</v>
      </c>
      <c r="O13" s="5">
        <f>Table11[[#Totals],[Spanish Total]]</f>
        <v>1150</v>
      </c>
      <c r="P13" s="5">
        <f>Table11[[#Totals],[Tagalog (Filipino) Total]]</f>
        <v>1</v>
      </c>
      <c r="Q13" s="5">
        <f>Table11[[#Totals],[Vietnamese Total]]</f>
        <v>0</v>
      </c>
      <c r="R13" s="5">
        <f>Table11[[#Totals],[Other Total]]</f>
        <v>11</v>
      </c>
      <c r="S13" s="5">
        <f>SUM(Table30[[#This Row],[American Sign Language Total]:[Other Total]])</f>
        <v>1327</v>
      </c>
    </row>
    <row r="14" spans="1:19" x14ac:dyDescent="0.25">
      <c r="A14" t="s">
        <v>54</v>
      </c>
      <c r="B14" s="5">
        <v>2</v>
      </c>
      <c r="C14" s="4">
        <v>2</v>
      </c>
      <c r="D14" s="5">
        <f>Table12[[#Totals],[American Sign Language Total]]</f>
        <v>0</v>
      </c>
      <c r="E14" s="5">
        <f>Table12[[#Totals],[Arabic Total]]</f>
        <v>0</v>
      </c>
      <c r="F14" s="5">
        <f>Table12[[#Totals],[Cantonese Total]]</f>
        <v>0</v>
      </c>
      <c r="G14" s="5">
        <f>Table12[[#Totals],[French Total]]</f>
        <v>0</v>
      </c>
      <c r="H14" s="5">
        <f>Table12[[#Totals],[German Total]]</f>
        <v>0</v>
      </c>
      <c r="I14" s="5">
        <f>Table12[[#Totals],[Hmong Total]]</f>
        <v>0</v>
      </c>
      <c r="J14" s="5">
        <f>Table12[[#Totals],[Italian Total]]</f>
        <v>0</v>
      </c>
      <c r="K14" s="5">
        <f>Table12[[#Totals],[Japanese Total]]</f>
        <v>0</v>
      </c>
      <c r="L14" s="5">
        <f>Table12[[#Totals],[Korean Total]]</f>
        <v>0</v>
      </c>
      <c r="M14" s="5">
        <f>Table12[[#Totals],[Latin Total]]</f>
        <v>0</v>
      </c>
      <c r="N14" s="5">
        <f>Table12[[#Totals],[Mandarin Total]]</f>
        <v>0</v>
      </c>
      <c r="O14" s="5">
        <f>Table12[[#Totals],[Spanish Total]]</f>
        <v>43</v>
      </c>
      <c r="P14" s="5">
        <f>Table12[[#Totals],[Tagalog (Filipino) Total]]</f>
        <v>0</v>
      </c>
      <c r="Q14" s="5">
        <f>Table12[[#Totals],[Vietnamese Total]]</f>
        <v>0</v>
      </c>
      <c r="R14" s="5">
        <f>Table12[[#Totals],[Other Total]]</f>
        <v>0</v>
      </c>
      <c r="S14" s="5">
        <f>SUM(Table30[[#This Row],[American Sign Language Total]:[Other Total]])</f>
        <v>43</v>
      </c>
    </row>
    <row r="15" spans="1:19" x14ac:dyDescent="0.25">
      <c r="A15" t="s">
        <v>20</v>
      </c>
      <c r="B15" s="5">
        <v>4</v>
      </c>
      <c r="C15" s="4">
        <v>6</v>
      </c>
      <c r="D15" s="5">
        <f>Table13[[#Totals],[American Sign Language Total]]</f>
        <v>0</v>
      </c>
      <c r="E15" s="5">
        <f>Table13[[#Totals],[Arabic Total]]</f>
        <v>0</v>
      </c>
      <c r="F15" s="5">
        <f>Table13[[#Totals],[Cantonese Total]]</f>
        <v>0</v>
      </c>
      <c r="G15" s="5">
        <f>Table13[[#Totals],[French Total]]</f>
        <v>12</v>
      </c>
      <c r="H15" s="5">
        <f>Table13[[#Totals],[German Total]]</f>
        <v>7</v>
      </c>
      <c r="I15" s="5">
        <f>Table13[[#Totals],[Hmong Total]]</f>
        <v>0</v>
      </c>
      <c r="J15" s="5">
        <f>Table13[[#Totals],[Italian Total]]</f>
        <v>1</v>
      </c>
      <c r="K15" s="5">
        <f>Table13[[#Totals],[Japanese Total]]</f>
        <v>0</v>
      </c>
      <c r="L15" s="5">
        <f>Table13[[#Totals],[Korean Total]]</f>
        <v>0</v>
      </c>
      <c r="M15" s="5">
        <f>Table13[[#Totals],[Latin Total]]</f>
        <v>1</v>
      </c>
      <c r="N15" s="5">
        <f>Table13[[#Totals],[Mandarin Total]]</f>
        <v>0</v>
      </c>
      <c r="O15" s="5">
        <f>Table13[[#Totals],[Spanish Total]]</f>
        <v>123</v>
      </c>
      <c r="P15" s="5">
        <f>Table13[[#Totals],[Tagalog (Filipino) Total]]</f>
        <v>2</v>
      </c>
      <c r="Q15" s="5">
        <f>Table13[[#Totals],[Vietnamese Total]]</f>
        <v>0</v>
      </c>
      <c r="R15" s="5">
        <f>Table13[[#Totals],[Other Total]]</f>
        <v>13</v>
      </c>
      <c r="S15" s="5">
        <f>SUM(Table30[[#This Row],[American Sign Language Total]:[Other Total]])</f>
        <v>159</v>
      </c>
    </row>
    <row r="16" spans="1:19" x14ac:dyDescent="0.25">
      <c r="A16" t="s">
        <v>151</v>
      </c>
      <c r="B16" s="5">
        <v>4</v>
      </c>
      <c r="C16" s="4">
        <v>5</v>
      </c>
      <c r="D16" s="5">
        <f>Table14[[#Totals],[American Sign Language Total]]</f>
        <v>0</v>
      </c>
      <c r="E16" s="5">
        <f>Table14[[#Totals],[Arabic Total]]</f>
        <v>0</v>
      </c>
      <c r="F16" s="5">
        <f>Table14[[#Totals],[Cantonese Total]]</f>
        <v>0</v>
      </c>
      <c r="G16" s="5">
        <f>Table14[[#Totals],[French Total]]</f>
        <v>0</v>
      </c>
      <c r="H16" s="5">
        <f>Table14[[#Totals],[German Total]]</f>
        <v>0</v>
      </c>
      <c r="I16" s="5">
        <f>Table14[[#Totals],[Hmong Total]]</f>
        <v>0</v>
      </c>
      <c r="J16" s="5">
        <f>Table14[[#Totals],[Italian Total]]</f>
        <v>0</v>
      </c>
      <c r="K16" s="5">
        <f>Table14[[#Totals],[Japanese Total]]</f>
        <v>0</v>
      </c>
      <c r="L16" s="5">
        <f>Table14[[#Totals],[Korean Total]]</f>
        <v>0</v>
      </c>
      <c r="M16" s="5">
        <f>Table14[[#Totals],[Latin Total]]</f>
        <v>0</v>
      </c>
      <c r="N16" s="5">
        <f>Table14[[#Totals],[Mandarin Total]]</f>
        <v>0</v>
      </c>
      <c r="O16" s="5">
        <f>Table14[[#Totals],[Spanish Total]]</f>
        <v>305</v>
      </c>
      <c r="P16" s="5">
        <f>Table14[[#Totals],[Tagalog (Filipino) Total]]</f>
        <v>0</v>
      </c>
      <c r="Q16" s="5">
        <f>Table14[[#Totals],[Vietnamese Total]]</f>
        <v>0</v>
      </c>
      <c r="R16" s="5">
        <f>Table14[[#Totals],[Other Total]]</f>
        <v>0</v>
      </c>
      <c r="S16" s="5">
        <f>SUM(Table30[[#This Row],[American Sign Language Total]:[Other Total]])</f>
        <v>305</v>
      </c>
    </row>
    <row r="17" spans="1:19" x14ac:dyDescent="0.25">
      <c r="A17" t="s">
        <v>34</v>
      </c>
      <c r="B17" s="5">
        <v>6</v>
      </c>
      <c r="C17" s="4">
        <v>25</v>
      </c>
      <c r="D17" s="5">
        <f>Table15[[#Totals],[American Sign Language Total]]</f>
        <v>0</v>
      </c>
      <c r="E17" s="5">
        <f>Table15[[#Totals],[Arabic Total]]</f>
        <v>0</v>
      </c>
      <c r="F17" s="5">
        <f>Table15[[#Totals],[Cantonese Total]]</f>
        <v>0</v>
      </c>
      <c r="G17" s="5">
        <f>Table15[[#Totals],[French Total]]</f>
        <v>88</v>
      </c>
      <c r="H17" s="5">
        <f>Table15[[#Totals],[German Total]]</f>
        <v>1</v>
      </c>
      <c r="I17" s="5">
        <f>Table15[[#Totals],[Hmong Total]]</f>
        <v>0</v>
      </c>
      <c r="J17" s="5">
        <f>Table15[[#Totals],[Italian Total]]</f>
        <v>0</v>
      </c>
      <c r="K17" s="5">
        <f>Table15[[#Totals],[Japanese Total]]</f>
        <v>0</v>
      </c>
      <c r="L17" s="5">
        <f>Table15[[#Totals],[Korean Total]]</f>
        <v>0</v>
      </c>
      <c r="M17" s="5">
        <f>Table15[[#Totals],[Latin Total]]</f>
        <v>0</v>
      </c>
      <c r="N17" s="5">
        <f>Table15[[#Totals],[Mandarin Total]]</f>
        <v>2</v>
      </c>
      <c r="O17" s="5">
        <f>Table15[[#Totals],[Spanish Total]]</f>
        <v>1039</v>
      </c>
      <c r="P17" s="5">
        <f>Table15[[#Totals],[Tagalog (Filipino) Total]]</f>
        <v>0</v>
      </c>
      <c r="Q17" s="5">
        <f>Table15[[#Totals],[Vietnamese Total]]</f>
        <v>0</v>
      </c>
      <c r="R17" s="5">
        <f>Table15[[#Totals],[Other Total]]</f>
        <v>0</v>
      </c>
      <c r="S17" s="5">
        <f>SUM(Table30[[#This Row],[American Sign Language Total]:[Other Total]])</f>
        <v>1130</v>
      </c>
    </row>
    <row r="18" spans="1:19" x14ac:dyDescent="0.25">
      <c r="A18" t="s">
        <v>76</v>
      </c>
      <c r="B18" s="5">
        <v>5</v>
      </c>
      <c r="C18" s="4">
        <v>7</v>
      </c>
      <c r="D18" s="5">
        <f>Table16[[#Totals],[American Sign Language Total]]</f>
        <v>0</v>
      </c>
      <c r="E18" s="5">
        <f>Table16[[#Totals],[Arabic Total]]</f>
        <v>0</v>
      </c>
      <c r="F18" s="5">
        <f>Table16[[#Totals],[Cantonese Total]]</f>
        <v>0</v>
      </c>
      <c r="G18" s="5">
        <f>Table16[[#Totals],[French Total]]</f>
        <v>0</v>
      </c>
      <c r="H18" s="5">
        <f>Table16[[#Totals],[German Total]]</f>
        <v>0</v>
      </c>
      <c r="I18" s="5">
        <f>Table16[[#Totals],[Hmong Total]]</f>
        <v>0</v>
      </c>
      <c r="J18" s="5">
        <f>Table16[[#Totals],[Italian Total]]</f>
        <v>0</v>
      </c>
      <c r="K18" s="5">
        <f>Table16[[#Totals],[Japanese Total]]</f>
        <v>0</v>
      </c>
      <c r="L18" s="5">
        <f>Table16[[#Totals],[Korean Total]]</f>
        <v>0</v>
      </c>
      <c r="M18" s="5">
        <f>Table16[[#Totals],[Latin Total]]</f>
        <v>0</v>
      </c>
      <c r="N18" s="5">
        <f>Table16[[#Totals],[Mandarin Total]]</f>
        <v>0</v>
      </c>
      <c r="O18" s="5">
        <f>Table16[[#Totals],[Spanish Total]]</f>
        <v>86</v>
      </c>
      <c r="P18" s="5">
        <f>Table16[[#Totals],[Tagalog (Filipino) Total]]</f>
        <v>0</v>
      </c>
      <c r="Q18" s="5">
        <f>Table16[[#Totals],[Vietnamese Total]]</f>
        <v>0</v>
      </c>
      <c r="R18" s="5">
        <f>Table16[[#Totals],[Other Total]]</f>
        <v>0</v>
      </c>
      <c r="S18" s="5">
        <f>SUM(Table30[[#This Row],[American Sign Language Total]:[Other Total]])</f>
        <v>86</v>
      </c>
    </row>
    <row r="19" spans="1:19" x14ac:dyDescent="0.25">
      <c r="A19" t="s">
        <v>84</v>
      </c>
      <c r="B19" s="5">
        <v>2</v>
      </c>
      <c r="C19" s="4">
        <v>2</v>
      </c>
      <c r="D19" s="5">
        <f>Table17[[#Totals],[American Sign Language Total]]</f>
        <v>0</v>
      </c>
      <c r="E19" s="5">
        <f>Table17[[#Totals],[Arabic Total]]</f>
        <v>0</v>
      </c>
      <c r="F19" s="5">
        <f>Table17[[#Totals],[Cantonese Total]]</f>
        <v>0</v>
      </c>
      <c r="G19" s="5">
        <f>Table17[[#Totals],[French Total]]</f>
        <v>0</v>
      </c>
      <c r="H19" s="5">
        <f>Table17[[#Totals],[German Total]]</f>
        <v>0</v>
      </c>
      <c r="I19" s="5">
        <f>Table17[[#Totals],[Hmong Total]]</f>
        <v>0</v>
      </c>
      <c r="J19" s="5">
        <f>Table17[[#Totals],[Italian Total]]</f>
        <v>0</v>
      </c>
      <c r="K19" s="5">
        <f>Table17[[#Totals],[Japanese Total]]</f>
        <v>0</v>
      </c>
      <c r="L19" s="5">
        <f>Table17[[#Totals],[Korean Total]]</f>
        <v>0</v>
      </c>
      <c r="M19" s="5">
        <f>Table17[[#Totals],[Latin Total]]</f>
        <v>0</v>
      </c>
      <c r="N19" s="5">
        <f>Table17[[#Totals],[Mandarin Total]]</f>
        <v>0</v>
      </c>
      <c r="O19" s="5">
        <f>Table17[[#Totals],[Spanish Total]]</f>
        <v>5</v>
      </c>
      <c r="P19" s="5">
        <f>Table17[[#Totals],[Tagalog (Filipino) Total]]</f>
        <v>0</v>
      </c>
      <c r="Q19" s="5">
        <f>Table17[[#Totals],[Vietnamese Total]]</f>
        <v>0</v>
      </c>
      <c r="R19" s="5">
        <f>Table17[[#Totals],[Other Total]]</f>
        <v>0</v>
      </c>
      <c r="S19" s="5">
        <f>SUM(Table30[[#This Row],[American Sign Language Total]:[Other Total]])</f>
        <v>5</v>
      </c>
    </row>
    <row r="20" spans="1:19" x14ac:dyDescent="0.25">
      <c r="A20" t="s">
        <v>129</v>
      </c>
      <c r="B20" s="5">
        <v>1</v>
      </c>
      <c r="C20" s="4">
        <v>1</v>
      </c>
      <c r="D20" s="5">
        <f>Table18[[#Totals],[American Sign Language Total]]</f>
        <v>0</v>
      </c>
      <c r="E20" s="5">
        <f>Table18[[#Totals],[Arabic Total]]</f>
        <v>0</v>
      </c>
      <c r="F20" s="5">
        <f>Table18[[#Totals],[Cantonese Total]]</f>
        <v>0</v>
      </c>
      <c r="G20" s="5">
        <f>Table18[[#Totals],[French Total]]</f>
        <v>0</v>
      </c>
      <c r="H20" s="5">
        <f>Table18[[#Totals],[German Total]]</f>
        <v>0</v>
      </c>
      <c r="I20" s="5">
        <f>Table18[[#Totals],[Hmong Total]]</f>
        <v>0</v>
      </c>
      <c r="J20" s="5">
        <f>Table18[[#Totals],[Italian Total]]</f>
        <v>0</v>
      </c>
      <c r="K20" s="5">
        <f>Table18[[#Totals],[Japanese Total]]</f>
        <v>0</v>
      </c>
      <c r="L20" s="5">
        <f>Table18[[#Totals],[Korean Total]]</f>
        <v>0</v>
      </c>
      <c r="M20" s="5">
        <f>Table18[[#Totals],[Latin Total]]</f>
        <v>0</v>
      </c>
      <c r="N20" s="5">
        <f>Table18[[#Totals],[Mandarin Total]]</f>
        <v>0</v>
      </c>
      <c r="O20" s="5">
        <f>Table18[[#Totals],[Spanish Total]]</f>
        <v>15</v>
      </c>
      <c r="P20" s="5">
        <f>Table18[[#Totals],[Tagalog (Filipino) Total]]</f>
        <v>0</v>
      </c>
      <c r="Q20" s="5">
        <f>Table18[[#Totals],[Vietnamese Total]]</f>
        <v>0</v>
      </c>
      <c r="R20" s="5">
        <f>Table18[[#Totals],[Other Total]]</f>
        <v>0</v>
      </c>
      <c r="S20" s="5">
        <f>SUM(Table30[[#This Row],[American Sign Language Total]:[Other Total]])</f>
        <v>15</v>
      </c>
    </row>
    <row r="21" spans="1:19" x14ac:dyDescent="0.25">
      <c r="A21" t="s">
        <v>2</v>
      </c>
      <c r="B21" s="5">
        <v>45</v>
      </c>
      <c r="C21" s="4">
        <v>272</v>
      </c>
      <c r="D21" s="5">
        <f>Table19[[#Totals],[American Sign Language Total]]</f>
        <v>61</v>
      </c>
      <c r="E21" s="5">
        <f>Table19[[#Totals],[Arabic Total]]</f>
        <v>45</v>
      </c>
      <c r="F21" s="5">
        <f>Table19[[#Totals],[Cantonese Total]]</f>
        <v>2</v>
      </c>
      <c r="G21" s="5">
        <f>Table19[[#Totals],[French Total]]</f>
        <v>603</v>
      </c>
      <c r="H21" s="5">
        <f>Table19[[#Totals],[German Total]]</f>
        <v>119</v>
      </c>
      <c r="I21" s="5">
        <f>Table19[[#Totals],[Hmong Total]]</f>
        <v>0</v>
      </c>
      <c r="J21" s="5">
        <f>Table19[[#Totals],[Italian Total]]</f>
        <v>48</v>
      </c>
      <c r="K21" s="5">
        <f>Table19[[#Totals],[Japanese Total]]</f>
        <v>361</v>
      </c>
      <c r="L21" s="5">
        <f>Table19[[#Totals],[Korean Total]]</f>
        <v>319</v>
      </c>
      <c r="M21" s="5">
        <f>Table19[[#Totals],[Latin Total]]</f>
        <v>101</v>
      </c>
      <c r="N21" s="5">
        <f>Table19[[#Totals],[Mandarin Total]]</f>
        <v>841</v>
      </c>
      <c r="O21" s="5">
        <f>Table19[[#Totals],[Spanish Total]]</f>
        <v>10031</v>
      </c>
      <c r="P21" s="5">
        <f>Table19[[#Totals],[Tagalog (Filipino) Total]]</f>
        <v>130</v>
      </c>
      <c r="Q21" s="5">
        <f>Table19[[#Totals],[Vietnamese Total]]</f>
        <v>3</v>
      </c>
      <c r="R21" s="5">
        <f>Table19[[#Totals],[Other Total]]</f>
        <v>261</v>
      </c>
      <c r="S21" s="5">
        <f>SUM(Table30[[#This Row],[American Sign Language Total]:[Other Total]])</f>
        <v>12925</v>
      </c>
    </row>
    <row r="22" spans="1:19" x14ac:dyDescent="0.25">
      <c r="A22" t="s">
        <v>59</v>
      </c>
      <c r="B22" s="5">
        <v>3</v>
      </c>
      <c r="C22" s="4">
        <v>4</v>
      </c>
      <c r="D22" s="5">
        <f>Table20[[#Totals],[American Sign Language Total]]</f>
        <v>0</v>
      </c>
      <c r="E22" s="5">
        <f>Table20[[#Totals],[Arabic Total]]</f>
        <v>0</v>
      </c>
      <c r="F22" s="5">
        <f>Table20[[#Totals],[Cantonese Total]]</f>
        <v>0</v>
      </c>
      <c r="G22" s="5">
        <f>Table20[[#Totals],[French Total]]</f>
        <v>6</v>
      </c>
      <c r="H22" s="5">
        <f>Table20[[#Totals],[German Total]]</f>
        <v>0</v>
      </c>
      <c r="I22" s="5">
        <f>Table20[[#Totals],[Hmong Total]]</f>
        <v>0</v>
      </c>
      <c r="J22" s="5">
        <f>Table20[[#Totals],[Italian Total]]</f>
        <v>0</v>
      </c>
      <c r="K22" s="5">
        <f>Table20[[#Totals],[Japanese Total]]</f>
        <v>0</v>
      </c>
      <c r="L22" s="5">
        <f>Table20[[#Totals],[Korean Total]]</f>
        <v>0</v>
      </c>
      <c r="M22" s="5">
        <f>Table20[[#Totals],[Latin Total]]</f>
        <v>0</v>
      </c>
      <c r="N22" s="5">
        <f>Table20[[#Totals],[Mandarin Total]]</f>
        <v>0</v>
      </c>
      <c r="O22" s="5">
        <f>Table20[[#Totals],[Spanish Total]]</f>
        <v>133</v>
      </c>
      <c r="P22" s="5">
        <f>Table20[[#Totals],[Tagalog (Filipino) Total]]</f>
        <v>0</v>
      </c>
      <c r="Q22" s="5">
        <f>Table20[[#Totals],[Vietnamese Total]]</f>
        <v>0</v>
      </c>
      <c r="R22" s="5">
        <f>Table20[[#Totals],[Other Total]]</f>
        <v>0</v>
      </c>
      <c r="S22" s="5">
        <f>SUM(Table30[[#This Row],[American Sign Language Total]:[Other Total]])</f>
        <v>139</v>
      </c>
    </row>
    <row r="23" spans="1:19" x14ac:dyDescent="0.25">
      <c r="A23" t="s">
        <v>15</v>
      </c>
      <c r="B23" s="5">
        <v>4</v>
      </c>
      <c r="C23" s="4">
        <v>9</v>
      </c>
      <c r="D23" s="5">
        <f>Table21[[#Totals],[American Sign Language Total]]</f>
        <v>0</v>
      </c>
      <c r="E23" s="5">
        <f>Table21[[#Totals],[Arabic Total]]</f>
        <v>0</v>
      </c>
      <c r="F23" s="5">
        <f>Table21[[#Totals],[Cantonese Total]]</f>
        <v>0</v>
      </c>
      <c r="G23" s="5">
        <f>Table21[[#Totals],[French Total]]</f>
        <v>117</v>
      </c>
      <c r="H23" s="5">
        <f>Table21[[#Totals],[German Total]]</f>
        <v>0</v>
      </c>
      <c r="I23" s="5">
        <f>Table21[[#Totals],[Hmong Total]]</f>
        <v>0</v>
      </c>
      <c r="J23" s="5">
        <f>Table21[[#Totals],[Italian Total]]</f>
        <v>0</v>
      </c>
      <c r="K23" s="5">
        <f>Table21[[#Totals],[Japanese Total]]</f>
        <v>0</v>
      </c>
      <c r="L23" s="5">
        <f>Table21[[#Totals],[Korean Total]]</f>
        <v>0</v>
      </c>
      <c r="M23" s="5">
        <f>Table21[[#Totals],[Latin Total]]</f>
        <v>0</v>
      </c>
      <c r="N23" s="5">
        <f>Table21[[#Totals],[Mandarin Total]]</f>
        <v>0</v>
      </c>
      <c r="O23" s="5">
        <f>Table21[[#Totals],[Spanish Total]]</f>
        <v>558</v>
      </c>
      <c r="P23" s="5">
        <f>Table21[[#Totals],[Tagalog (Filipino) Total]]</f>
        <v>0</v>
      </c>
      <c r="Q23" s="5">
        <f>Table21[[#Totals],[Vietnamese Total]]</f>
        <v>0</v>
      </c>
      <c r="R23" s="5">
        <f>Table21[[#Totals],[Other Total]]</f>
        <v>0</v>
      </c>
      <c r="S23" s="5">
        <f>SUM(Table30[[#This Row],[American Sign Language Total]:[Other Total]])</f>
        <v>675</v>
      </c>
    </row>
    <row r="24" spans="1:19" x14ac:dyDescent="0.25">
      <c r="A24" t="s">
        <v>52</v>
      </c>
      <c r="B24" s="5">
        <v>6</v>
      </c>
      <c r="C24" s="4">
        <v>6</v>
      </c>
      <c r="D24" s="5">
        <f>Table22[[#Totals],[American Sign Language Total]]</f>
        <v>0</v>
      </c>
      <c r="E24" s="5">
        <f>Table22[[#Totals],[Arabic Total]]</f>
        <v>0</v>
      </c>
      <c r="F24" s="5">
        <f>Table22[[#Totals],[Cantonese Total]]</f>
        <v>0</v>
      </c>
      <c r="G24" s="5">
        <f>Table22[[#Totals],[French Total]]</f>
        <v>0</v>
      </c>
      <c r="H24" s="5">
        <f>Table22[[#Totals],[German Total]]</f>
        <v>0</v>
      </c>
      <c r="I24" s="5">
        <f>Table22[[#Totals],[Hmong Total]]</f>
        <v>0</v>
      </c>
      <c r="J24" s="5">
        <f>Table22[[#Totals],[Italian Total]]</f>
        <v>0</v>
      </c>
      <c r="K24" s="5">
        <f>Table22[[#Totals],[Japanese Total]]</f>
        <v>0</v>
      </c>
      <c r="L24" s="5">
        <f>Table22[[#Totals],[Korean Total]]</f>
        <v>0</v>
      </c>
      <c r="M24" s="5">
        <f>Table22[[#Totals],[Latin Total]]</f>
        <v>0</v>
      </c>
      <c r="N24" s="5">
        <f>Table22[[#Totals],[Mandarin Total]]</f>
        <v>0</v>
      </c>
      <c r="O24" s="5">
        <f>Table22[[#Totals],[Spanish Total]]</f>
        <v>83</v>
      </c>
      <c r="P24" s="5">
        <f>Table22[[#Totals],[Tagalog (Filipino) Total]]</f>
        <v>0</v>
      </c>
      <c r="Q24" s="5">
        <f>Table22[[#Totals],[Vietnamese Total]]</f>
        <v>0</v>
      </c>
      <c r="R24" s="5">
        <f>Table22[[#Totals],[Other Total]]</f>
        <v>2</v>
      </c>
      <c r="S24" s="5">
        <f>SUM(Table30[[#This Row],[American Sign Language Total]:[Other Total]])</f>
        <v>85</v>
      </c>
    </row>
    <row r="25" spans="1:19" x14ac:dyDescent="0.25">
      <c r="A25" t="s">
        <v>56</v>
      </c>
      <c r="B25" s="5">
        <v>5</v>
      </c>
      <c r="C25" s="4">
        <v>6</v>
      </c>
      <c r="D25" s="5">
        <f>Table23[[#Totals],[American Sign Language Total]]</f>
        <v>0</v>
      </c>
      <c r="E25" s="5">
        <f>Table23[[#Totals],[Arabic Total]]</f>
        <v>0</v>
      </c>
      <c r="F25" s="5">
        <f>Table23[[#Totals],[Cantonese Total]]</f>
        <v>0</v>
      </c>
      <c r="G25" s="5">
        <f>Table23[[#Totals],[French Total]]</f>
        <v>0</v>
      </c>
      <c r="H25" s="5">
        <f>Table23[[#Totals],[German Total]]</f>
        <v>0</v>
      </c>
      <c r="I25" s="5">
        <f>Table23[[#Totals],[Hmong Total]]</f>
        <v>2</v>
      </c>
      <c r="J25" s="5">
        <f>Table23[[#Totals],[Italian Total]]</f>
        <v>0</v>
      </c>
      <c r="K25" s="5">
        <f>Table23[[#Totals],[Japanese Total]]</f>
        <v>0</v>
      </c>
      <c r="L25" s="5">
        <f>Table23[[#Totals],[Korean Total]]</f>
        <v>0</v>
      </c>
      <c r="M25" s="5">
        <f>Table23[[#Totals],[Latin Total]]</f>
        <v>0</v>
      </c>
      <c r="N25" s="5">
        <f>Table23[[#Totals],[Mandarin Total]]</f>
        <v>0</v>
      </c>
      <c r="O25" s="5">
        <f>Table23[[#Totals],[Spanish Total]]</f>
        <v>57</v>
      </c>
      <c r="P25" s="5">
        <f>Table23[[#Totals],[Tagalog (Filipino) Total]]</f>
        <v>0</v>
      </c>
      <c r="Q25" s="5">
        <f>Table23[[#Totals],[Vietnamese Total]]</f>
        <v>0</v>
      </c>
      <c r="R25" s="5">
        <f>Table23[[#Totals],[Other Total]]</f>
        <v>2</v>
      </c>
      <c r="S25" s="5">
        <f>SUM(Table30[[#This Row],[American Sign Language Total]:[Other Total]])</f>
        <v>61</v>
      </c>
    </row>
    <row r="26" spans="1:19" x14ac:dyDescent="0.25">
      <c r="A26" t="s">
        <v>109</v>
      </c>
      <c r="B26" s="5">
        <v>2</v>
      </c>
      <c r="C26" s="4">
        <v>2</v>
      </c>
      <c r="D26" s="5">
        <f>Table24[[#Totals],[American Sign Language Total]]</f>
        <v>0</v>
      </c>
      <c r="E26" s="5">
        <f>Table24[[#Totals],[Arabic Total]]</f>
        <v>0</v>
      </c>
      <c r="F26" s="5">
        <f>Table24[[#Totals],[Cantonese Total]]</f>
        <v>0</v>
      </c>
      <c r="G26" s="5">
        <f>Table24[[#Totals],[French Total]]</f>
        <v>0</v>
      </c>
      <c r="H26" s="5">
        <f>Table24[[#Totals],[German Total]]</f>
        <v>0</v>
      </c>
      <c r="I26" s="5">
        <f>Table24[[#Totals],[Hmong Total]]</f>
        <v>0</v>
      </c>
      <c r="J26" s="5">
        <f>Table24[[#Totals],[Italian Total]]</f>
        <v>0</v>
      </c>
      <c r="K26" s="5">
        <f>Table24[[#Totals],[Japanese Total]]</f>
        <v>0</v>
      </c>
      <c r="L26" s="5">
        <f>Table24[[#Totals],[Korean Total]]</f>
        <v>0</v>
      </c>
      <c r="M26" s="5">
        <f>Table24[[#Totals],[Latin Total]]</f>
        <v>0</v>
      </c>
      <c r="N26" s="5">
        <f>Table24[[#Totals],[Mandarin Total]]</f>
        <v>0</v>
      </c>
      <c r="O26" s="5">
        <f>Table24[[#Totals],[Spanish Total]]</f>
        <v>41</v>
      </c>
      <c r="P26" s="5">
        <f>Table24[[#Totals],[Tagalog (Filipino) Total]]</f>
        <v>0</v>
      </c>
      <c r="Q26" s="5">
        <f>Table24[[#Totals],[Vietnamese Total]]</f>
        <v>0</v>
      </c>
      <c r="R26" s="5">
        <f>Table24[[#Totals],[Other Total]]</f>
        <v>0</v>
      </c>
      <c r="S26" s="5">
        <f>SUM(Table30[[#This Row],[American Sign Language Total]:[Other Total]])</f>
        <v>41</v>
      </c>
    </row>
    <row r="27" spans="1:19" x14ac:dyDescent="0.25">
      <c r="A27" t="s">
        <v>67</v>
      </c>
      <c r="B27" s="5">
        <v>8</v>
      </c>
      <c r="C27" s="4">
        <v>16</v>
      </c>
      <c r="D27" s="5">
        <f>Table25[[#Totals],[American Sign Language Total]]</f>
        <v>1</v>
      </c>
      <c r="E27" s="5">
        <f>Table25[[#Totals],[Arabic Total]]</f>
        <v>0</v>
      </c>
      <c r="F27" s="5">
        <f>Table25[[#Totals],[Cantonese Total]]</f>
        <v>10</v>
      </c>
      <c r="G27" s="5">
        <f>Table25[[#Totals],[French Total]]</f>
        <v>43</v>
      </c>
      <c r="H27" s="5">
        <f>Table25[[#Totals],[German Total]]</f>
        <v>0</v>
      </c>
      <c r="I27" s="5">
        <f>Table25[[#Totals],[Hmong Total]]</f>
        <v>0</v>
      </c>
      <c r="J27" s="5">
        <f>Table25[[#Totals],[Italian Total]]</f>
        <v>0</v>
      </c>
      <c r="K27" s="5">
        <f>Table25[[#Totals],[Japanese Total]]</f>
        <v>50</v>
      </c>
      <c r="L27" s="5">
        <f>Table25[[#Totals],[Korean Total]]</f>
        <v>0</v>
      </c>
      <c r="M27" s="5">
        <f>Table25[[#Totals],[Latin Total]]</f>
        <v>0</v>
      </c>
      <c r="N27" s="5">
        <f>Table25[[#Totals],[Mandarin Total]]</f>
        <v>0</v>
      </c>
      <c r="O27" s="5">
        <f>Table25[[#Totals],[Spanish Total]]</f>
        <v>550</v>
      </c>
      <c r="P27" s="5">
        <f>Table25[[#Totals],[Tagalog (Filipino) Total]]</f>
        <v>0</v>
      </c>
      <c r="Q27" s="5">
        <f>Table25[[#Totals],[Vietnamese Total]]</f>
        <v>0</v>
      </c>
      <c r="R27" s="5">
        <f>Table25[[#Totals],[Other Total]]</f>
        <v>0</v>
      </c>
      <c r="S27" s="5">
        <f>SUM(Table30[[#This Row],[American Sign Language Total]:[Other Total]])</f>
        <v>654</v>
      </c>
    </row>
    <row r="28" spans="1:19" x14ac:dyDescent="0.25">
      <c r="A28" t="s">
        <v>88</v>
      </c>
      <c r="B28" s="5">
        <v>3</v>
      </c>
      <c r="C28" s="4">
        <v>6</v>
      </c>
      <c r="D28" s="5">
        <f>Table26[[#Totals],[American Sign Language Total]]</f>
        <v>0</v>
      </c>
      <c r="E28" s="5">
        <f>Table26[[#Totals],[Arabic Total]]</f>
        <v>0</v>
      </c>
      <c r="F28" s="5">
        <f>Table26[[#Totals],[Cantonese Total]]</f>
        <v>0</v>
      </c>
      <c r="G28" s="5">
        <f>Table26[[#Totals],[French Total]]</f>
        <v>22</v>
      </c>
      <c r="H28" s="5">
        <f>Table26[[#Totals],[German Total]]</f>
        <v>0</v>
      </c>
      <c r="I28" s="5">
        <f>Table26[[#Totals],[Hmong Total]]</f>
        <v>0</v>
      </c>
      <c r="J28" s="5">
        <f>Table26[[#Totals],[Italian Total]]</f>
        <v>0</v>
      </c>
      <c r="K28" s="5">
        <f>Table26[[#Totals],[Japanese Total]]</f>
        <v>1</v>
      </c>
      <c r="L28" s="5">
        <f>Table26[[#Totals],[Korean Total]]</f>
        <v>0</v>
      </c>
      <c r="M28" s="5">
        <f>Table26[[#Totals],[Latin Total]]</f>
        <v>1</v>
      </c>
      <c r="N28" s="5">
        <f>Table26[[#Totals],[Mandarin Total]]</f>
        <v>12</v>
      </c>
      <c r="O28" s="5">
        <f>Table26[[#Totals],[Spanish Total]]</f>
        <v>271</v>
      </c>
      <c r="P28" s="5">
        <f>Table26[[#Totals],[Tagalog (Filipino) Total]]</f>
        <v>0</v>
      </c>
      <c r="Q28" s="5">
        <f>Table26[[#Totals],[Vietnamese Total]]</f>
        <v>0</v>
      </c>
      <c r="R28" s="5">
        <f>Table26[[#Totals],[Other Total]]</f>
        <v>1</v>
      </c>
      <c r="S28" s="5">
        <f>SUM(Table30[[#This Row],[American Sign Language Total]:[Other Total]])</f>
        <v>308</v>
      </c>
    </row>
    <row r="29" spans="1:19" x14ac:dyDescent="0.25">
      <c r="A29" t="s">
        <v>154</v>
      </c>
      <c r="B29" s="5">
        <v>1</v>
      </c>
      <c r="C29" s="4">
        <v>3</v>
      </c>
      <c r="D29" s="5">
        <f>Table27[[#Totals],[American Sign Language Total]]</f>
        <v>1</v>
      </c>
      <c r="E29" s="5">
        <f>Table27[[#Totals],[Arabic Total]]</f>
        <v>0</v>
      </c>
      <c r="F29" s="5">
        <f>Table27[[#Totals],[Cantonese Total]]</f>
        <v>0</v>
      </c>
      <c r="G29" s="5">
        <f>Table27[[#Totals],[French Total]]</f>
        <v>0</v>
      </c>
      <c r="H29" s="5">
        <f>Table27[[#Totals],[German Total]]</f>
        <v>2</v>
      </c>
      <c r="I29" s="5">
        <f>Table27[[#Totals],[Hmong Total]]</f>
        <v>0</v>
      </c>
      <c r="J29" s="5">
        <f>Table27[[#Totals],[Italian Total]]</f>
        <v>0</v>
      </c>
      <c r="K29" s="5">
        <f>Table27[[#Totals],[Japanese Total]]</f>
        <v>0</v>
      </c>
      <c r="L29" s="5">
        <f>Table27[[#Totals],[Korean Total]]</f>
        <v>0</v>
      </c>
      <c r="M29" s="5">
        <f>Table27[[#Totals],[Latin Total]]</f>
        <v>0</v>
      </c>
      <c r="N29" s="5">
        <f>Table27[[#Totals],[Mandarin Total]]</f>
        <v>0</v>
      </c>
      <c r="O29" s="5">
        <f>Table27[[#Totals],[Spanish Total]]</f>
        <v>45</v>
      </c>
      <c r="P29" s="5">
        <f>Table27[[#Totals],[Tagalog (Filipino) Total]]</f>
        <v>0</v>
      </c>
      <c r="Q29" s="5">
        <f>Table27[[#Totals],[Vietnamese Total]]</f>
        <v>0</v>
      </c>
      <c r="R29" s="5">
        <f>Table27[[#Totals],[Other Total]]</f>
        <v>0</v>
      </c>
      <c r="S29" s="6">
        <f>SUM(Table30[[#This Row],[American Sign Language Total]:[Other Total]])</f>
        <v>48</v>
      </c>
    </row>
    <row r="30" spans="1:19" x14ac:dyDescent="0.25">
      <c r="A30" t="s">
        <v>9</v>
      </c>
      <c r="B30" s="5">
        <v>16</v>
      </c>
      <c r="C30" s="4">
        <v>70</v>
      </c>
      <c r="D30" s="5">
        <f>Table28[[#Totals],[American Sign Language Total]]</f>
        <v>70</v>
      </c>
      <c r="E30" s="5">
        <f>Table28[[#Totals],[Arabic Total]]</f>
        <v>3</v>
      </c>
      <c r="F30" s="5">
        <f>Table28[[#Totals],[Cantonese Total]]</f>
        <v>95</v>
      </c>
      <c r="G30" s="5">
        <f>Table28[[#Totals],[French Total]]</f>
        <v>817</v>
      </c>
      <c r="H30" s="5">
        <f>Table28[[#Totals],[German Total]]</f>
        <v>93</v>
      </c>
      <c r="I30" s="5">
        <f>Table28[[#Totals],[Hmong Total]]</f>
        <v>0</v>
      </c>
      <c r="J30" s="5">
        <f>Table28[[#Totals],[Italian Total]]</f>
        <v>5</v>
      </c>
      <c r="K30" s="5">
        <f>Table28[[#Totals],[Japanese Total]]</f>
        <v>179</v>
      </c>
      <c r="L30" s="5">
        <f>Table28[[#Totals],[Korean Total]]</f>
        <v>250</v>
      </c>
      <c r="M30" s="5">
        <f>Table28[[#Totals],[Latin Total]]</f>
        <v>194</v>
      </c>
      <c r="N30" s="5">
        <f>Table28[[#Totals],[Mandarin Total]]</f>
        <v>403</v>
      </c>
      <c r="O30" s="5">
        <f>Table28[[#Totals],[Spanish Total]]</f>
        <v>6422</v>
      </c>
      <c r="P30" s="5">
        <f>Table28[[#Totals],[Tagalog (Filipino) Total]]</f>
        <v>2</v>
      </c>
      <c r="Q30" s="5">
        <f>Table28[[#Totals],[Vietnamese Total]]</f>
        <v>279</v>
      </c>
      <c r="R30" s="5">
        <f>Table28[[#Totals],[Other Total]]</f>
        <v>4</v>
      </c>
      <c r="S30" s="6">
        <f>SUM(Table30[[#This Row],[American Sign Language Total]:[Other Total]])</f>
        <v>8816</v>
      </c>
    </row>
    <row r="31" spans="1:19" x14ac:dyDescent="0.25">
      <c r="A31" t="s">
        <v>49</v>
      </c>
      <c r="B31" s="5">
        <v>5</v>
      </c>
      <c r="C31" s="4">
        <v>14</v>
      </c>
      <c r="D31" s="5">
        <f>Table29[[#Totals],[American Sign Language Total]]</f>
        <v>25</v>
      </c>
      <c r="E31" s="5">
        <f>Table29[[#Totals],[Arabic Total]]</f>
        <v>1</v>
      </c>
      <c r="F31" s="5">
        <f>Table29[[#Totals],[Cantonese Total]]</f>
        <v>4</v>
      </c>
      <c r="G31" s="5">
        <f>Table29[[#Totals],[French Total]]</f>
        <v>214</v>
      </c>
      <c r="H31" s="5">
        <f>Table29[[#Totals],[German Total]]</f>
        <v>0</v>
      </c>
      <c r="I31" s="5">
        <f>Table29[[#Totals],[Hmong Total]]</f>
        <v>0</v>
      </c>
      <c r="J31" s="5">
        <f>Table29[[#Totals],[Italian Total]]</f>
        <v>1</v>
      </c>
      <c r="K31" s="5">
        <f>Table29[[#Totals],[Japanese Total]]</f>
        <v>0</v>
      </c>
      <c r="L31" s="5">
        <f>Table29[[#Totals],[Korean Total]]</f>
        <v>0</v>
      </c>
      <c r="M31" s="5">
        <f>Table29[[#Totals],[Latin Total]]</f>
        <v>0</v>
      </c>
      <c r="N31" s="5">
        <f>Table29[[#Totals],[Mandarin Total]]</f>
        <v>20</v>
      </c>
      <c r="O31" s="5">
        <f>Table29[[#Totals],[Spanish Total]]</f>
        <v>835</v>
      </c>
      <c r="P31" s="5">
        <f>Table29[[#Totals],[Tagalog (Filipino) Total]]</f>
        <v>0</v>
      </c>
      <c r="Q31" s="5">
        <f>Table29[[#Totals],[Vietnamese Total]]</f>
        <v>0</v>
      </c>
      <c r="R31" s="5">
        <f>Table29[[#Totals],[Other Total]]</f>
        <v>3</v>
      </c>
      <c r="S31" s="6">
        <f>SUM(Table30[[#This Row],[American Sign Language Total]:[Other Total]])</f>
        <v>1103</v>
      </c>
    </row>
    <row r="32" spans="1:19" x14ac:dyDescent="0.25">
      <c r="A32" t="s">
        <v>126</v>
      </c>
      <c r="B32" s="5">
        <v>1</v>
      </c>
      <c r="C32" s="4">
        <v>1</v>
      </c>
      <c r="D32" s="5">
        <f>Table31[[#Totals],[American Sign Language Total]]</f>
        <v>0</v>
      </c>
      <c r="E32" s="5">
        <f>Table31[[#Totals],[Arabic Total]]</f>
        <v>0</v>
      </c>
      <c r="F32" s="5">
        <f>Table31[[#Totals],[Cantonese Total]]</f>
        <v>0</v>
      </c>
      <c r="G32" s="5">
        <f>Table31[[#Totals],[French Total]]</f>
        <v>0</v>
      </c>
      <c r="H32" s="5">
        <f>Table31[[#Totals],[German Total]]</f>
        <v>0</v>
      </c>
      <c r="I32" s="5">
        <f>Table31[[#Totals],[Hmong Total]]</f>
        <v>0</v>
      </c>
      <c r="J32" s="5">
        <f>Table31[[#Totals],[Italian Total]]</f>
        <v>0</v>
      </c>
      <c r="K32" s="5">
        <f>Table31[[#Totals],[Japanese Total]]</f>
        <v>0</v>
      </c>
      <c r="L32" s="5">
        <f>Table31[[#Totals],[Korean Total]]</f>
        <v>0</v>
      </c>
      <c r="M32" s="5">
        <f>Table31[[#Totals],[Latin Total]]</f>
        <v>0</v>
      </c>
      <c r="N32" s="5">
        <f>Table31[[#Totals],[Mandarin Total]]</f>
        <v>0</v>
      </c>
      <c r="O32" s="5">
        <f>Table31[[#Totals],[Spanish Total]]</f>
        <v>2</v>
      </c>
      <c r="P32" s="5">
        <f>Table31[[#Totals],[Tagalog (Filipino) Total]]</f>
        <v>0</v>
      </c>
      <c r="Q32" s="5">
        <f>Table31[[#Totals],[Vietnamese Total]]</f>
        <v>0</v>
      </c>
      <c r="R32" s="5">
        <f>Table31[[#Totals],[Other Total]]</f>
        <v>0</v>
      </c>
      <c r="S32" s="6">
        <f>SUM(Table30[[#This Row],[American Sign Language Total]:[Other Total]])</f>
        <v>2</v>
      </c>
    </row>
    <row r="33" spans="1:19" x14ac:dyDescent="0.25">
      <c r="A33" t="s">
        <v>0</v>
      </c>
      <c r="B33" s="5">
        <v>20</v>
      </c>
      <c r="C33" s="4">
        <v>61</v>
      </c>
      <c r="D33" s="5">
        <f>Table32[[#Totals],[American Sign Language Total]]</f>
        <v>147</v>
      </c>
      <c r="E33" s="5">
        <f>Table32[[#Totals],[Arabic Total]]</f>
        <v>3</v>
      </c>
      <c r="F33" s="5">
        <f>Table32[[#Totals],[Cantonese Total]]</f>
        <v>0</v>
      </c>
      <c r="G33" s="5">
        <f>Table32[[#Totals],[French Total]]</f>
        <v>201</v>
      </c>
      <c r="H33" s="5">
        <f>Table32[[#Totals],[German Total]]</f>
        <v>17</v>
      </c>
      <c r="I33" s="5">
        <f>Table32[[#Totals],[Hmong Total]]</f>
        <v>1</v>
      </c>
      <c r="J33" s="5">
        <f>Table32[[#Totals],[Italian Total]]</f>
        <v>1</v>
      </c>
      <c r="K33" s="5">
        <f>Table32[[#Totals],[Japanese Total]]</f>
        <v>7</v>
      </c>
      <c r="L33" s="5">
        <f>Table32[[#Totals],[Korean Total]]</f>
        <v>6</v>
      </c>
      <c r="M33" s="5">
        <f>Table32[[#Totals],[Latin Total]]</f>
        <v>28</v>
      </c>
      <c r="N33" s="5">
        <f>Table32[[#Totals],[Mandarin Total]]</f>
        <v>36</v>
      </c>
      <c r="O33" s="5">
        <f>Table32[[#Totals],[Spanish Total]]</f>
        <v>3144</v>
      </c>
      <c r="P33" s="5">
        <f>Table32[[#Totals],[Tagalog (Filipino) Total]]</f>
        <v>4</v>
      </c>
      <c r="Q33" s="5">
        <f>Table32[[#Totals],[Vietnamese Total]]</f>
        <v>0</v>
      </c>
      <c r="R33" s="5">
        <f>Table32[[#Totals],[Other Total]]</f>
        <v>8</v>
      </c>
      <c r="S33" s="6">
        <f>SUM(Table30[[#This Row],[American Sign Language Total]:[Other Total]])</f>
        <v>3603</v>
      </c>
    </row>
    <row r="34" spans="1:19" x14ac:dyDescent="0.25">
      <c r="A34" t="s">
        <v>170</v>
      </c>
      <c r="B34" s="5">
        <v>8</v>
      </c>
      <c r="C34" s="4">
        <v>51</v>
      </c>
      <c r="D34" s="5">
        <f>Table33[[#Totals],[American Sign Language Total]]</f>
        <v>0</v>
      </c>
      <c r="E34" s="5">
        <f>Table33[[#Totals],[Arabic Total]]</f>
        <v>7</v>
      </c>
      <c r="F34" s="5">
        <f>Table33[[#Totals],[Cantonese Total]]</f>
        <v>8</v>
      </c>
      <c r="G34" s="5">
        <f>Table33[[#Totals],[French Total]]</f>
        <v>241</v>
      </c>
      <c r="H34" s="5">
        <f>Table33[[#Totals],[German Total]]</f>
        <v>28</v>
      </c>
      <c r="I34" s="5">
        <f>Table33[[#Totals],[Hmong Total]]</f>
        <v>24</v>
      </c>
      <c r="J34" s="5">
        <f>Table33[[#Totals],[Italian Total]]</f>
        <v>1</v>
      </c>
      <c r="K34" s="5">
        <f>Table33[[#Totals],[Japanese Total]]</f>
        <v>122</v>
      </c>
      <c r="L34" s="5">
        <f>Table33[[#Totals],[Korean Total]]</f>
        <v>0</v>
      </c>
      <c r="M34" s="5">
        <f>Table33[[#Totals],[Latin Total]]</f>
        <v>5</v>
      </c>
      <c r="N34" s="5">
        <f>Table33[[#Totals],[Mandarin Total]]</f>
        <v>52</v>
      </c>
      <c r="O34" s="5">
        <f>Table33[[#Totals],[Spanish Total]]</f>
        <v>959</v>
      </c>
      <c r="P34" s="5">
        <f>Table33[[#Totals],[Tagalog (Filipino) Total]]</f>
        <v>12</v>
      </c>
      <c r="Q34" s="5">
        <f>Table33[[#Totals],[Vietnamese Total]]</f>
        <v>7</v>
      </c>
      <c r="R34" s="5">
        <f>Table33[[#Totals],[Other Total]]</f>
        <v>132</v>
      </c>
      <c r="S34" s="6">
        <f>SUM(Table30[[#This Row],[American Sign Language Total]:[Other Total]])</f>
        <v>1598</v>
      </c>
    </row>
    <row r="35" spans="1:19" x14ac:dyDescent="0.25">
      <c r="A35" t="s">
        <v>134</v>
      </c>
      <c r="B35" s="5">
        <v>1</v>
      </c>
      <c r="C35" s="4">
        <v>1</v>
      </c>
      <c r="D35" s="5">
        <f>Table34[[#Totals],[American Sign Language Total]]</f>
        <v>19</v>
      </c>
      <c r="E35" s="5">
        <f>Table34[[#Totals],[Arabic Total]]</f>
        <v>0</v>
      </c>
      <c r="F35" s="5">
        <f>Table34[[#Totals],[Cantonese Total]]</f>
        <v>0</v>
      </c>
      <c r="G35" s="5">
        <f>Table34[[#Totals],[French Total]]</f>
        <v>16</v>
      </c>
      <c r="H35" s="5">
        <f>Table34[[#Totals],[German Total]]</f>
        <v>0</v>
      </c>
      <c r="I35" s="5">
        <f>Table34[[#Totals],[Hmong Total]]</f>
        <v>0</v>
      </c>
      <c r="J35" s="5">
        <f>Table34[[#Totals],[Italian Total]]</f>
        <v>0</v>
      </c>
      <c r="K35" s="5">
        <f>Table34[[#Totals],[Japanese Total]]</f>
        <v>0</v>
      </c>
      <c r="L35" s="5">
        <f>Table34[[#Totals],[Korean Total]]</f>
        <v>0</v>
      </c>
      <c r="M35" s="5">
        <f>Table34[[#Totals],[Latin Total]]</f>
        <v>0</v>
      </c>
      <c r="N35" s="5">
        <f>Table34[[#Totals],[Mandarin Total]]</f>
        <v>0</v>
      </c>
      <c r="O35" s="5">
        <f>Table34[[#Totals],[Spanish Total]]</f>
        <v>56</v>
      </c>
      <c r="P35" s="5">
        <f>Table34[[#Totals],[Tagalog (Filipino) Total]]</f>
        <v>0</v>
      </c>
      <c r="Q35" s="5">
        <f>Table34[[#Totals],[Vietnamese Total]]</f>
        <v>0</v>
      </c>
      <c r="R35" s="5">
        <f>Table34[[#Totals],[Other Total]]</f>
        <v>0</v>
      </c>
      <c r="S35" s="6">
        <f>SUM(Table30[[#This Row],[American Sign Language Total]:[Other Total]])</f>
        <v>91</v>
      </c>
    </row>
    <row r="36" spans="1:19" x14ac:dyDescent="0.25">
      <c r="A36" t="s">
        <v>12</v>
      </c>
      <c r="B36" s="5">
        <v>20</v>
      </c>
      <c r="C36" s="4">
        <v>53</v>
      </c>
      <c r="D36" s="5">
        <f>Table35[[#Totals],[American Sign Language Total]]</f>
        <v>28</v>
      </c>
      <c r="E36" s="5">
        <f>Table35[[#Totals],[Arabic Total]]</f>
        <v>9</v>
      </c>
      <c r="F36" s="5">
        <f>Table35[[#Totals],[Cantonese Total]]</f>
        <v>1</v>
      </c>
      <c r="G36" s="5">
        <f>Table35[[#Totals],[French Total]]</f>
        <v>191</v>
      </c>
      <c r="H36" s="5">
        <f>Table35[[#Totals],[German Total]]</f>
        <v>16</v>
      </c>
      <c r="I36" s="5">
        <f>Table35[[#Totals],[Hmong Total]]</f>
        <v>0</v>
      </c>
      <c r="J36" s="5">
        <f>Table35[[#Totals],[Italian Total]]</f>
        <v>0</v>
      </c>
      <c r="K36" s="5">
        <f>Table35[[#Totals],[Japanese Total]]</f>
        <v>11</v>
      </c>
      <c r="L36" s="5">
        <f>Table35[[#Totals],[Korean Total]]</f>
        <v>10</v>
      </c>
      <c r="M36" s="5">
        <f>Table35[[#Totals],[Latin Total]]</f>
        <v>27</v>
      </c>
      <c r="N36" s="5">
        <f>Table35[[#Totals],[Mandarin Total]]</f>
        <v>51</v>
      </c>
      <c r="O36" s="5">
        <f>Table35[[#Totals],[Spanish Total]]</f>
        <v>2742</v>
      </c>
      <c r="P36" s="5">
        <f>Table35[[#Totals],[Tagalog (Filipino) Total]]</f>
        <v>3</v>
      </c>
      <c r="Q36" s="5">
        <f>Table35[[#Totals],[Vietnamese Total]]</f>
        <v>1</v>
      </c>
      <c r="R36" s="5">
        <f>Table35[[#Totals],[Other Total]]</f>
        <v>5</v>
      </c>
      <c r="S36" s="6">
        <f>SUM(Table30[[#This Row],[American Sign Language Total]:[Other Total]])</f>
        <v>3095</v>
      </c>
    </row>
    <row r="37" spans="1:19" x14ac:dyDescent="0.25">
      <c r="A37" t="s">
        <v>25</v>
      </c>
      <c r="B37" s="5">
        <v>19</v>
      </c>
      <c r="C37" s="4">
        <v>82</v>
      </c>
      <c r="D37" s="5">
        <f>Table36[[#Totals],[American Sign Language Total]]</f>
        <v>100</v>
      </c>
      <c r="E37" s="5">
        <f>Table36[[#Totals],[Arabic Total]]</f>
        <v>22</v>
      </c>
      <c r="F37" s="5">
        <f>Table36[[#Totals],[Cantonese Total]]</f>
        <v>1</v>
      </c>
      <c r="G37" s="5">
        <f>Table36[[#Totals],[French Total]]</f>
        <v>257</v>
      </c>
      <c r="H37" s="5">
        <f>Table36[[#Totals],[German Total]]</f>
        <v>46</v>
      </c>
      <c r="I37" s="5">
        <f>Table36[[#Totals],[Hmong Total]]</f>
        <v>0</v>
      </c>
      <c r="J37" s="5">
        <f>Table36[[#Totals],[Italian Total]]</f>
        <v>40</v>
      </c>
      <c r="K37" s="5">
        <f>Table36[[#Totals],[Japanese Total]]</f>
        <v>84</v>
      </c>
      <c r="L37" s="5">
        <f>Table36[[#Totals],[Korean Total]]</f>
        <v>32</v>
      </c>
      <c r="M37" s="5">
        <f>Table36[[#Totals],[Latin Total]]</f>
        <v>18</v>
      </c>
      <c r="N37" s="5">
        <f>Table36[[#Totals],[Mandarin Total]]</f>
        <v>112</v>
      </c>
      <c r="O37" s="5">
        <f>Table36[[#Totals],[Spanish Total]]</f>
        <v>3365</v>
      </c>
      <c r="P37" s="5">
        <f>Table36[[#Totals],[Tagalog (Filipino) Total]]</f>
        <v>33</v>
      </c>
      <c r="Q37" s="5">
        <f>Table36[[#Totals],[Vietnamese Total]]</f>
        <v>0</v>
      </c>
      <c r="R37" s="5">
        <f>Table36[[#Totals],[Other Total]]</f>
        <v>0</v>
      </c>
      <c r="S37" s="6">
        <f>SUM(Table30[[#This Row],[American Sign Language Total]:[Other Total]])</f>
        <v>4110</v>
      </c>
    </row>
    <row r="38" spans="1:19" x14ac:dyDescent="0.25">
      <c r="A38" t="s">
        <v>78</v>
      </c>
      <c r="B38" s="5">
        <v>1</v>
      </c>
      <c r="C38" s="4">
        <v>16</v>
      </c>
      <c r="D38" s="5">
        <f>Table37[[#Totals],[American Sign Language Total]]</f>
        <v>0</v>
      </c>
      <c r="E38" s="5">
        <f>Table37[[#Totals],[Arabic Total]]</f>
        <v>0</v>
      </c>
      <c r="F38" s="5">
        <f>Table37[[#Totals],[Cantonese Total]]</f>
        <v>0</v>
      </c>
      <c r="G38" s="5">
        <f>Table37[[#Totals],[French Total]]</f>
        <v>16</v>
      </c>
      <c r="H38" s="5">
        <f>Table37[[#Totals],[German Total]]</f>
        <v>1</v>
      </c>
      <c r="I38" s="5">
        <f>Table37[[#Totals],[Hmong Total]]</f>
        <v>0</v>
      </c>
      <c r="J38" s="5">
        <f>Table37[[#Totals],[Italian Total]]</f>
        <v>15</v>
      </c>
      <c r="K38" s="5">
        <f>Table37[[#Totals],[Japanese Total]]</f>
        <v>7</v>
      </c>
      <c r="L38" s="5">
        <f>Table37[[#Totals],[Korean Total]]</f>
        <v>13</v>
      </c>
      <c r="M38" s="5">
        <f>Table37[[#Totals],[Latin Total]]</f>
        <v>7</v>
      </c>
      <c r="N38" s="5">
        <f>Table37[[#Totals],[Mandarin Total]]</f>
        <v>430</v>
      </c>
      <c r="O38" s="5">
        <f>Table37[[#Totals],[Spanish Total]]</f>
        <v>274</v>
      </c>
      <c r="P38" s="5">
        <f>Table37[[#Totals],[Tagalog (Filipino) Total]]</f>
        <v>0</v>
      </c>
      <c r="Q38" s="5">
        <f>Table37[[#Totals],[Vietnamese Total]]</f>
        <v>0</v>
      </c>
      <c r="R38" s="5">
        <f>Table37[[#Totals],[Other Total]]</f>
        <v>0</v>
      </c>
      <c r="S38" s="6">
        <f>SUM(Table30[[#This Row],[American Sign Language Total]:[Other Total]])</f>
        <v>763</v>
      </c>
    </row>
    <row r="39" spans="1:19" x14ac:dyDescent="0.25">
      <c r="A39" t="s">
        <v>18</v>
      </c>
      <c r="B39" s="5">
        <v>10</v>
      </c>
      <c r="C39" s="4">
        <v>28</v>
      </c>
      <c r="D39" s="5">
        <f>Table38[[#Totals],[American Sign Language Total]]</f>
        <v>0</v>
      </c>
      <c r="E39" s="5">
        <f>Table38[[#Totals],[Arabic Total]]</f>
        <v>0</v>
      </c>
      <c r="F39" s="5">
        <f>Table38[[#Totals],[Cantonese Total]]</f>
        <v>1</v>
      </c>
      <c r="G39" s="5">
        <f>Table38[[#Totals],[French Total]]</f>
        <v>59</v>
      </c>
      <c r="H39" s="5">
        <f>Table38[[#Totals],[German Total]]</f>
        <v>0</v>
      </c>
      <c r="I39" s="5">
        <f>Table38[[#Totals],[Hmong Total]]</f>
        <v>0</v>
      </c>
      <c r="J39" s="5">
        <f>Table38[[#Totals],[Italian Total]]</f>
        <v>18</v>
      </c>
      <c r="K39" s="5">
        <f>Table38[[#Totals],[Japanese Total]]</f>
        <v>4</v>
      </c>
      <c r="L39" s="5">
        <f>Table38[[#Totals],[Korean Total]]</f>
        <v>2</v>
      </c>
      <c r="M39" s="5">
        <f>Table38[[#Totals],[Latin Total]]</f>
        <v>0</v>
      </c>
      <c r="N39" s="5">
        <f>Table38[[#Totals],[Mandarin Total]]</f>
        <v>1</v>
      </c>
      <c r="O39" s="5">
        <f>Table38[[#Totals],[Spanish Total]]</f>
        <v>671</v>
      </c>
      <c r="P39" s="5">
        <f>Table38[[#Totals],[Tagalog (Filipino) Total]]</f>
        <v>0</v>
      </c>
      <c r="Q39" s="5">
        <f>Table38[[#Totals],[Vietnamese Total]]</f>
        <v>0</v>
      </c>
      <c r="R39" s="5">
        <f>Table38[[#Totals],[Other Total]]</f>
        <v>0</v>
      </c>
      <c r="S39" s="6">
        <f>SUM(Table30[[#This Row],[American Sign Language Total]:[Other Total]])</f>
        <v>756</v>
      </c>
    </row>
    <row r="40" spans="1:19" x14ac:dyDescent="0.25">
      <c r="A40" t="s">
        <v>60</v>
      </c>
      <c r="B40" s="5">
        <v>5</v>
      </c>
      <c r="C40" s="4">
        <v>8</v>
      </c>
      <c r="D40" s="5">
        <f>Table39[[#Totals],[American Sign Language Total]]</f>
        <v>0</v>
      </c>
      <c r="E40" s="5">
        <f>Table39[[#Totals],[Arabic Total]]</f>
        <v>0</v>
      </c>
      <c r="F40" s="5">
        <f>Table39[[#Totals],[Cantonese Total]]</f>
        <v>0</v>
      </c>
      <c r="G40" s="5">
        <f>Table39[[#Totals],[French Total]]</f>
        <v>2</v>
      </c>
      <c r="H40" s="5">
        <f>Table39[[#Totals],[German Total]]</f>
        <v>0</v>
      </c>
      <c r="I40" s="5">
        <f>Table39[[#Totals],[Hmong Total]]</f>
        <v>0</v>
      </c>
      <c r="J40" s="5">
        <f>Table39[[#Totals],[Italian Total]]</f>
        <v>0</v>
      </c>
      <c r="K40" s="5">
        <f>Table39[[#Totals],[Japanese Total]]</f>
        <v>0</v>
      </c>
      <c r="L40" s="5">
        <f>Table39[[#Totals],[Korean Total]]</f>
        <v>0</v>
      </c>
      <c r="M40" s="5">
        <f>Table39[[#Totals],[Latin Total]]</f>
        <v>1</v>
      </c>
      <c r="N40" s="5">
        <f>Table39[[#Totals],[Mandarin Total]]</f>
        <v>0</v>
      </c>
      <c r="O40" s="5">
        <f>Table39[[#Totals],[Spanish Total]]</f>
        <v>193</v>
      </c>
      <c r="P40" s="5">
        <f>Table39[[#Totals],[Tagalog (Filipino) Total]]</f>
        <v>1</v>
      </c>
      <c r="Q40" s="5">
        <f>Table39[[#Totals],[Vietnamese Total]]</f>
        <v>0</v>
      </c>
      <c r="R40" s="5">
        <f>Table39[[#Totals],[Other Total]]</f>
        <v>0</v>
      </c>
      <c r="S40" s="6">
        <f>SUM(Table30[[#This Row],[American Sign Language Total]:[Other Total]])</f>
        <v>197</v>
      </c>
    </row>
    <row r="41" spans="1:19" x14ac:dyDescent="0.25">
      <c r="A41" t="s">
        <v>42</v>
      </c>
      <c r="B41" s="5">
        <v>6</v>
      </c>
      <c r="C41" s="4">
        <v>22</v>
      </c>
      <c r="D41" s="5">
        <f>Table40[[#Totals],[American Sign Language Total]]</f>
        <v>0</v>
      </c>
      <c r="E41" s="5">
        <f>Table40[[#Totals],[Arabic Total]]</f>
        <v>0</v>
      </c>
      <c r="F41" s="5">
        <f>Table40[[#Totals],[Cantonese Total]]</f>
        <v>4</v>
      </c>
      <c r="G41" s="5">
        <f>Table40[[#Totals],[French Total]]</f>
        <v>132</v>
      </c>
      <c r="H41" s="5">
        <f>Table40[[#Totals],[German Total]]</f>
        <v>1</v>
      </c>
      <c r="I41" s="5">
        <f>Table40[[#Totals],[Hmong Total]]</f>
        <v>0</v>
      </c>
      <c r="J41" s="5">
        <f>Table40[[#Totals],[Italian Total]]</f>
        <v>22</v>
      </c>
      <c r="K41" s="5">
        <f>Table40[[#Totals],[Japanese Total]]</f>
        <v>37</v>
      </c>
      <c r="L41" s="5">
        <f>Table40[[#Totals],[Korean Total]]</f>
        <v>0</v>
      </c>
      <c r="M41" s="5">
        <f>Table40[[#Totals],[Latin Total]]</f>
        <v>32</v>
      </c>
      <c r="N41" s="5">
        <f>Table40[[#Totals],[Mandarin Total]]</f>
        <v>143</v>
      </c>
      <c r="O41" s="5">
        <f>Table40[[#Totals],[Spanish Total]]</f>
        <v>996</v>
      </c>
      <c r="P41" s="5">
        <f>Table40[[#Totals],[Tagalog (Filipino) Total]]</f>
        <v>2</v>
      </c>
      <c r="Q41" s="5">
        <f>Table40[[#Totals],[Vietnamese Total]]</f>
        <v>0</v>
      </c>
      <c r="R41" s="5">
        <f>Table40[[#Totals],[Other Total]]</f>
        <v>2</v>
      </c>
      <c r="S41" s="6">
        <f>SUM(Table30[[#This Row],[American Sign Language Total]:[Other Total]])</f>
        <v>1371</v>
      </c>
    </row>
    <row r="42" spans="1:19" x14ac:dyDescent="0.25">
      <c r="A42" t="s">
        <v>71</v>
      </c>
      <c r="B42" s="5">
        <v>5</v>
      </c>
      <c r="C42" s="4">
        <v>13</v>
      </c>
      <c r="D42" s="5">
        <f>Table41[[#Totals],[American Sign Language Total]]</f>
        <v>1</v>
      </c>
      <c r="E42" s="5">
        <f>Table41[[#Totals],[Arabic Total]]</f>
        <v>0</v>
      </c>
      <c r="F42" s="5">
        <f>Table41[[#Totals],[Cantonese Total]]</f>
        <v>0</v>
      </c>
      <c r="G42" s="5">
        <f>Table41[[#Totals],[French Total]]</f>
        <v>37</v>
      </c>
      <c r="H42" s="5">
        <f>Table41[[#Totals],[German Total]]</f>
        <v>0</v>
      </c>
      <c r="I42" s="5">
        <f>Table41[[#Totals],[Hmong Total]]</f>
        <v>0</v>
      </c>
      <c r="J42" s="5">
        <f>Table41[[#Totals],[Italian Total]]</f>
        <v>0</v>
      </c>
      <c r="K42" s="5">
        <f>Table41[[#Totals],[Japanese Total]]</f>
        <v>0</v>
      </c>
      <c r="L42" s="5">
        <f>Table41[[#Totals],[Korean Total]]</f>
        <v>1</v>
      </c>
      <c r="M42" s="5">
        <f>Table41[[#Totals],[Latin Total]]</f>
        <v>0</v>
      </c>
      <c r="N42" s="5">
        <f>Table41[[#Totals],[Mandarin Total]]</f>
        <v>0</v>
      </c>
      <c r="O42" s="5">
        <f>Table41[[#Totals],[Spanish Total]]</f>
        <v>417</v>
      </c>
      <c r="P42" s="5">
        <f>Table41[[#Totals],[Tagalog (Filipino) Total]]</f>
        <v>3</v>
      </c>
      <c r="Q42" s="5">
        <f>Table41[[#Totals],[Vietnamese Total]]</f>
        <v>0</v>
      </c>
      <c r="R42" s="5">
        <f>Table41[[#Totals],[Other Total]]</f>
        <v>1</v>
      </c>
      <c r="S42" s="6">
        <f>SUM(Table30[[#This Row],[American Sign Language Total]:[Other Total]])</f>
        <v>460</v>
      </c>
    </row>
    <row r="43" spans="1:19" x14ac:dyDescent="0.25">
      <c r="A43" t="s">
        <v>62</v>
      </c>
      <c r="B43" s="5">
        <v>12</v>
      </c>
      <c r="C43" s="4">
        <v>56</v>
      </c>
      <c r="D43" s="5">
        <f>Table42[[#Totals],[American Sign Language Total]]</f>
        <v>38</v>
      </c>
      <c r="E43" s="5">
        <f>Table42[[#Totals],[Arabic Total]]</f>
        <v>2</v>
      </c>
      <c r="F43" s="5">
        <f>Table42[[#Totals],[Cantonese Total]]</f>
        <v>0</v>
      </c>
      <c r="G43" s="5">
        <f>Table42[[#Totals],[French Total]]</f>
        <v>463</v>
      </c>
      <c r="H43" s="5">
        <f>Table42[[#Totals],[German Total]]</f>
        <v>65</v>
      </c>
      <c r="I43" s="5">
        <f>Table42[[#Totals],[Hmong Total]]</f>
        <v>0</v>
      </c>
      <c r="J43" s="5">
        <f>Table42[[#Totals],[Italian Total]]</f>
        <v>10</v>
      </c>
      <c r="K43" s="5">
        <f>Table42[[#Totals],[Japanese Total]]</f>
        <v>184</v>
      </c>
      <c r="L43" s="5">
        <f>Table42[[#Totals],[Korean Total]]</f>
        <v>36</v>
      </c>
      <c r="M43" s="5">
        <f>Table42[[#Totals],[Latin Total]]</f>
        <v>12</v>
      </c>
      <c r="N43" s="5">
        <f>Table42[[#Totals],[Mandarin Total]]</f>
        <v>711</v>
      </c>
      <c r="O43" s="5">
        <f>Table42[[#Totals],[Spanish Total]]</f>
        <v>2269</v>
      </c>
      <c r="P43" s="5">
        <f>Table42[[#Totals],[Tagalog (Filipino) Total]]</f>
        <v>2</v>
      </c>
      <c r="Q43" s="5">
        <f>Table42[[#Totals],[Vietnamese Total]]</f>
        <v>124</v>
      </c>
      <c r="R43" s="5">
        <f>Table42[[#Totals],[Other Total]]</f>
        <v>29</v>
      </c>
      <c r="S43" s="6">
        <f>SUM(Table30[[#This Row],[American Sign Language Total]:[Other Total]])</f>
        <v>3945</v>
      </c>
    </row>
    <row r="44" spans="1:19" x14ac:dyDescent="0.25">
      <c r="A44" t="s">
        <v>7</v>
      </c>
      <c r="B44" s="5">
        <v>4</v>
      </c>
      <c r="C44" s="4">
        <v>8</v>
      </c>
      <c r="D44" s="5">
        <f>Table1[[#Totals],[American Sign Language Total]]</f>
        <v>0</v>
      </c>
      <c r="E44" s="5">
        <f>Table1[[#Totals],[Arabic Total]]</f>
        <v>0</v>
      </c>
      <c r="F44" s="5">
        <f>Table1[[#Totals],[Cantonese Total]]</f>
        <v>1</v>
      </c>
      <c r="G44" s="5">
        <f>Table1[[#Totals],[French Total]]</f>
        <v>11</v>
      </c>
      <c r="H44" s="5">
        <f>Table1[[#Totals],[German Total]]</f>
        <v>1</v>
      </c>
      <c r="I44" s="5">
        <f>Table1[[#Totals],[Hmong Total]]</f>
        <v>0</v>
      </c>
      <c r="J44" s="5">
        <f>Table1[[#Totals],[Italian Total]]</f>
        <v>0</v>
      </c>
      <c r="K44" s="5">
        <f>Table1[[#Totals],[Japanese Total]]</f>
        <v>0</v>
      </c>
      <c r="L44" s="5">
        <f>Table1[[#Totals],[Korean Total]]</f>
        <v>0</v>
      </c>
      <c r="M44" s="5">
        <f>Table1[[#Totals],[Latin Total]]</f>
        <v>1</v>
      </c>
      <c r="N44" s="5">
        <f>Table1[[#Totals],[Mandarin Total]]</f>
        <v>4</v>
      </c>
      <c r="O44" s="5">
        <f>Table1[[#Totals],[Spanish Total]]</f>
        <v>185</v>
      </c>
      <c r="P44" s="5">
        <f>Table1[[#Totals],[Tagalog (Filipino) Total]]</f>
        <v>0</v>
      </c>
      <c r="Q44" s="5">
        <f>Table1[[#Totals],[Vietnamese Total]]</f>
        <v>0</v>
      </c>
      <c r="R44" s="5">
        <f>Table1[[#Totals],[Other Total]]</f>
        <v>1</v>
      </c>
      <c r="S44" s="6">
        <f>SUM(Table30[[#This Row],[American Sign Language Total]:[Other Total]])</f>
        <v>204</v>
      </c>
    </row>
    <row r="45" spans="1:19" x14ac:dyDescent="0.25">
      <c r="A45" t="s">
        <v>115</v>
      </c>
      <c r="B45" s="5">
        <v>1</v>
      </c>
      <c r="C45" s="4">
        <v>3</v>
      </c>
      <c r="D45" s="5">
        <f>Table43[[#Totals],[American Sign Language Total]]</f>
        <v>0</v>
      </c>
      <c r="E45" s="5">
        <f>Table43[[#Totals],[Arabic Total]]</f>
        <v>0</v>
      </c>
      <c r="F45" s="5">
        <f>Table43[[#Totals],[Cantonese Total]]</f>
        <v>0</v>
      </c>
      <c r="G45" s="5">
        <f>Table43[[#Totals],[French Total]]</f>
        <v>3</v>
      </c>
      <c r="H45" s="5">
        <f>Table43[[#Totals],[German Total]]</f>
        <v>0</v>
      </c>
      <c r="I45" s="5">
        <f>Table43[[#Totals],[Hmong Total]]</f>
        <v>0</v>
      </c>
      <c r="J45" s="5">
        <f>Table43[[#Totals],[Italian Total]]</f>
        <v>0</v>
      </c>
      <c r="K45" s="5">
        <f>Table43[[#Totals],[Japanese Total]]</f>
        <v>0</v>
      </c>
      <c r="L45" s="5">
        <f>Table43[[#Totals],[Korean Total]]</f>
        <v>0</v>
      </c>
      <c r="M45" s="5">
        <f>Table43[[#Totals],[Latin Total]]</f>
        <v>0</v>
      </c>
      <c r="N45" s="5">
        <f>Table43[[#Totals],[Mandarin Total]]</f>
        <v>0</v>
      </c>
      <c r="O45" s="5">
        <f>Table43[[#Totals],[Spanish Total]]</f>
        <v>10</v>
      </c>
      <c r="P45" s="5">
        <f>Table43[[#Totals],[Tagalog (Filipino) Total]]</f>
        <v>0</v>
      </c>
      <c r="Q45" s="5">
        <f>Table43[[#Totals],[Vietnamese Total]]</f>
        <v>0</v>
      </c>
      <c r="R45" s="5">
        <f>Table43[[#Totals],[Other Total]]</f>
        <v>0</v>
      </c>
      <c r="S45" s="6">
        <f>SUM(Table30[[#This Row],[American Sign Language Total]:[Other Total]])</f>
        <v>13</v>
      </c>
    </row>
    <row r="46" spans="1:19" x14ac:dyDescent="0.25">
      <c r="A46" t="s">
        <v>113</v>
      </c>
      <c r="B46" s="5">
        <v>1</v>
      </c>
      <c r="C46" s="4">
        <v>1</v>
      </c>
      <c r="D46" s="5">
        <f>Table44[[#Totals],[American Sign Language Total]]</f>
        <v>0</v>
      </c>
      <c r="E46" s="5">
        <f>Table44[[#Totals],[Arabic Total]]</f>
        <v>0</v>
      </c>
      <c r="F46" s="5">
        <f>Table44[[#Totals],[Cantonese Total]]</f>
        <v>0</v>
      </c>
      <c r="G46" s="5">
        <f>Table44[[#Totals],[French Total]]</f>
        <v>0</v>
      </c>
      <c r="H46" s="5">
        <f>Table44[[#Totals],[German Total]]</f>
        <v>2</v>
      </c>
      <c r="I46" s="5">
        <f>Table44[[#Totals],[Hmong Total]]</f>
        <v>0</v>
      </c>
      <c r="J46" s="5">
        <f>Table44[[#Totals],[Italian Total]]</f>
        <v>0</v>
      </c>
      <c r="K46" s="5">
        <f>Table44[[#Totals],[Japanese Total]]</f>
        <v>1</v>
      </c>
      <c r="L46" s="5">
        <f>Table44[[#Totals],[Korean Total]]</f>
        <v>0</v>
      </c>
      <c r="M46" s="5">
        <f>Table44[[#Totals],[Latin Total]]</f>
        <v>0</v>
      </c>
      <c r="N46" s="5">
        <f>Table44[[#Totals],[Mandarin Total]]</f>
        <v>0</v>
      </c>
      <c r="O46" s="5">
        <f>Table44[[#Totals],[Spanish Total]]</f>
        <v>14</v>
      </c>
      <c r="P46" s="5">
        <f>Table44[[#Totals],[Tagalog (Filipino) Total]]</f>
        <v>1</v>
      </c>
      <c r="Q46" s="5">
        <f>Table44[[#Totals],[Vietnamese Total]]</f>
        <v>0</v>
      </c>
      <c r="R46" s="5">
        <f>Table44[[#Totals],[Other Total]]</f>
        <v>1</v>
      </c>
      <c r="S46" s="6">
        <f>SUM(Table30[[#This Row],[American Sign Language Total]:[Other Total]])</f>
        <v>19</v>
      </c>
    </row>
    <row r="47" spans="1:19" x14ac:dyDescent="0.25">
      <c r="A47" t="s">
        <v>53</v>
      </c>
      <c r="B47" s="5">
        <v>3</v>
      </c>
      <c r="C47" s="4">
        <v>7</v>
      </c>
      <c r="D47" s="5">
        <f>Table45[[#Totals],[American Sign Language Total]]</f>
        <v>0</v>
      </c>
      <c r="E47" s="5">
        <f>Table45[[#Totals],[Arabic Total]]</f>
        <v>2</v>
      </c>
      <c r="F47" s="5">
        <f>Table45[[#Totals],[Cantonese Total]]</f>
        <v>1</v>
      </c>
      <c r="G47" s="5">
        <f>Table45[[#Totals],[French Total]]</f>
        <v>21</v>
      </c>
      <c r="H47" s="5">
        <f>Table45[[#Totals],[German Total]]</f>
        <v>0</v>
      </c>
      <c r="I47" s="5">
        <f>Table45[[#Totals],[Hmong Total]]</f>
        <v>0</v>
      </c>
      <c r="J47" s="5">
        <f>Table45[[#Totals],[Italian Total]]</f>
        <v>0</v>
      </c>
      <c r="K47" s="5">
        <f>Table45[[#Totals],[Japanese Total]]</f>
        <v>0</v>
      </c>
      <c r="L47" s="5">
        <f>Table45[[#Totals],[Korean Total]]</f>
        <v>0</v>
      </c>
      <c r="M47" s="5">
        <f>Table45[[#Totals],[Latin Total]]</f>
        <v>0</v>
      </c>
      <c r="N47" s="5">
        <f>Table45[[#Totals],[Mandarin Total]]</f>
        <v>9</v>
      </c>
      <c r="O47" s="5">
        <f>Table45[[#Totals],[Spanish Total]]</f>
        <v>141</v>
      </c>
      <c r="P47" s="5">
        <f>Table45[[#Totals],[Tagalog (Filipino) Total]]</f>
        <v>12</v>
      </c>
      <c r="Q47" s="5">
        <f>Table45[[#Totals],[Vietnamese Total]]</f>
        <v>1</v>
      </c>
      <c r="R47" s="5">
        <f>Table45[[#Totals],[Other Total]]</f>
        <v>3</v>
      </c>
      <c r="S47" s="6">
        <f>SUM(Table30[[#This Row],[American Sign Language Total]:[Other Total]])</f>
        <v>190</v>
      </c>
    </row>
    <row r="48" spans="1:19" x14ac:dyDescent="0.25">
      <c r="A48" t="s">
        <v>4</v>
      </c>
      <c r="B48" s="5">
        <v>9</v>
      </c>
      <c r="C48" s="4">
        <v>17</v>
      </c>
      <c r="D48" s="5">
        <f>Table46[[#Totals],[American Sign Language Total]]</f>
        <v>0</v>
      </c>
      <c r="E48" s="5">
        <f>Table46[[#Totals],[Arabic Total]]</f>
        <v>0</v>
      </c>
      <c r="F48" s="5">
        <f>Table46[[#Totals],[Cantonese Total]]</f>
        <v>0</v>
      </c>
      <c r="G48" s="5">
        <f>Table46[[#Totals],[French Total]]</f>
        <v>44</v>
      </c>
      <c r="H48" s="5">
        <f>Table46[[#Totals],[German Total]]</f>
        <v>0</v>
      </c>
      <c r="I48" s="5">
        <f>Table46[[#Totals],[Hmong Total]]</f>
        <v>0</v>
      </c>
      <c r="J48" s="5">
        <f>Table46[[#Totals],[Italian Total]]</f>
        <v>1</v>
      </c>
      <c r="K48" s="5">
        <f>Table46[[#Totals],[Japanese Total]]</f>
        <v>2</v>
      </c>
      <c r="L48" s="5">
        <f>Table46[[#Totals],[Korean Total]]</f>
        <v>0</v>
      </c>
      <c r="M48" s="5">
        <f>Table46[[#Totals],[Latin Total]]</f>
        <v>2</v>
      </c>
      <c r="N48" s="5">
        <f>Table46[[#Totals],[Mandarin Total]]</f>
        <v>9</v>
      </c>
      <c r="O48" s="5">
        <f>Table46[[#Totals],[Spanish Total]]</f>
        <v>501</v>
      </c>
      <c r="P48" s="5">
        <f>Table46[[#Totals],[Tagalog (Filipino) Total]]</f>
        <v>0</v>
      </c>
      <c r="Q48" s="5">
        <f>Table46[[#Totals],[Vietnamese Total]]</f>
        <v>0</v>
      </c>
      <c r="R48" s="5">
        <f>Table46[[#Totals],[Other Total]]</f>
        <v>0</v>
      </c>
      <c r="S48" s="6">
        <f>SUM(Table30[[#This Row],[American Sign Language Total]:[Other Total]])</f>
        <v>559</v>
      </c>
    </row>
    <row r="49" spans="1:19" x14ac:dyDescent="0.25">
      <c r="A49" t="s">
        <v>8</v>
      </c>
      <c r="B49" s="5">
        <v>10</v>
      </c>
      <c r="C49" s="4">
        <v>19</v>
      </c>
      <c r="D49" s="5">
        <f>Table47[[#Totals],[American Sign Language Total]]</f>
        <v>0</v>
      </c>
      <c r="E49" s="5">
        <f>Table47[[#Totals],[Arabic Total]]</f>
        <v>0</v>
      </c>
      <c r="F49" s="5">
        <f>Table47[[#Totals],[Cantonese Total]]</f>
        <v>0</v>
      </c>
      <c r="G49" s="5">
        <f>Table47[[#Totals],[French Total]]</f>
        <v>31</v>
      </c>
      <c r="H49" s="5">
        <f>Table47[[#Totals],[German Total]]</f>
        <v>7</v>
      </c>
      <c r="I49" s="5">
        <f>Table47[[#Totals],[Hmong Total]]</f>
        <v>0</v>
      </c>
      <c r="J49" s="5">
        <f>Table47[[#Totals],[Italian Total]]</f>
        <v>0</v>
      </c>
      <c r="K49" s="5">
        <f>Table47[[#Totals],[Japanese Total]]</f>
        <v>1</v>
      </c>
      <c r="L49" s="5">
        <f>Table47[[#Totals],[Korean Total]]</f>
        <v>0</v>
      </c>
      <c r="M49" s="5">
        <f>Table47[[#Totals],[Latin Total]]</f>
        <v>0</v>
      </c>
      <c r="N49" s="5">
        <f>Table47[[#Totals],[Mandarin Total]]</f>
        <v>0</v>
      </c>
      <c r="O49" s="5">
        <f>Table47[[#Totals],[Spanish Total]]</f>
        <v>482</v>
      </c>
      <c r="P49" s="5">
        <f>Table47[[#Totals],[Tagalog (Filipino) Total]]</f>
        <v>1</v>
      </c>
      <c r="Q49" s="5">
        <f>Table47[[#Totals],[Vietnamese Total]]</f>
        <v>0</v>
      </c>
      <c r="R49" s="5">
        <f>Table47[[#Totals],[Other Total]]</f>
        <v>4</v>
      </c>
      <c r="S49" s="6">
        <f>SUM(Table30[[#This Row],[American Sign Language Total]:[Other Total]])</f>
        <v>526</v>
      </c>
    </row>
    <row r="50" spans="1:19" x14ac:dyDescent="0.25">
      <c r="A50" t="s">
        <v>45</v>
      </c>
      <c r="B50" s="5">
        <v>5</v>
      </c>
      <c r="C50" s="4">
        <v>6</v>
      </c>
      <c r="D50" s="5">
        <f>Table48[[#Totals],[American Sign Language Total]]</f>
        <v>0</v>
      </c>
      <c r="E50" s="5">
        <f>Table48[[#Totals],[Arabic Total]]</f>
        <v>0</v>
      </c>
      <c r="F50" s="5">
        <f>Table48[[#Totals],[Cantonese Total]]</f>
        <v>0</v>
      </c>
      <c r="G50" s="5">
        <f>Table48[[#Totals],[French Total]]</f>
        <v>5</v>
      </c>
      <c r="H50" s="5">
        <f>Table48[[#Totals],[German Total]]</f>
        <v>13</v>
      </c>
      <c r="I50" s="5">
        <f>Table48[[#Totals],[Hmong Total]]</f>
        <v>0</v>
      </c>
      <c r="J50" s="5">
        <f>Table48[[#Totals],[Italian Total]]</f>
        <v>0</v>
      </c>
      <c r="K50" s="5">
        <f>Table48[[#Totals],[Japanese Total]]</f>
        <v>0</v>
      </c>
      <c r="L50" s="5">
        <f>Table48[[#Totals],[Korean Total]]</f>
        <v>0</v>
      </c>
      <c r="M50" s="5">
        <f>Table48[[#Totals],[Latin Total]]</f>
        <v>0</v>
      </c>
      <c r="N50" s="5">
        <f>Table48[[#Totals],[Mandarin Total]]</f>
        <v>0</v>
      </c>
      <c r="O50" s="5">
        <f>Table48[[#Totals],[Spanish Total]]</f>
        <v>143</v>
      </c>
      <c r="P50" s="5">
        <f>Table48[[#Totals],[Tagalog (Filipino) Total]]</f>
        <v>0</v>
      </c>
      <c r="Q50" s="5">
        <f>Table48[[#Totals],[Vietnamese Total]]</f>
        <v>0</v>
      </c>
      <c r="R50" s="5">
        <f>Table48[[#Totals],[Other Total]]</f>
        <v>3</v>
      </c>
      <c r="S50" s="6">
        <f>SUM(Table30[[#This Row],[American Sign Language Total]:[Other Total]])</f>
        <v>164</v>
      </c>
    </row>
    <row r="51" spans="1:19" x14ac:dyDescent="0.25">
      <c r="A51" t="s">
        <v>3</v>
      </c>
      <c r="B51" s="5">
        <v>3</v>
      </c>
      <c r="C51" s="4">
        <v>4</v>
      </c>
      <c r="D51" s="5">
        <f>Table49[[#Totals],[American Sign Language Total]]</f>
        <v>0</v>
      </c>
      <c r="E51" s="5">
        <f>Table49[[#Totals],[Arabic Total]]</f>
        <v>0</v>
      </c>
      <c r="F51" s="5">
        <f>Table49[[#Totals],[Cantonese Total]]</f>
        <v>0</v>
      </c>
      <c r="G51" s="5">
        <f>Table49[[#Totals],[French Total]]</f>
        <v>0</v>
      </c>
      <c r="H51" s="5">
        <f>Table49[[#Totals],[German Total]]</f>
        <v>0</v>
      </c>
      <c r="I51" s="5">
        <f>Table49[[#Totals],[Hmong Total]]</f>
        <v>0</v>
      </c>
      <c r="J51" s="5">
        <f>Table49[[#Totals],[Italian Total]]</f>
        <v>0</v>
      </c>
      <c r="K51" s="5">
        <f>Table49[[#Totals],[Japanese Total]]</f>
        <v>0</v>
      </c>
      <c r="L51" s="5">
        <f>Table49[[#Totals],[Korean Total]]</f>
        <v>0</v>
      </c>
      <c r="M51" s="5">
        <f>Table49[[#Totals],[Latin Total]]</f>
        <v>0</v>
      </c>
      <c r="N51" s="5">
        <f>Table49[[#Totals],[Mandarin Total]]</f>
        <v>0</v>
      </c>
      <c r="O51" s="5">
        <f>Table49[[#Totals],[Spanish Total]]</f>
        <v>44</v>
      </c>
      <c r="P51" s="5">
        <f>Table49[[#Totals],[Tagalog (Filipino) Total]]</f>
        <v>0</v>
      </c>
      <c r="Q51" s="5">
        <f>Table49[[#Totals],[Vietnamese Total]]</f>
        <v>0</v>
      </c>
      <c r="R51" s="5">
        <f>Table49[[#Totals],[Other Total]]</f>
        <v>0</v>
      </c>
      <c r="S51" s="6">
        <f>SUM(Table30[[#This Row],[American Sign Language Total]:[Other Total]])</f>
        <v>44</v>
      </c>
    </row>
    <row r="52" spans="1:19" x14ac:dyDescent="0.25">
      <c r="A52" t="s">
        <v>6</v>
      </c>
      <c r="B52" s="5">
        <v>10</v>
      </c>
      <c r="C52" s="4">
        <v>19</v>
      </c>
      <c r="D52" s="5">
        <f>Table50[[#Totals],[American Sign Language Total]]</f>
        <v>0</v>
      </c>
      <c r="E52" s="5">
        <f>Table50[[#Totals],[Arabic Total]]</f>
        <v>0</v>
      </c>
      <c r="F52" s="5">
        <f>Table50[[#Totals],[Cantonese Total]]</f>
        <v>0</v>
      </c>
      <c r="G52" s="5">
        <f>Table50[[#Totals],[French Total]]</f>
        <v>31</v>
      </c>
      <c r="H52" s="5">
        <f>Table50[[#Totals],[German Total]]</f>
        <v>0</v>
      </c>
      <c r="I52" s="5">
        <f>Table50[[#Totals],[Hmong Total]]</f>
        <v>0</v>
      </c>
      <c r="J52" s="5">
        <f>Table50[[#Totals],[Italian Total]]</f>
        <v>0</v>
      </c>
      <c r="K52" s="5">
        <f>Table50[[#Totals],[Japanese Total]]</f>
        <v>0</v>
      </c>
      <c r="L52" s="5">
        <f>Table50[[#Totals],[Korean Total]]</f>
        <v>0</v>
      </c>
      <c r="M52" s="5">
        <f>Table50[[#Totals],[Latin Total]]</f>
        <v>0</v>
      </c>
      <c r="N52" s="5">
        <f>Table50[[#Totals],[Mandarin Total]]</f>
        <v>0</v>
      </c>
      <c r="O52" s="5">
        <f>Table50[[#Totals],[Spanish Total]]</f>
        <v>562</v>
      </c>
      <c r="P52" s="5">
        <f>Table50[[#Totals],[Tagalog (Filipino) Total]]</f>
        <v>0</v>
      </c>
      <c r="Q52" s="5">
        <f>Table50[[#Totals],[Vietnamese Total]]</f>
        <v>0</v>
      </c>
      <c r="R52" s="5">
        <f>Table50[[#Totals],[Other Total]]</f>
        <v>30</v>
      </c>
      <c r="S52" s="6">
        <f>SUM(Table30[[#This Row],[American Sign Language Total]:[Other Total]])</f>
        <v>623</v>
      </c>
    </row>
    <row r="53" spans="1:19" x14ac:dyDescent="0.25">
      <c r="A53" t="s">
        <v>92</v>
      </c>
      <c r="B53" s="5">
        <v>8</v>
      </c>
      <c r="C53" s="4">
        <v>21</v>
      </c>
      <c r="D53" s="5">
        <f>Table51[[#Totals],[American Sign Language Total]]</f>
        <v>0</v>
      </c>
      <c r="E53" s="5">
        <f>Table51[[#Totals],[Arabic Total]]</f>
        <v>0</v>
      </c>
      <c r="F53" s="5">
        <f>Table51[[#Totals],[Cantonese Total]]</f>
        <v>0</v>
      </c>
      <c r="G53" s="5">
        <f>Table51[[#Totals],[French Total]]</f>
        <v>108</v>
      </c>
      <c r="H53" s="5">
        <f>Table51[[#Totals],[German Total]]</f>
        <v>26</v>
      </c>
      <c r="I53" s="5">
        <f>Table51[[#Totals],[Hmong Total]]</f>
        <v>0</v>
      </c>
      <c r="J53" s="5">
        <f>Table51[[#Totals],[Italian Total]]</f>
        <v>0</v>
      </c>
      <c r="K53" s="5">
        <f>Table51[[#Totals],[Japanese Total]]</f>
        <v>1</v>
      </c>
      <c r="L53" s="5">
        <f>Table51[[#Totals],[Korean Total]]</f>
        <v>2</v>
      </c>
      <c r="M53" s="5">
        <f>Table51[[#Totals],[Latin Total]]</f>
        <v>0</v>
      </c>
      <c r="N53" s="5">
        <f>Table51[[#Totals],[Mandarin Total]]</f>
        <v>37</v>
      </c>
      <c r="O53" s="5">
        <f>Table51[[#Totals],[Spanish Total]]</f>
        <v>1002</v>
      </c>
      <c r="P53" s="5">
        <f>Table51[[#Totals],[Tagalog (Filipino) Total]]</f>
        <v>0</v>
      </c>
      <c r="Q53" s="5">
        <f>Table51[[#Totals],[Vietnamese Total]]</f>
        <v>0</v>
      </c>
      <c r="R53" s="5">
        <f>Table51[[#Totals],[Other Total]]</f>
        <v>6</v>
      </c>
      <c r="S53" s="6">
        <f>SUM(Table30[[#This Row],[American Sign Language Total]:[Other Total]])</f>
        <v>1182</v>
      </c>
    </row>
    <row r="54" spans="1:19" x14ac:dyDescent="0.25">
      <c r="A54" t="s">
        <v>74</v>
      </c>
      <c r="B54" s="5">
        <v>4</v>
      </c>
      <c r="C54" s="4">
        <v>6</v>
      </c>
      <c r="D54" s="5">
        <f>Table52[[#Totals],[American Sign Language Total]]</f>
        <v>8</v>
      </c>
      <c r="E54" s="5">
        <f>Table52[[#Totals],[Arabic Total]]</f>
        <v>0</v>
      </c>
      <c r="F54" s="5">
        <f>Table52[[#Totals],[Cantonese Total]]</f>
        <v>0</v>
      </c>
      <c r="G54" s="5">
        <f>Table52[[#Totals],[French Total]]</f>
        <v>17</v>
      </c>
      <c r="H54" s="5">
        <f>Table52[[#Totals],[German Total]]</f>
        <v>3</v>
      </c>
      <c r="I54" s="5">
        <f>Table52[[#Totals],[Hmong Total]]</f>
        <v>0</v>
      </c>
      <c r="J54" s="5">
        <f>Table52[[#Totals],[Italian Total]]</f>
        <v>0</v>
      </c>
      <c r="K54" s="5">
        <f>Table52[[#Totals],[Japanese Total]]</f>
        <v>5</v>
      </c>
      <c r="L54" s="5">
        <f>Table52[[#Totals],[Korean Total]]</f>
        <v>0</v>
      </c>
      <c r="M54" s="5">
        <f>Table52[[#Totals],[Latin Total]]</f>
        <v>0</v>
      </c>
      <c r="N54" s="5">
        <f>Table52[[#Totals],[Mandarin Total]]</f>
        <v>11</v>
      </c>
      <c r="O54" s="5">
        <f>Table52[[#Totals],[Spanish Total]]</f>
        <v>270</v>
      </c>
      <c r="P54" s="5">
        <f>Table52[[#Totals],[Tagalog (Filipino) Total]]</f>
        <v>2</v>
      </c>
      <c r="Q54" s="5">
        <f>Table52[[#Totals],[Vietnamese Total]]</f>
        <v>1</v>
      </c>
      <c r="R54" s="5">
        <f>Table52[[#Totals],[Other Total]]</f>
        <v>4</v>
      </c>
      <c r="S54" s="6">
        <f>SUM(Table30[[#This Row],[American Sign Language Total]:[Other Total]])</f>
        <v>321</v>
      </c>
    </row>
    <row r="55" spans="1:19" x14ac:dyDescent="0.25">
      <c r="A55" t="s">
        <v>103</v>
      </c>
      <c r="B55" s="5">
        <v>2</v>
      </c>
      <c r="C55" s="4">
        <v>4</v>
      </c>
      <c r="D55" s="5">
        <f>Table53[[#Totals],[American Sign Language Total]]</f>
        <v>0</v>
      </c>
      <c r="E55" s="5">
        <f>Table53[[#Totals],[Arabic Total]]</f>
        <v>0</v>
      </c>
      <c r="F55" s="5">
        <f>Table53[[#Totals],[Cantonese Total]]</f>
        <v>0</v>
      </c>
      <c r="G55" s="5">
        <f>Table53[[#Totals],[French Total]]</f>
        <v>0</v>
      </c>
      <c r="H55" s="5">
        <f>Table53[[#Totals],[German Total]]</f>
        <v>0</v>
      </c>
      <c r="I55" s="5">
        <f>Table53[[#Totals],[Hmong Total]]</f>
        <v>1</v>
      </c>
      <c r="J55" s="5">
        <f>Table53[[#Totals],[Italian Total]]</f>
        <v>0</v>
      </c>
      <c r="K55" s="5">
        <f>Table53[[#Totals],[Japanese Total]]</f>
        <v>0</v>
      </c>
      <c r="L55" s="5">
        <f>Table53[[#Totals],[Korean Total]]</f>
        <v>0</v>
      </c>
      <c r="M55" s="5">
        <f>Table53[[#Totals],[Latin Total]]</f>
        <v>0</v>
      </c>
      <c r="N55" s="5">
        <f>Table53[[#Totals],[Mandarin Total]]</f>
        <v>0</v>
      </c>
      <c r="O55" s="5">
        <f>Table53[[#Totals],[Spanish Total]]</f>
        <v>26</v>
      </c>
      <c r="P55" s="5">
        <f>Table53[[#Totals],[Tagalog (Filipino) Total]]</f>
        <v>0</v>
      </c>
      <c r="Q55" s="5">
        <f>Table53[[#Totals],[Vietnamese Total]]</f>
        <v>0</v>
      </c>
      <c r="R55" s="5">
        <f>Table53[[#Totals],[Other Total]]</f>
        <v>0</v>
      </c>
      <c r="S55" s="6">
        <f>SUM(Table30[[#This Row],[American Sign Language Total]:[Other Total]])</f>
        <v>27</v>
      </c>
    </row>
    <row r="56" spans="1:19" x14ac:dyDescent="0.25">
      <c r="A56" t="s">
        <v>171</v>
      </c>
      <c r="B56" s="6">
        <f>SUM(Table30[Participating Districts Total])</f>
        <v>345</v>
      </c>
      <c r="C56" s="6">
        <f>SUBTOTAL(109,Table30[Participating Schools Total])</f>
        <v>1086</v>
      </c>
      <c r="D56" s="6">
        <f>SUM(Table30[American Sign Language Total])</f>
        <v>580</v>
      </c>
      <c r="E56" s="6">
        <f>SUM(Table30[Arabic Total])</f>
        <v>105</v>
      </c>
      <c r="F56" s="6">
        <f>SUM(Table30[Cantonese Total])</f>
        <v>143</v>
      </c>
      <c r="G56" s="6">
        <f>SUM(Table30[French Total])</f>
        <v>4453</v>
      </c>
      <c r="H56" s="6">
        <f>SUM(Table30[German Total])</f>
        <v>514</v>
      </c>
      <c r="I56" s="6">
        <f>SUBTOTAL(109,Table30[Hmong Total])</f>
        <v>115</v>
      </c>
      <c r="J56" s="6">
        <f>SUM(Table30[Italian Total])</f>
        <v>183</v>
      </c>
      <c r="K56" s="6">
        <f>SUM(Table30[[ Japanese Total]])</f>
        <v>1192</v>
      </c>
      <c r="L56" s="6">
        <f>SUM(Table30[Korean Total])</f>
        <v>703</v>
      </c>
      <c r="M56" s="6">
        <f>SUM(Table30[Latin Total])</f>
        <v>434</v>
      </c>
      <c r="N56" s="6">
        <f>SUM(Table30[Mandarin Total])</f>
        <v>3424</v>
      </c>
      <c r="O56" s="6">
        <f>SUM(Table30[Spanish Total])</f>
        <v>43350</v>
      </c>
      <c r="P56" s="6">
        <f>SUM(Table30[Tagalog (Filipino) Total])</f>
        <v>218</v>
      </c>
      <c r="Q56" s="6">
        <f>SUM(Table30[Vietnamese Total])</f>
        <v>416</v>
      </c>
      <c r="R56" s="6">
        <f>SUM(Table30[Other Total])</f>
        <v>540</v>
      </c>
      <c r="S56" s="6">
        <f>SUM(Table30[Seal Total])</f>
        <v>56370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5.1796875" bestFit="1" customWidth="1"/>
    <col min="2" max="2" width="28.6328125" customWidth="1"/>
    <col min="3" max="3" width="16.36328125" customWidth="1"/>
    <col min="4" max="4" width="7.08984375" customWidth="1"/>
    <col min="5" max="5" width="10.1796875" customWidth="1"/>
    <col min="6" max="6" width="7.453125" customWidth="1"/>
    <col min="7" max="7" width="8" customWidth="1"/>
    <col min="8" max="9" width="7.54296875" customWidth="1"/>
    <col min="10" max="10" width="9.08984375" customWidth="1"/>
    <col min="11" max="11" width="7.453125" customWidth="1"/>
    <col min="12" max="12" width="7.08984375" customWidth="1"/>
    <col min="13" max="13" width="9.1796875" customWidth="1"/>
    <col min="14" max="14" width="8.1796875" customWidth="1"/>
    <col min="15" max="15" width="9.08984375" customWidth="1"/>
    <col min="16" max="16" width="11.1796875" customWidth="1"/>
    <col min="17" max="17" width="7.08984375" customWidth="1"/>
  </cols>
  <sheetData>
    <row r="1" spans="1:17" ht="18" thickBot="1" x14ac:dyDescent="0.35">
      <c r="A1" s="9" t="s">
        <v>13</v>
      </c>
    </row>
    <row r="2" spans="1:17" ht="45.6" thickTop="1" x14ac:dyDescent="0.25">
      <c r="A2" s="2" t="s">
        <v>186</v>
      </c>
      <c r="B2" s="8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s="8" t="s">
        <v>121</v>
      </c>
      <c r="B3" s="2" t="s">
        <v>264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34</v>
      </c>
      <c r="O3" s="8">
        <v>0</v>
      </c>
      <c r="P3" s="8">
        <v>0</v>
      </c>
      <c r="Q3" s="8">
        <v>0</v>
      </c>
    </row>
    <row r="4" spans="1:17" x14ac:dyDescent="0.25">
      <c r="A4" s="8" t="s">
        <v>250</v>
      </c>
      <c r="B4" s="2" t="s">
        <v>265</v>
      </c>
      <c r="C4" s="8">
        <v>0</v>
      </c>
      <c r="D4" s="8">
        <v>0</v>
      </c>
      <c r="E4" s="8">
        <v>1</v>
      </c>
      <c r="F4" s="8">
        <v>4</v>
      </c>
      <c r="G4" s="8">
        <v>0</v>
      </c>
      <c r="H4" s="8">
        <v>0</v>
      </c>
      <c r="I4" s="8">
        <v>1</v>
      </c>
      <c r="J4" s="8">
        <v>0</v>
      </c>
      <c r="K4" s="8">
        <v>0</v>
      </c>
      <c r="L4" s="8">
        <v>0</v>
      </c>
      <c r="M4" s="8">
        <v>0</v>
      </c>
      <c r="N4" s="8">
        <v>46</v>
      </c>
      <c r="O4" s="8">
        <v>0</v>
      </c>
      <c r="P4" s="8">
        <v>0</v>
      </c>
      <c r="Q4" s="8">
        <v>0</v>
      </c>
    </row>
    <row r="5" spans="1:17" ht="45" x14ac:dyDescent="0.25">
      <c r="A5" s="8" t="s">
        <v>58</v>
      </c>
      <c r="B5" s="2" t="s">
        <v>268</v>
      </c>
      <c r="C5" s="8">
        <v>0</v>
      </c>
      <c r="D5" s="8">
        <v>0</v>
      </c>
      <c r="E5" s="8">
        <v>0</v>
      </c>
      <c r="F5" s="8">
        <v>30</v>
      </c>
      <c r="G5" s="8">
        <v>1</v>
      </c>
      <c r="H5" s="8">
        <v>10</v>
      </c>
      <c r="I5" s="8">
        <v>0</v>
      </c>
      <c r="J5" s="8">
        <v>0</v>
      </c>
      <c r="K5" s="8">
        <v>0</v>
      </c>
      <c r="L5" s="8">
        <v>0</v>
      </c>
      <c r="M5" s="8">
        <v>6</v>
      </c>
      <c r="N5" s="8">
        <v>97</v>
      </c>
      <c r="O5" s="8">
        <v>0</v>
      </c>
      <c r="P5" s="8">
        <v>0</v>
      </c>
      <c r="Q5" s="8">
        <v>0</v>
      </c>
    </row>
    <row r="6" spans="1:17" x14ac:dyDescent="0.25">
      <c r="A6" s="8" t="s">
        <v>251</v>
      </c>
      <c r="B6" s="2" t="s">
        <v>266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12</v>
      </c>
      <c r="O6" s="8">
        <v>0</v>
      </c>
      <c r="P6" s="8">
        <v>0</v>
      </c>
      <c r="Q6" s="8">
        <v>0</v>
      </c>
    </row>
    <row r="7" spans="1:17" x14ac:dyDescent="0.25">
      <c r="A7" s="8" t="s">
        <v>252</v>
      </c>
      <c r="B7" s="2" t="s">
        <v>267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17</v>
      </c>
      <c r="O7" s="8">
        <v>0</v>
      </c>
      <c r="P7" s="8">
        <v>0</v>
      </c>
      <c r="Q7" s="8">
        <v>0</v>
      </c>
    </row>
    <row r="8" spans="1:17" x14ac:dyDescent="0.25">
      <c r="A8" s="8" t="s">
        <v>253</v>
      </c>
      <c r="B8" s="2" t="s">
        <v>125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17</v>
      </c>
      <c r="O8" s="8">
        <v>0</v>
      </c>
      <c r="P8" s="8">
        <v>0</v>
      </c>
      <c r="Q8" s="8">
        <v>0</v>
      </c>
    </row>
    <row r="9" spans="1:17" ht="90" x14ac:dyDescent="0.25">
      <c r="A9" s="8" t="s">
        <v>123</v>
      </c>
      <c r="B9" s="2" t="s">
        <v>269</v>
      </c>
      <c r="C9" s="8">
        <v>0</v>
      </c>
      <c r="D9" s="8">
        <v>0</v>
      </c>
      <c r="E9" s="8">
        <v>0</v>
      </c>
      <c r="F9" s="8">
        <v>12</v>
      </c>
      <c r="G9" s="8">
        <v>0</v>
      </c>
      <c r="H9" s="8">
        <v>60</v>
      </c>
      <c r="I9" s="8">
        <v>0</v>
      </c>
      <c r="J9" s="8">
        <v>0</v>
      </c>
      <c r="K9" s="8">
        <v>0</v>
      </c>
      <c r="L9" s="8">
        <v>1</v>
      </c>
      <c r="M9" s="8">
        <v>1</v>
      </c>
      <c r="N9" s="8">
        <v>580</v>
      </c>
      <c r="O9" s="8">
        <v>1</v>
      </c>
      <c r="P9" s="8">
        <v>0</v>
      </c>
      <c r="Q9" s="8">
        <v>1</v>
      </c>
    </row>
    <row r="10" spans="1:17" x14ac:dyDescent="0.25">
      <c r="A10" s="8" t="s">
        <v>254</v>
      </c>
      <c r="B10" s="2" t="s">
        <v>270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9</v>
      </c>
      <c r="O10" s="8">
        <v>0</v>
      </c>
      <c r="P10" s="8">
        <v>0</v>
      </c>
      <c r="Q10" s="8">
        <v>0</v>
      </c>
    </row>
    <row r="11" spans="1:17" x14ac:dyDescent="0.25">
      <c r="A11" s="8" t="s">
        <v>256</v>
      </c>
      <c r="B11" s="2" t="s">
        <v>271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30</v>
      </c>
      <c r="O11" s="8">
        <v>0</v>
      </c>
      <c r="P11" s="8">
        <v>0</v>
      </c>
      <c r="Q11" s="8">
        <v>10</v>
      </c>
    </row>
    <row r="12" spans="1:17" x14ac:dyDescent="0.25">
      <c r="A12" s="8" t="s">
        <v>257</v>
      </c>
      <c r="B12" s="2" t="s">
        <v>272</v>
      </c>
      <c r="C12" s="8">
        <v>0</v>
      </c>
      <c r="D12" s="8">
        <v>0</v>
      </c>
      <c r="E12" s="8">
        <v>0</v>
      </c>
      <c r="F12" s="8">
        <v>0</v>
      </c>
      <c r="G12" s="8">
        <v>2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71</v>
      </c>
      <c r="O12" s="8">
        <v>0</v>
      </c>
      <c r="P12" s="8">
        <v>0</v>
      </c>
      <c r="Q12" s="8">
        <v>0</v>
      </c>
    </row>
    <row r="13" spans="1:17" x14ac:dyDescent="0.25">
      <c r="A13" s="8" t="s">
        <v>258</v>
      </c>
      <c r="B13" s="2" t="s">
        <v>273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15</v>
      </c>
      <c r="O13" s="8">
        <v>0</v>
      </c>
      <c r="P13" s="8">
        <v>0</v>
      </c>
      <c r="Q13" s="8">
        <v>0</v>
      </c>
    </row>
    <row r="14" spans="1:17" x14ac:dyDescent="0.25">
      <c r="A14" s="8" t="s">
        <v>28</v>
      </c>
      <c r="B14" s="2" t="s">
        <v>274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20</v>
      </c>
      <c r="O14" s="8">
        <v>0</v>
      </c>
      <c r="P14" s="8">
        <v>0</v>
      </c>
      <c r="Q14" s="8">
        <v>0</v>
      </c>
    </row>
    <row r="15" spans="1:17" x14ac:dyDescent="0.25">
      <c r="A15" s="8" t="s">
        <v>259</v>
      </c>
      <c r="B15" s="2" t="s">
        <v>275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45</v>
      </c>
      <c r="O15" s="8">
        <v>0</v>
      </c>
      <c r="P15" s="8">
        <v>0</v>
      </c>
      <c r="Q15" s="8">
        <v>0</v>
      </c>
    </row>
    <row r="16" spans="1:17" x14ac:dyDescent="0.25">
      <c r="A16" s="8" t="s">
        <v>260</v>
      </c>
      <c r="B16" s="2" t="s">
        <v>276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11</v>
      </c>
      <c r="O16" s="8">
        <v>0</v>
      </c>
      <c r="P16" s="8">
        <v>0</v>
      </c>
      <c r="Q16" s="8">
        <v>0</v>
      </c>
    </row>
    <row r="17" spans="1:17" x14ac:dyDescent="0.25">
      <c r="A17" s="8" t="s">
        <v>14</v>
      </c>
      <c r="B17" s="2" t="s">
        <v>277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22</v>
      </c>
      <c r="O17" s="8">
        <v>0</v>
      </c>
      <c r="P17" s="8">
        <v>0</v>
      </c>
      <c r="Q17" s="8">
        <v>0</v>
      </c>
    </row>
    <row r="18" spans="1:17" x14ac:dyDescent="0.25">
      <c r="A18" s="8" t="s">
        <v>261</v>
      </c>
      <c r="B18" s="2" t="s">
        <v>278</v>
      </c>
      <c r="C18" s="8">
        <v>0</v>
      </c>
      <c r="D18" s="8">
        <v>0</v>
      </c>
      <c r="E18" s="8">
        <v>0</v>
      </c>
      <c r="F18" s="8">
        <v>21</v>
      </c>
      <c r="G18" s="8">
        <v>0</v>
      </c>
      <c r="H18" s="8">
        <v>14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75</v>
      </c>
      <c r="O18" s="8">
        <v>0</v>
      </c>
      <c r="P18" s="8">
        <v>0</v>
      </c>
      <c r="Q18" s="8">
        <v>0</v>
      </c>
    </row>
    <row r="19" spans="1:17" x14ac:dyDescent="0.25">
      <c r="A19" s="8" t="s">
        <v>262</v>
      </c>
      <c r="B19" s="2" t="s">
        <v>279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21</v>
      </c>
      <c r="O19" s="8">
        <v>0</v>
      </c>
      <c r="P19" s="8">
        <v>0</v>
      </c>
      <c r="Q19" s="8">
        <v>0</v>
      </c>
    </row>
    <row r="20" spans="1:17" x14ac:dyDescent="0.25">
      <c r="A20" s="8" t="s">
        <v>16</v>
      </c>
      <c r="B20" s="2" t="s">
        <v>280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26</v>
      </c>
      <c r="O20" s="8">
        <v>0</v>
      </c>
      <c r="P20" s="8">
        <v>0</v>
      </c>
      <c r="Q20" s="8">
        <v>0</v>
      </c>
    </row>
    <row r="21" spans="1:17" ht="45" x14ac:dyDescent="0.25">
      <c r="A21" s="8" t="s">
        <v>255</v>
      </c>
      <c r="B21" s="2" t="s">
        <v>281</v>
      </c>
      <c r="C21" s="8">
        <v>1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2</v>
      </c>
      <c r="O21" s="8">
        <v>0</v>
      </c>
      <c r="P21" s="8">
        <v>0</v>
      </c>
      <c r="Q21" s="8">
        <v>0</v>
      </c>
    </row>
    <row r="22" spans="1:17" x14ac:dyDescent="0.25">
      <c r="A22" t="s">
        <v>263</v>
      </c>
      <c r="B22" s="12" t="s">
        <v>282</v>
      </c>
      <c r="C22" s="5">
        <f>SUBTOTAL(109,Table11[American Sign Language Total])</f>
        <v>1</v>
      </c>
      <c r="D22" s="5">
        <f>SUBTOTAL(109,Table11[Arabic Total])</f>
        <v>0</v>
      </c>
      <c r="E22" s="5">
        <f>SUBTOTAL(109,Table11[Cantonese Total])</f>
        <v>1</v>
      </c>
      <c r="F22" s="5">
        <f>SUBTOTAL(109,Table11[French Total])</f>
        <v>67</v>
      </c>
      <c r="G22" s="5">
        <f>SUBTOTAL(109,Table11[German Total])</f>
        <v>3</v>
      </c>
      <c r="H22" s="5">
        <f>SUBTOTAL(109,Table11[Hmong Total])</f>
        <v>84</v>
      </c>
      <c r="I22" s="5">
        <f>SUBTOTAL(109,Table11[Italian Total])</f>
        <v>1</v>
      </c>
      <c r="J22" s="5">
        <f>SUBTOTAL(109,Table11[Japanese Total])</f>
        <v>0</v>
      </c>
      <c r="K22" s="5">
        <f>SUBTOTAL(109,Table11[Korean Total])</f>
        <v>0</v>
      </c>
      <c r="L22" s="5">
        <f>SUBTOTAL(109,Table11[Latin Total])</f>
        <v>1</v>
      </c>
      <c r="M22" s="5">
        <f>SUBTOTAL(109,Table11[Mandarin Total])</f>
        <v>7</v>
      </c>
      <c r="N22" s="5">
        <f>SUBTOTAL(109,Table11[Spanish Total])</f>
        <v>1150</v>
      </c>
      <c r="O22" s="5">
        <f>SUBTOTAL(109,Table11[Tagalog (Filipino) Total])</f>
        <v>1</v>
      </c>
      <c r="P22" s="5">
        <f>SUBTOTAL(109,Table11[Vietnamese Total])</f>
        <v>0</v>
      </c>
      <c r="Q22" s="5">
        <f>SUBTOTAL(109,Table11[Other Total])</f>
        <v>11</v>
      </c>
    </row>
  </sheetData>
  <sortState xmlns:xlrd2="http://schemas.microsoft.com/office/spreadsheetml/2017/richdata2" ref="A2:Z20">
    <sortCondition ref="A2:A20"/>
  </sortState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17.1796875" customWidth="1"/>
    <col min="2" max="2" width="12.81640625" customWidth="1"/>
    <col min="3" max="3" width="16.453125" customWidth="1"/>
    <col min="4" max="4" width="7.08984375" customWidth="1"/>
    <col min="5" max="5" width="10.08984375" customWidth="1"/>
    <col min="6" max="6" width="7.36328125" customWidth="1"/>
    <col min="7" max="7" width="8.1796875" customWidth="1"/>
    <col min="8" max="8" width="7.6328125" customWidth="1"/>
    <col min="9" max="9" width="7.08984375" customWidth="1"/>
    <col min="10" max="10" width="9.36328125" customWidth="1"/>
    <col min="11" max="12" width="7.1796875" customWidth="1"/>
    <col min="13" max="13" width="9.08984375" customWidth="1"/>
    <col min="14" max="14" width="8" customWidth="1"/>
    <col min="15" max="15" width="8.90625" customWidth="1"/>
    <col min="16" max="16" width="11.1796875" customWidth="1"/>
    <col min="17" max="17" width="7.6328125" bestFit="1" customWidth="1"/>
  </cols>
  <sheetData>
    <row r="1" spans="1:17" ht="18" thickBot="1" x14ac:dyDescent="0.35">
      <c r="A1" s="9" t="s">
        <v>54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t="s">
        <v>283</v>
      </c>
      <c r="B3" t="s">
        <v>284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20</v>
      </c>
      <c r="O3">
        <v>0</v>
      </c>
      <c r="P3">
        <v>0</v>
      </c>
      <c r="Q3">
        <v>0</v>
      </c>
    </row>
    <row r="4" spans="1:17" x14ac:dyDescent="0.25">
      <c r="A4" t="s">
        <v>55</v>
      </c>
      <c r="B4" t="s">
        <v>285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23</v>
      </c>
      <c r="O4">
        <v>0</v>
      </c>
      <c r="P4">
        <v>0</v>
      </c>
      <c r="Q4">
        <v>0</v>
      </c>
    </row>
    <row r="5" spans="1:17" x14ac:dyDescent="0.25">
      <c r="A5" t="s">
        <v>226</v>
      </c>
      <c r="B5" s="12" t="s">
        <v>211</v>
      </c>
      <c r="C5">
        <f>SUBTOTAL(109,Table12[American Sign Language Total])</f>
        <v>0</v>
      </c>
      <c r="D5">
        <f>SUBTOTAL(109,Table12[Arabic Total])</f>
        <v>0</v>
      </c>
      <c r="E5">
        <f>SUBTOTAL(109,Table12[Cantonese Total])</f>
        <v>0</v>
      </c>
      <c r="F5">
        <f>SUBTOTAL(109,Table12[French Total])</f>
        <v>0</v>
      </c>
      <c r="G5">
        <f>SUBTOTAL(109,Table12[German Total])</f>
        <v>0</v>
      </c>
      <c r="H5">
        <f>SUBTOTAL(109,Table12[Hmong Total])</f>
        <v>0</v>
      </c>
      <c r="I5">
        <f>SUBTOTAL(109,Table12[Italian Total])</f>
        <v>0</v>
      </c>
      <c r="J5">
        <f>SUBTOTAL(109,Table12[Japanese Total])</f>
        <v>0</v>
      </c>
      <c r="K5">
        <f>SUBTOTAL(109,Table12[Korean Total])</f>
        <v>0</v>
      </c>
      <c r="L5">
        <f>SUBTOTAL(109,Table12[Latin Total])</f>
        <v>0</v>
      </c>
      <c r="M5">
        <f>SUBTOTAL(109,Table12[Mandarin Total])</f>
        <v>0</v>
      </c>
      <c r="N5">
        <f>SUBTOTAL(109,Table12[Spanish Total])</f>
        <v>43</v>
      </c>
      <c r="O5">
        <f>SUBTOTAL(109,Table12[Tagalog (Filipino) Total])</f>
        <v>0</v>
      </c>
      <c r="P5">
        <f>SUBTOTAL(109,Table12[Vietnamese Total])</f>
        <v>0</v>
      </c>
      <c r="Q5">
        <f>SUBTOTAL(109,Table12[Other Total])</f>
        <v>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6.90625" customWidth="1"/>
    <col min="2" max="2" width="23.453125" customWidth="1"/>
    <col min="3" max="3" width="16.453125" customWidth="1"/>
    <col min="4" max="4" width="7.54296875" customWidth="1"/>
    <col min="5" max="5" width="10.08984375" customWidth="1"/>
    <col min="6" max="6" width="7.36328125" customWidth="1"/>
    <col min="7" max="7" width="7.81640625" customWidth="1"/>
    <col min="8" max="8" width="7.1796875" customWidth="1"/>
    <col min="9" max="9" width="7.81640625" customWidth="1"/>
    <col min="10" max="10" width="9.36328125" customWidth="1"/>
    <col min="11" max="12" width="7.54296875" customWidth="1"/>
    <col min="13" max="13" width="9.08984375" customWidth="1"/>
    <col min="14" max="14" width="7.90625" customWidth="1"/>
    <col min="15" max="15" width="9" customWidth="1"/>
    <col min="16" max="16" width="11.08984375" customWidth="1"/>
    <col min="17" max="17" width="7.08984375" customWidth="1"/>
  </cols>
  <sheetData>
    <row r="1" spans="1:17" ht="18" thickBot="1" x14ac:dyDescent="0.35">
      <c r="A1" s="9" t="s">
        <v>20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s="8" t="s">
        <v>119</v>
      </c>
      <c r="B3" s="8" t="s">
        <v>288</v>
      </c>
      <c r="C3" s="8">
        <v>0</v>
      </c>
      <c r="D3" s="8">
        <v>0</v>
      </c>
      <c r="E3" s="8">
        <v>0</v>
      </c>
      <c r="F3" s="8">
        <v>0</v>
      </c>
      <c r="G3" s="8">
        <v>3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42</v>
      </c>
      <c r="O3" s="8">
        <v>0</v>
      </c>
      <c r="P3" s="8">
        <v>0</v>
      </c>
      <c r="Q3" s="8">
        <v>4</v>
      </c>
    </row>
    <row r="4" spans="1:17" ht="30" x14ac:dyDescent="0.25">
      <c r="A4" s="8" t="s">
        <v>286</v>
      </c>
      <c r="B4" s="2" t="s">
        <v>291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50</v>
      </c>
      <c r="O4" s="8">
        <v>2</v>
      </c>
      <c r="P4" s="8">
        <v>0</v>
      </c>
      <c r="Q4" s="8">
        <v>3</v>
      </c>
    </row>
    <row r="5" spans="1:17" ht="60" x14ac:dyDescent="0.25">
      <c r="A5" s="2" t="s">
        <v>37</v>
      </c>
      <c r="B5" s="2" t="s">
        <v>289</v>
      </c>
      <c r="C5" s="8">
        <v>0</v>
      </c>
      <c r="D5" s="8">
        <v>0</v>
      </c>
      <c r="E5" s="8">
        <v>0</v>
      </c>
      <c r="F5" s="8">
        <v>8</v>
      </c>
      <c r="G5" s="8">
        <v>3</v>
      </c>
      <c r="H5" s="8">
        <v>0</v>
      </c>
      <c r="I5" s="8">
        <v>0</v>
      </c>
      <c r="J5" s="8">
        <v>0</v>
      </c>
      <c r="K5" s="8">
        <v>0</v>
      </c>
      <c r="L5" s="8">
        <v>1</v>
      </c>
      <c r="M5" s="8">
        <v>0</v>
      </c>
      <c r="N5" s="8">
        <v>15</v>
      </c>
      <c r="O5" s="8">
        <v>0</v>
      </c>
      <c r="P5" s="8">
        <v>0</v>
      </c>
      <c r="Q5" s="8">
        <v>4</v>
      </c>
    </row>
    <row r="6" spans="1:17" x14ac:dyDescent="0.25">
      <c r="A6" t="s">
        <v>287</v>
      </c>
      <c r="B6" t="s">
        <v>290</v>
      </c>
      <c r="C6">
        <v>0</v>
      </c>
      <c r="D6">
        <v>0</v>
      </c>
      <c r="E6">
        <v>0</v>
      </c>
      <c r="F6">
        <v>4</v>
      </c>
      <c r="G6">
        <v>1</v>
      </c>
      <c r="H6">
        <v>0</v>
      </c>
      <c r="I6">
        <v>1</v>
      </c>
      <c r="J6">
        <v>0</v>
      </c>
      <c r="K6">
        <v>0</v>
      </c>
      <c r="L6">
        <v>0</v>
      </c>
      <c r="M6">
        <v>0</v>
      </c>
      <c r="N6">
        <v>16</v>
      </c>
      <c r="O6">
        <v>0</v>
      </c>
      <c r="P6">
        <v>0</v>
      </c>
      <c r="Q6">
        <v>2</v>
      </c>
    </row>
    <row r="7" spans="1:17" x14ac:dyDescent="0.25">
      <c r="A7" t="s">
        <v>292</v>
      </c>
      <c r="B7" s="12" t="s">
        <v>293</v>
      </c>
      <c r="C7">
        <f>SUBTOTAL(109,Table13[American Sign Language Total])</f>
        <v>0</v>
      </c>
      <c r="D7">
        <f>SUBTOTAL(109,Table13[Arabic Total])</f>
        <v>0</v>
      </c>
      <c r="E7">
        <f>SUBTOTAL(109,Table13[Cantonese Total])</f>
        <v>0</v>
      </c>
      <c r="F7">
        <f>SUBTOTAL(109,Table13[French Total])</f>
        <v>12</v>
      </c>
      <c r="G7">
        <f>SUBTOTAL(109,Table13[German Total])</f>
        <v>7</v>
      </c>
      <c r="H7">
        <f>SUBTOTAL(109,Table13[Hmong Total])</f>
        <v>0</v>
      </c>
      <c r="I7">
        <f>SUBTOTAL(109,Table13[Italian Total])</f>
        <v>1</v>
      </c>
      <c r="J7">
        <f>SUBTOTAL(109,Table13[Japanese Total])</f>
        <v>0</v>
      </c>
      <c r="K7">
        <f>SUBTOTAL(109,Table13[Korean Total])</f>
        <v>0</v>
      </c>
      <c r="L7">
        <f>SUBTOTAL(109,Table13[Latin Total])</f>
        <v>1</v>
      </c>
      <c r="M7">
        <f>SUBTOTAL(109,Table13[Mandarin Total])</f>
        <v>0</v>
      </c>
      <c r="N7">
        <f>SUBTOTAL(109,Table13[Spanish Total])</f>
        <v>123</v>
      </c>
      <c r="O7">
        <f>SUBTOTAL(109,Table13[Tagalog (Filipino) Total])</f>
        <v>2</v>
      </c>
      <c r="P7">
        <f>SUBTOTAL(109,Table13[Vietnamese Total])</f>
        <v>0</v>
      </c>
      <c r="Q7">
        <f>SUBTOTAL(109,Table13[Other Total])</f>
        <v>13</v>
      </c>
    </row>
  </sheetData>
  <sortState xmlns:xlrd2="http://schemas.microsoft.com/office/spreadsheetml/2017/richdata2" ref="A2:BD7">
    <sortCondition ref="A2:A7"/>
  </sortState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6.36328125" customWidth="1"/>
    <col min="2" max="2" width="17.08984375" customWidth="1"/>
    <col min="3" max="3" width="16.6328125" customWidth="1"/>
    <col min="4" max="4" width="7.54296875" customWidth="1"/>
    <col min="5" max="5" width="10.08984375" customWidth="1"/>
    <col min="6" max="6" width="7.08984375" customWidth="1"/>
    <col min="7" max="7" width="7.90625" customWidth="1"/>
    <col min="8" max="8" width="7.54296875" customWidth="1"/>
    <col min="9" max="9" width="7.1796875" customWidth="1"/>
    <col min="10" max="10" width="9.36328125" customWidth="1"/>
    <col min="11" max="12" width="7.36328125" customWidth="1"/>
    <col min="13" max="13" width="9.36328125" customWidth="1"/>
    <col min="14" max="14" width="8.08984375" customWidth="1"/>
    <col min="15" max="15" width="9.08984375" customWidth="1"/>
    <col min="16" max="16" width="11.1796875" customWidth="1"/>
    <col min="17" max="17" width="7.36328125" customWidth="1"/>
  </cols>
  <sheetData>
    <row r="1" spans="1:17" ht="18" thickBot="1" x14ac:dyDescent="0.35">
      <c r="A1" s="9" t="s">
        <v>151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s="14" t="s">
        <v>294</v>
      </c>
      <c r="B3" s="14" t="s">
        <v>298</v>
      </c>
      <c r="C3" s="14">
        <v>0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148</v>
      </c>
      <c r="O3" s="14">
        <v>0</v>
      </c>
      <c r="P3" s="14">
        <v>0</v>
      </c>
      <c r="Q3" s="14">
        <v>0</v>
      </c>
    </row>
    <row r="4" spans="1:17" x14ac:dyDescent="0.25">
      <c r="A4" s="14" t="s">
        <v>152</v>
      </c>
      <c r="B4" s="14" t="s">
        <v>299</v>
      </c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8</v>
      </c>
      <c r="O4" s="14">
        <v>0</v>
      </c>
      <c r="P4" s="14">
        <v>0</v>
      </c>
      <c r="Q4" s="14">
        <v>0</v>
      </c>
    </row>
    <row r="5" spans="1:17" ht="30" x14ac:dyDescent="0.25">
      <c r="A5" s="8" t="s">
        <v>295</v>
      </c>
      <c r="B5" s="2" t="s">
        <v>297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135</v>
      </c>
      <c r="O5" s="8">
        <v>0</v>
      </c>
      <c r="P5" s="8">
        <v>0</v>
      </c>
      <c r="Q5" s="8">
        <v>0</v>
      </c>
    </row>
    <row r="6" spans="1:17" x14ac:dyDescent="0.25">
      <c r="A6" s="14" t="s">
        <v>296</v>
      </c>
      <c r="B6" s="14" t="s">
        <v>300</v>
      </c>
      <c r="C6" s="14"/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14</v>
      </c>
      <c r="O6" s="14">
        <v>0</v>
      </c>
      <c r="P6" s="14">
        <v>0</v>
      </c>
      <c r="Q6" s="14">
        <v>0</v>
      </c>
    </row>
    <row r="7" spans="1:17" x14ac:dyDescent="0.25">
      <c r="A7" t="s">
        <v>292</v>
      </c>
      <c r="B7" s="12" t="s">
        <v>249</v>
      </c>
      <c r="C7">
        <f>SUBTOTAL(109,Table14[American Sign Language Total])</f>
        <v>0</v>
      </c>
      <c r="D7">
        <f>SUBTOTAL(109,Table14[Arabic Total])</f>
        <v>0</v>
      </c>
      <c r="E7">
        <f>SUBTOTAL(109,Table14[Cantonese Total])</f>
        <v>0</v>
      </c>
      <c r="F7">
        <f>SUBTOTAL(109,Table14[French Total])</f>
        <v>0</v>
      </c>
      <c r="G7">
        <f>SUBTOTAL(109,Table14[German Total])</f>
        <v>0</v>
      </c>
      <c r="H7">
        <f>SUBTOTAL(109,Table14[Hmong Total])</f>
        <v>0</v>
      </c>
      <c r="I7">
        <f>SUBTOTAL(109,Table14[Italian Total])</f>
        <v>0</v>
      </c>
      <c r="J7">
        <f>SUBTOTAL(109,Table14[Japanese Total])</f>
        <v>0</v>
      </c>
      <c r="K7">
        <f>SUBTOTAL(109,Table14[Korean Total])</f>
        <v>0</v>
      </c>
      <c r="L7">
        <f>SUBTOTAL(109,Table14[Latin Total])</f>
        <v>0</v>
      </c>
      <c r="M7">
        <f>SUBTOTAL(109,Table14[Mandarin Total])</f>
        <v>0</v>
      </c>
      <c r="N7">
        <f>SUBTOTAL(109,Table14[Spanish Total])</f>
        <v>305</v>
      </c>
      <c r="O7">
        <f>SUBTOTAL(109,Table14[Tagalog (Filipino) Total])</f>
        <v>0</v>
      </c>
      <c r="P7">
        <f>SUBTOTAL(109,Table14[Vietnamese Total])</f>
        <v>0</v>
      </c>
      <c r="Q7">
        <f>SUBTOTAL(109,Table14[Other Total])</f>
        <v>0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0.90625" customWidth="1"/>
    <col min="2" max="2" width="30.36328125" bestFit="1" customWidth="1"/>
    <col min="3" max="3" width="16.453125" customWidth="1"/>
    <col min="4" max="4" width="7.453125" customWidth="1"/>
    <col min="5" max="5" width="10.1796875" customWidth="1"/>
    <col min="6" max="6" width="7.36328125" customWidth="1"/>
    <col min="7" max="7" width="7.90625" customWidth="1"/>
    <col min="8" max="8" width="7.1796875" customWidth="1"/>
    <col min="9" max="9" width="7.08984375" customWidth="1"/>
    <col min="10" max="10" width="9.36328125" customWidth="1"/>
    <col min="11" max="11" width="7.36328125" customWidth="1"/>
    <col min="12" max="12" width="7.08984375" customWidth="1"/>
    <col min="13" max="13" width="9.36328125" customWidth="1"/>
    <col min="14" max="14" width="8.08984375" customWidth="1"/>
    <col min="15" max="15" width="9.08984375" customWidth="1"/>
    <col min="16" max="16" width="11" customWidth="1"/>
    <col min="17" max="17" width="7.36328125" customWidth="1"/>
  </cols>
  <sheetData>
    <row r="1" spans="1:17" ht="18" thickBot="1" x14ac:dyDescent="0.35">
      <c r="A1" s="9" t="s">
        <v>34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30" x14ac:dyDescent="0.25">
      <c r="A3" s="8" t="s">
        <v>303</v>
      </c>
      <c r="B3" s="2" t="s">
        <v>793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150</v>
      </c>
      <c r="O3" s="8">
        <v>0</v>
      </c>
      <c r="P3" s="8">
        <v>0</v>
      </c>
      <c r="Q3" s="8">
        <v>0</v>
      </c>
    </row>
    <row r="4" spans="1:17" ht="135" x14ac:dyDescent="0.25">
      <c r="A4" s="8" t="s">
        <v>304</v>
      </c>
      <c r="B4" s="2" t="s">
        <v>307</v>
      </c>
      <c r="C4" s="8">
        <v>0</v>
      </c>
      <c r="D4" s="8">
        <v>0</v>
      </c>
      <c r="E4" s="8">
        <v>0</v>
      </c>
      <c r="F4" s="8">
        <v>88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2</v>
      </c>
      <c r="N4" s="8">
        <v>805</v>
      </c>
      <c r="O4" s="8">
        <v>0</v>
      </c>
      <c r="P4" s="8">
        <v>0</v>
      </c>
      <c r="Q4" s="8">
        <v>0</v>
      </c>
    </row>
    <row r="5" spans="1:17" x14ac:dyDescent="0.25">
      <c r="A5" s="8" t="s">
        <v>305</v>
      </c>
      <c r="B5" s="8" t="s">
        <v>308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40</v>
      </c>
      <c r="O5" s="8">
        <v>0</v>
      </c>
      <c r="P5" s="8">
        <v>0</v>
      </c>
      <c r="Q5" s="8">
        <v>0</v>
      </c>
    </row>
    <row r="6" spans="1:17" x14ac:dyDescent="0.25">
      <c r="A6" s="8" t="s">
        <v>87</v>
      </c>
      <c r="B6" s="8" t="s">
        <v>309</v>
      </c>
      <c r="C6" s="8">
        <v>0</v>
      </c>
      <c r="D6" s="8">
        <v>0</v>
      </c>
      <c r="E6" s="8">
        <v>0</v>
      </c>
      <c r="F6" s="8">
        <v>0</v>
      </c>
      <c r="G6" s="8">
        <v>1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10</v>
      </c>
      <c r="O6" s="8">
        <v>0</v>
      </c>
      <c r="P6" s="8">
        <v>0</v>
      </c>
      <c r="Q6" s="8">
        <v>0</v>
      </c>
    </row>
    <row r="7" spans="1:17" x14ac:dyDescent="0.25">
      <c r="A7" s="8" t="s">
        <v>35</v>
      </c>
      <c r="B7" s="8" t="s">
        <v>310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16</v>
      </c>
      <c r="O7" s="8">
        <v>0</v>
      </c>
      <c r="P7" s="8">
        <v>0</v>
      </c>
      <c r="Q7" s="8">
        <v>0</v>
      </c>
    </row>
    <row r="8" spans="1:17" x14ac:dyDescent="0.25">
      <c r="A8" s="8" t="s">
        <v>306</v>
      </c>
      <c r="B8" s="8" t="s">
        <v>306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18</v>
      </c>
      <c r="O8" s="8">
        <v>0</v>
      </c>
      <c r="P8" s="8">
        <v>0</v>
      </c>
      <c r="Q8" s="8">
        <v>0</v>
      </c>
    </row>
    <row r="9" spans="1:17" x14ac:dyDescent="0.25">
      <c r="A9" t="s">
        <v>302</v>
      </c>
      <c r="B9" s="12" t="s">
        <v>301</v>
      </c>
      <c r="C9" s="5">
        <f>SUBTOTAL(109,Table15[American Sign Language Total])</f>
        <v>0</v>
      </c>
      <c r="D9" s="5">
        <f>SUBTOTAL(109,Table15[Arabic Total])</f>
        <v>0</v>
      </c>
      <c r="E9" s="5">
        <f>SUBTOTAL(109,Table15[Cantonese Total])</f>
        <v>0</v>
      </c>
      <c r="F9" s="5">
        <f>SUBTOTAL(109,Table15[French Total])</f>
        <v>88</v>
      </c>
      <c r="G9" s="5">
        <f>SUBTOTAL(109,Table15[German Total])</f>
        <v>1</v>
      </c>
      <c r="H9" s="5">
        <f>SUBTOTAL(109,Table15[Hmong Total])</f>
        <v>0</v>
      </c>
      <c r="I9" s="5">
        <f>SUBTOTAL(109,Table15[Italian Total])</f>
        <v>0</v>
      </c>
      <c r="J9" s="5">
        <f>SUBTOTAL(109,Table15[Japanese Total])</f>
        <v>0</v>
      </c>
      <c r="K9" s="5">
        <f>SUBTOTAL(109,Table15[Korean Total])</f>
        <v>0</v>
      </c>
      <c r="L9" s="5">
        <f>SUBTOTAL(109,Table15[Latin Total])</f>
        <v>0</v>
      </c>
      <c r="M9" s="5">
        <f>SUBTOTAL(109,Table15[Mandarin Total])</f>
        <v>2</v>
      </c>
      <c r="N9" s="5">
        <f>SUBTOTAL(109,Table15[Spanish Total])</f>
        <v>1039</v>
      </c>
      <c r="O9" s="5">
        <f>SUBTOTAL(109,Table15[Tagalog (Filipino) Total])</f>
        <v>0</v>
      </c>
      <c r="P9" s="5">
        <f>SUBTOTAL(109,Table15[Vietnamese Total])</f>
        <v>0</v>
      </c>
      <c r="Q9" s="5">
        <f>SUBTOTAL(109,Table15[Other Total])</f>
        <v>0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2" bestFit="1" customWidth="1"/>
    <col min="2" max="2" width="24.90625" customWidth="1"/>
    <col min="3" max="3" width="16.453125" customWidth="1"/>
    <col min="4" max="4" width="7.54296875" customWidth="1"/>
    <col min="5" max="5" width="10.36328125" customWidth="1"/>
    <col min="6" max="6" width="7.36328125" customWidth="1"/>
    <col min="7" max="7" width="7.81640625" customWidth="1"/>
    <col min="8" max="8" width="7.6328125" customWidth="1"/>
    <col min="9" max="9" width="7.36328125" customWidth="1"/>
    <col min="10" max="10" width="9.36328125" customWidth="1"/>
    <col min="11" max="11" width="7.36328125" customWidth="1"/>
    <col min="12" max="12" width="7.08984375" customWidth="1"/>
    <col min="13" max="13" width="9.08984375" customWidth="1"/>
    <col min="14" max="14" width="8.36328125" customWidth="1"/>
    <col min="15" max="15" width="9" customWidth="1"/>
    <col min="16" max="16" width="10.90625" customWidth="1"/>
    <col min="17" max="17" width="7.36328125" customWidth="1"/>
  </cols>
  <sheetData>
    <row r="1" spans="1:17" ht="18" thickBot="1" x14ac:dyDescent="0.35">
      <c r="A1" s="9" t="s">
        <v>76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s="8" t="s">
        <v>77</v>
      </c>
      <c r="B3" s="8" t="s">
        <v>317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10</v>
      </c>
      <c r="O3" s="8">
        <v>0</v>
      </c>
      <c r="P3" s="8">
        <v>0</v>
      </c>
      <c r="Q3" s="8">
        <v>0</v>
      </c>
    </row>
    <row r="4" spans="1:17" ht="30" x14ac:dyDescent="0.25">
      <c r="A4" s="8" t="s">
        <v>312</v>
      </c>
      <c r="B4" s="2" t="s">
        <v>311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30</v>
      </c>
      <c r="O4" s="8">
        <v>0</v>
      </c>
      <c r="P4" s="8">
        <v>0</v>
      </c>
      <c r="Q4" s="8">
        <v>0</v>
      </c>
    </row>
    <row r="5" spans="1:17" x14ac:dyDescent="0.25">
      <c r="A5" s="8" t="s">
        <v>313</v>
      </c>
      <c r="B5" s="8" t="s">
        <v>318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20</v>
      </c>
      <c r="O5" s="8">
        <v>0</v>
      </c>
      <c r="P5" s="8">
        <v>0</v>
      </c>
      <c r="Q5" s="8">
        <v>0</v>
      </c>
    </row>
    <row r="6" spans="1:17" x14ac:dyDescent="0.25">
      <c r="A6" s="8" t="s">
        <v>314</v>
      </c>
      <c r="B6" s="8" t="s">
        <v>319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22</v>
      </c>
      <c r="O6" s="8">
        <v>0</v>
      </c>
      <c r="P6" s="8">
        <v>0</v>
      </c>
      <c r="Q6" s="8">
        <v>0</v>
      </c>
    </row>
    <row r="7" spans="1:17" x14ac:dyDescent="0.25">
      <c r="A7" s="8" t="s">
        <v>315</v>
      </c>
      <c r="B7" s="8" t="s">
        <v>320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4</v>
      </c>
      <c r="O7" s="8">
        <v>0</v>
      </c>
      <c r="P7" s="8">
        <v>0</v>
      </c>
      <c r="Q7" s="8">
        <v>0</v>
      </c>
    </row>
    <row r="8" spans="1:17" x14ac:dyDescent="0.25">
      <c r="A8" t="s">
        <v>316</v>
      </c>
      <c r="B8" s="12" t="s">
        <v>217</v>
      </c>
      <c r="C8">
        <f>SUBTOTAL(109,Table16[American Sign Language Total])</f>
        <v>0</v>
      </c>
      <c r="D8">
        <f>SUBTOTAL(109,Table16[Arabic Total])</f>
        <v>0</v>
      </c>
      <c r="E8">
        <f>SUBTOTAL(109,Table16[Cantonese Total])</f>
        <v>0</v>
      </c>
      <c r="F8">
        <f>SUBTOTAL(109,Table16[French Total])</f>
        <v>0</v>
      </c>
      <c r="G8">
        <f>SUBTOTAL(109,Table16[German Total])</f>
        <v>0</v>
      </c>
      <c r="H8">
        <f>SUBTOTAL(109,Table16[Hmong Total])</f>
        <v>0</v>
      </c>
      <c r="I8">
        <f>SUBTOTAL(109,Table16[Italian Total])</f>
        <v>0</v>
      </c>
      <c r="J8">
        <f>SUBTOTAL(109,Table16[Japanese Total])</f>
        <v>0</v>
      </c>
      <c r="K8">
        <f>SUBTOTAL(109,Table16[Korean Total])</f>
        <v>0</v>
      </c>
      <c r="L8">
        <f>SUBTOTAL(109,Table16[Latin Total])</f>
        <v>0</v>
      </c>
      <c r="M8">
        <f>SUBTOTAL(109,Table16[Mandarin Total])</f>
        <v>0</v>
      </c>
      <c r="N8">
        <f>SUBTOTAL(109,Table16[Spanish Total])</f>
        <v>86</v>
      </c>
      <c r="O8">
        <f>SUBTOTAL(109,Table16[Tagalog (Filipino) Total])</f>
        <v>0</v>
      </c>
      <c r="P8">
        <f>SUBTOTAL(109,Table16[Vietnamese Total])</f>
        <v>0</v>
      </c>
      <c r="Q8">
        <f>SUBTOTAL(109,Table16[Other Total])</f>
        <v>0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5.90625" bestFit="1" customWidth="1"/>
    <col min="2" max="2" width="14.6328125" bestFit="1" customWidth="1"/>
    <col min="3" max="3" width="16.6328125" customWidth="1"/>
    <col min="4" max="4" width="7.08984375" customWidth="1"/>
    <col min="5" max="5" width="10.1796875" customWidth="1"/>
    <col min="6" max="6" width="7.453125" customWidth="1"/>
    <col min="7" max="7" width="7.6328125" customWidth="1"/>
    <col min="8" max="8" width="7.36328125" customWidth="1"/>
    <col min="9" max="9" width="7.1796875" customWidth="1"/>
    <col min="10" max="10" width="9.08984375" customWidth="1"/>
    <col min="11" max="11" width="7.453125" customWidth="1"/>
    <col min="12" max="12" width="7.08984375" customWidth="1"/>
    <col min="13" max="13" width="9.08984375" customWidth="1"/>
    <col min="14" max="14" width="8.1796875" customWidth="1"/>
    <col min="15" max="15" width="9.08984375" customWidth="1"/>
    <col min="16" max="16" width="10.90625" customWidth="1"/>
    <col min="17" max="17" width="7.08984375" customWidth="1"/>
  </cols>
  <sheetData>
    <row r="1" spans="1:17" ht="18" thickBot="1" x14ac:dyDescent="0.35">
      <c r="A1" s="9" t="s">
        <v>84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t="s">
        <v>315</v>
      </c>
      <c r="B3" t="s">
        <v>320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4</v>
      </c>
      <c r="O3">
        <v>0</v>
      </c>
      <c r="P3">
        <v>0</v>
      </c>
      <c r="Q3">
        <v>0</v>
      </c>
    </row>
    <row r="4" spans="1:17" x14ac:dyDescent="0.25">
      <c r="A4" t="s">
        <v>85</v>
      </c>
      <c r="B4" t="s">
        <v>321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1</v>
      </c>
      <c r="O4">
        <v>0</v>
      </c>
      <c r="P4">
        <v>0</v>
      </c>
      <c r="Q4">
        <v>0</v>
      </c>
    </row>
    <row r="5" spans="1:17" x14ac:dyDescent="0.25">
      <c r="A5" t="s">
        <v>226</v>
      </c>
      <c r="B5" s="12" t="s">
        <v>211</v>
      </c>
      <c r="C5">
        <f>SUBTOTAL(109,Table17[American Sign Language Total])</f>
        <v>0</v>
      </c>
      <c r="D5">
        <f>SUBTOTAL(109,Table17[Arabic Total])</f>
        <v>0</v>
      </c>
      <c r="E5">
        <f>SUBTOTAL(109,Table17[Cantonese Total])</f>
        <v>0</v>
      </c>
      <c r="F5">
        <f>SUBTOTAL(109,Table17[French Total])</f>
        <v>0</v>
      </c>
      <c r="G5">
        <f>SUBTOTAL(109,Table17[German Total])</f>
        <v>0</v>
      </c>
      <c r="H5">
        <f>SUBTOTAL(109,Table17[Hmong Total])</f>
        <v>0</v>
      </c>
      <c r="I5">
        <f>SUBTOTAL(109,Table17[Italian Total])</f>
        <v>0</v>
      </c>
      <c r="J5">
        <f>SUBTOTAL(109,Table17[Japanese Total])</f>
        <v>0</v>
      </c>
      <c r="K5">
        <f>SUBTOTAL(109,Table17[Korean Total])</f>
        <v>0</v>
      </c>
      <c r="L5">
        <f>SUBTOTAL(109,Table17[Latin Total])</f>
        <v>0</v>
      </c>
      <c r="M5">
        <f>SUBTOTAL(109,Table17[Mandarin Total])</f>
        <v>0</v>
      </c>
      <c r="N5">
        <f>SUBTOTAL(109,Table17[Spanish Total])</f>
        <v>5</v>
      </c>
      <c r="O5">
        <f>SUBTOTAL(109,Table17[Tagalog (Filipino) Total])</f>
        <v>0</v>
      </c>
      <c r="P5">
        <f>SUBTOTAL(109,Table17[Vietnamese Total])</f>
        <v>0</v>
      </c>
      <c r="Q5">
        <f>SUBTOTAL(109,Table17[Other Total])</f>
        <v>0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8.90625" customWidth="1"/>
    <col min="2" max="2" width="12.1796875" customWidth="1"/>
    <col min="3" max="3" width="16.90625" customWidth="1"/>
    <col min="4" max="4" width="7.08984375" customWidth="1"/>
    <col min="5" max="5" width="10.08984375" customWidth="1"/>
    <col min="6" max="6" width="7.08984375" customWidth="1"/>
    <col min="7" max="8" width="7.6328125" customWidth="1"/>
    <col min="9" max="9" width="7.36328125" customWidth="1"/>
    <col min="10" max="10" width="9" customWidth="1"/>
    <col min="11" max="11" width="7.36328125" customWidth="1"/>
    <col min="12" max="12" width="7.453125" customWidth="1"/>
    <col min="13" max="13" width="9" customWidth="1"/>
    <col min="14" max="14" width="8.1796875" customWidth="1"/>
    <col min="15" max="15" width="8.90625" customWidth="1"/>
    <col min="16" max="16" width="10.90625" customWidth="1"/>
    <col min="17" max="17" width="7.36328125" customWidth="1"/>
  </cols>
  <sheetData>
    <row r="1" spans="1:17" ht="18" thickBot="1" x14ac:dyDescent="0.35">
      <c r="A1" s="9" t="s">
        <v>129</v>
      </c>
    </row>
    <row r="2" spans="1:17" ht="45.6" thickTop="1" x14ac:dyDescent="0.25">
      <c r="A2" s="2" t="s">
        <v>207</v>
      </c>
      <c r="B2" s="2" t="s">
        <v>219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t="s">
        <v>323</v>
      </c>
      <c r="B3" t="s">
        <v>322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15</v>
      </c>
      <c r="O3">
        <v>0</v>
      </c>
      <c r="P3">
        <v>0</v>
      </c>
      <c r="Q3">
        <v>0</v>
      </c>
    </row>
    <row r="4" spans="1:17" x14ac:dyDescent="0.25">
      <c r="A4" t="s">
        <v>210</v>
      </c>
      <c r="B4" t="s">
        <v>221</v>
      </c>
      <c r="C4">
        <f>SUBTOTAL(109,Table18[American Sign Language Total])</f>
        <v>0</v>
      </c>
      <c r="D4">
        <f>SUBTOTAL(109,Table18[Arabic Total])</f>
        <v>0</v>
      </c>
      <c r="E4">
        <f>SUBTOTAL(109,Table18[Cantonese Total])</f>
        <v>0</v>
      </c>
      <c r="F4">
        <f>SUBTOTAL(109,Table18[French Total])</f>
        <v>0</v>
      </c>
      <c r="G4">
        <f>SUBTOTAL(109,Table18[German Total])</f>
        <v>0</v>
      </c>
      <c r="H4">
        <f>SUBTOTAL(109,Table18[Hmong Total])</f>
        <v>0</v>
      </c>
      <c r="I4">
        <f>SUBTOTAL(109,Table18[Italian Total])</f>
        <v>0</v>
      </c>
      <c r="J4">
        <f>SUBTOTAL(109,Table18[Japanese Total])</f>
        <v>0</v>
      </c>
      <c r="K4">
        <f>SUBTOTAL(109,Table18[Korean Total])</f>
        <v>0</v>
      </c>
      <c r="L4">
        <f>SUBTOTAL(109,Table18[Latin Total])</f>
        <v>0</v>
      </c>
      <c r="M4">
        <f>SUBTOTAL(109,Table18[Mandarin Total])</f>
        <v>0</v>
      </c>
      <c r="N4">
        <f>SUBTOTAL(109,Table18[Spanish Total])</f>
        <v>15</v>
      </c>
      <c r="O4">
        <f>SUBTOTAL(109,Table18[Tagalog (Filipino) Total])</f>
        <v>0</v>
      </c>
      <c r="P4">
        <f>SUBTOTAL(109,Table18[Vietnamese Total])</f>
        <v>0</v>
      </c>
      <c r="Q4">
        <f>SUBTOTAL(109,Table18[Other Total])</f>
        <v>0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4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7.90625" style="7" customWidth="1"/>
    <col min="2" max="2" width="197.54296875" customWidth="1"/>
    <col min="3" max="3" width="16.54296875" customWidth="1"/>
    <col min="4" max="4" width="7.453125" customWidth="1"/>
    <col min="5" max="5" width="10.1796875" customWidth="1"/>
    <col min="6" max="6" width="7.453125" customWidth="1"/>
    <col min="7" max="7" width="7.90625" customWidth="1"/>
    <col min="8" max="8" width="7.453125" customWidth="1"/>
    <col min="9" max="9" width="7.36328125" customWidth="1"/>
    <col min="10" max="10" width="9.36328125" customWidth="1"/>
    <col min="11" max="12" width="7.453125" customWidth="1"/>
    <col min="13" max="13" width="9.08984375" customWidth="1"/>
    <col min="14" max="14" width="8.08984375" customWidth="1"/>
    <col min="15" max="15" width="8.90625" customWidth="1"/>
    <col min="16" max="16" width="10.90625" customWidth="1"/>
    <col min="17" max="17" width="7.1796875" customWidth="1"/>
  </cols>
  <sheetData>
    <row r="1" spans="1:17" ht="18" thickBot="1" x14ac:dyDescent="0.35">
      <c r="A1" s="16" t="s">
        <v>2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s="2" t="s">
        <v>326</v>
      </c>
      <c r="B3" s="2" t="s">
        <v>357</v>
      </c>
      <c r="C3" s="8">
        <v>0</v>
      </c>
      <c r="D3" s="8">
        <v>0</v>
      </c>
      <c r="E3" s="8">
        <v>0</v>
      </c>
      <c r="F3" s="8">
        <v>15</v>
      </c>
      <c r="G3" s="8">
        <v>0</v>
      </c>
      <c r="H3" s="8">
        <v>0</v>
      </c>
      <c r="I3" s="8">
        <v>0</v>
      </c>
      <c r="J3" s="8">
        <v>34</v>
      </c>
      <c r="K3" s="8">
        <v>42</v>
      </c>
      <c r="L3" s="8">
        <v>0</v>
      </c>
      <c r="M3" s="8">
        <v>44</v>
      </c>
      <c r="N3" s="8">
        <v>211</v>
      </c>
      <c r="O3" s="8">
        <v>6</v>
      </c>
      <c r="P3" s="8">
        <v>0</v>
      </c>
      <c r="Q3" s="8">
        <v>0</v>
      </c>
    </row>
    <row r="4" spans="1:17" ht="30" x14ac:dyDescent="0.25">
      <c r="A4" s="2" t="s">
        <v>139</v>
      </c>
      <c r="B4" s="2" t="s">
        <v>140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1</v>
      </c>
      <c r="O4" s="8">
        <v>0</v>
      </c>
      <c r="P4" s="8">
        <v>0</v>
      </c>
      <c r="Q4" s="8">
        <v>0</v>
      </c>
    </row>
    <row r="5" spans="1:17" x14ac:dyDescent="0.25">
      <c r="A5" s="2" t="s">
        <v>327</v>
      </c>
      <c r="B5" s="2" t="s">
        <v>358</v>
      </c>
      <c r="C5" s="8">
        <v>0</v>
      </c>
      <c r="D5" s="8">
        <v>0</v>
      </c>
      <c r="E5" s="8">
        <v>0</v>
      </c>
      <c r="F5" s="8">
        <v>24</v>
      </c>
      <c r="G5" s="8">
        <v>0</v>
      </c>
      <c r="H5" s="8">
        <v>0</v>
      </c>
      <c r="I5" s="8">
        <v>0</v>
      </c>
      <c r="J5" s="8">
        <v>12</v>
      </c>
      <c r="K5" s="8">
        <v>0</v>
      </c>
      <c r="L5" s="8">
        <v>0</v>
      </c>
      <c r="M5" s="8">
        <v>150</v>
      </c>
      <c r="N5" s="8">
        <v>181</v>
      </c>
      <c r="O5" s="8">
        <v>0</v>
      </c>
      <c r="P5" s="8">
        <v>0</v>
      </c>
      <c r="Q5" s="8">
        <v>0</v>
      </c>
    </row>
    <row r="6" spans="1:17" x14ac:dyDescent="0.25">
      <c r="A6" s="2" t="s">
        <v>328</v>
      </c>
      <c r="B6" s="2" t="s">
        <v>359</v>
      </c>
      <c r="C6" s="8">
        <v>0</v>
      </c>
      <c r="D6" s="8">
        <v>0</v>
      </c>
      <c r="E6" s="8">
        <v>0</v>
      </c>
      <c r="F6" s="8">
        <v>10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68</v>
      </c>
      <c r="O6" s="8">
        <v>0</v>
      </c>
      <c r="P6" s="8">
        <v>0</v>
      </c>
      <c r="Q6" s="8">
        <v>0</v>
      </c>
    </row>
    <row r="7" spans="1:17" x14ac:dyDescent="0.25">
      <c r="A7" s="2" t="s">
        <v>324</v>
      </c>
      <c r="B7" s="2" t="s">
        <v>360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21</v>
      </c>
      <c r="O7" s="8">
        <v>0</v>
      </c>
      <c r="P7" s="8">
        <v>0</v>
      </c>
      <c r="Q7" s="8">
        <v>0</v>
      </c>
    </row>
    <row r="8" spans="1:17" x14ac:dyDescent="0.25">
      <c r="A8" s="2" t="s">
        <v>329</v>
      </c>
      <c r="B8" s="2" t="s">
        <v>361</v>
      </c>
      <c r="C8" s="8">
        <v>0</v>
      </c>
      <c r="D8" s="8">
        <v>0</v>
      </c>
      <c r="E8" s="8">
        <v>0</v>
      </c>
      <c r="F8" s="8">
        <v>5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2</v>
      </c>
      <c r="N8" s="8">
        <v>115</v>
      </c>
      <c r="O8" s="8">
        <v>0</v>
      </c>
      <c r="P8" s="8">
        <v>0</v>
      </c>
      <c r="Q8" s="8">
        <v>0</v>
      </c>
    </row>
    <row r="9" spans="1:17" x14ac:dyDescent="0.25">
      <c r="A9" s="2" t="s">
        <v>118</v>
      </c>
      <c r="B9" s="2" t="s">
        <v>362</v>
      </c>
      <c r="C9" s="8">
        <v>19</v>
      </c>
      <c r="D9" s="8">
        <v>3</v>
      </c>
      <c r="E9" s="8">
        <v>0</v>
      </c>
      <c r="F9" s="8">
        <v>28</v>
      </c>
      <c r="G9" s="8">
        <v>2</v>
      </c>
      <c r="H9" s="8">
        <v>0</v>
      </c>
      <c r="I9" s="8">
        <v>0</v>
      </c>
      <c r="J9" s="8">
        <v>2</v>
      </c>
      <c r="K9" s="8">
        <v>5</v>
      </c>
      <c r="L9" s="8">
        <v>0</v>
      </c>
      <c r="M9" s="8">
        <v>0</v>
      </c>
      <c r="N9" s="8">
        <v>139</v>
      </c>
      <c r="O9" s="8">
        <v>3</v>
      </c>
      <c r="P9" s="8">
        <v>0</v>
      </c>
      <c r="Q9" s="8">
        <v>18</v>
      </c>
    </row>
    <row r="10" spans="1:17" ht="30" x14ac:dyDescent="0.25">
      <c r="A10" s="2" t="s">
        <v>330</v>
      </c>
      <c r="B10" s="2" t="s">
        <v>363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198</v>
      </c>
      <c r="O10" s="8">
        <v>0</v>
      </c>
      <c r="P10" s="8">
        <v>0</v>
      </c>
      <c r="Q10" s="8">
        <v>0</v>
      </c>
    </row>
    <row r="11" spans="1:17" x14ac:dyDescent="0.25">
      <c r="A11" s="2" t="s">
        <v>36</v>
      </c>
      <c r="B11" s="2" t="s">
        <v>364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32</v>
      </c>
      <c r="O11" s="8">
        <v>0</v>
      </c>
      <c r="P11" s="8">
        <v>0</v>
      </c>
      <c r="Q11" s="8">
        <v>0</v>
      </c>
    </row>
    <row r="12" spans="1:17" x14ac:dyDescent="0.25">
      <c r="A12" s="2" t="s">
        <v>331</v>
      </c>
      <c r="B12" s="2" t="s">
        <v>365</v>
      </c>
      <c r="C12" s="8">
        <v>0</v>
      </c>
      <c r="D12" s="8">
        <v>0</v>
      </c>
      <c r="E12" s="8">
        <v>0</v>
      </c>
      <c r="F12" s="8">
        <v>14</v>
      </c>
      <c r="G12" s="8">
        <v>28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6</v>
      </c>
      <c r="N12" s="8">
        <v>99</v>
      </c>
      <c r="O12" s="8">
        <v>0</v>
      </c>
      <c r="P12" s="8">
        <v>0</v>
      </c>
      <c r="Q12" s="8">
        <v>0</v>
      </c>
    </row>
    <row r="13" spans="1:17" x14ac:dyDescent="0.25">
      <c r="A13" s="2" t="s">
        <v>83</v>
      </c>
      <c r="B13" s="2" t="s">
        <v>366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55</v>
      </c>
      <c r="O13" s="8">
        <v>78</v>
      </c>
      <c r="P13" s="8">
        <v>0</v>
      </c>
      <c r="Q13" s="8">
        <v>0</v>
      </c>
    </row>
    <row r="14" spans="1:17" x14ac:dyDescent="0.25">
      <c r="A14" s="2" t="s">
        <v>332</v>
      </c>
      <c r="B14" s="2" t="s">
        <v>367</v>
      </c>
      <c r="C14" s="8">
        <v>0</v>
      </c>
      <c r="D14" s="8">
        <v>0</v>
      </c>
      <c r="E14" s="8">
        <v>0</v>
      </c>
      <c r="F14" s="8">
        <v>7</v>
      </c>
      <c r="G14" s="8">
        <v>0</v>
      </c>
      <c r="H14" s="8">
        <v>0</v>
      </c>
      <c r="I14" s="8">
        <v>0</v>
      </c>
      <c r="J14" s="8">
        <v>40</v>
      </c>
      <c r="K14" s="8">
        <v>0</v>
      </c>
      <c r="L14" s="8">
        <v>0</v>
      </c>
      <c r="M14" s="8">
        <v>0</v>
      </c>
      <c r="N14" s="8">
        <v>100</v>
      </c>
      <c r="O14" s="8">
        <v>0</v>
      </c>
      <c r="P14" s="8">
        <v>0</v>
      </c>
      <c r="Q14" s="8">
        <v>1</v>
      </c>
    </row>
    <row r="15" spans="1:17" x14ac:dyDescent="0.25">
      <c r="A15" s="2" t="s">
        <v>333</v>
      </c>
      <c r="B15" s="2" t="s">
        <v>368</v>
      </c>
      <c r="C15" s="8">
        <v>0</v>
      </c>
      <c r="D15" s="8">
        <v>0</v>
      </c>
      <c r="E15" s="8">
        <v>0</v>
      </c>
      <c r="F15" s="8">
        <v>12</v>
      </c>
      <c r="G15" s="8">
        <v>13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223</v>
      </c>
      <c r="O15" s="8">
        <v>0</v>
      </c>
      <c r="P15" s="8">
        <v>0</v>
      </c>
      <c r="Q15" s="8">
        <v>0</v>
      </c>
    </row>
    <row r="16" spans="1:17" x14ac:dyDescent="0.25">
      <c r="A16" s="2" t="s">
        <v>334</v>
      </c>
      <c r="B16" s="2" t="s">
        <v>369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5</v>
      </c>
      <c r="N16" s="8">
        <v>15</v>
      </c>
      <c r="O16" s="8">
        <v>0</v>
      </c>
      <c r="P16" s="8">
        <v>0</v>
      </c>
      <c r="Q16" s="8">
        <v>0</v>
      </c>
    </row>
    <row r="17" spans="1:17" x14ac:dyDescent="0.25">
      <c r="A17" s="2" t="s">
        <v>335</v>
      </c>
      <c r="B17" s="2" t="s">
        <v>370</v>
      </c>
      <c r="C17" s="8">
        <v>0</v>
      </c>
      <c r="D17" s="8">
        <v>0</v>
      </c>
      <c r="E17" s="8">
        <v>0</v>
      </c>
      <c r="F17" s="8">
        <v>9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89</v>
      </c>
      <c r="O17" s="8">
        <v>0</v>
      </c>
      <c r="P17" s="8">
        <v>0</v>
      </c>
      <c r="Q17" s="8">
        <v>0</v>
      </c>
    </row>
    <row r="18" spans="1:17" x14ac:dyDescent="0.25">
      <c r="A18" s="2" t="s">
        <v>336</v>
      </c>
      <c r="B18" s="2" t="s">
        <v>371</v>
      </c>
      <c r="C18" s="8">
        <v>0</v>
      </c>
      <c r="D18" s="8">
        <v>25</v>
      </c>
      <c r="E18" s="8">
        <v>0</v>
      </c>
      <c r="F18" s="8">
        <v>10</v>
      </c>
      <c r="G18" s="8">
        <v>10</v>
      </c>
      <c r="H18" s="8">
        <v>0</v>
      </c>
      <c r="I18" s="8">
        <v>10</v>
      </c>
      <c r="J18" s="8">
        <v>10</v>
      </c>
      <c r="K18" s="8">
        <v>10</v>
      </c>
      <c r="L18" s="8">
        <v>10</v>
      </c>
      <c r="M18" s="8">
        <v>0</v>
      </c>
      <c r="N18" s="8">
        <v>50</v>
      </c>
      <c r="O18" s="8">
        <v>25</v>
      </c>
      <c r="P18" s="8">
        <v>0</v>
      </c>
      <c r="Q18" s="8">
        <v>200</v>
      </c>
    </row>
    <row r="19" spans="1:17" x14ac:dyDescent="0.25">
      <c r="A19" s="2" t="s">
        <v>81</v>
      </c>
      <c r="B19" s="2" t="s">
        <v>372</v>
      </c>
      <c r="C19" s="8">
        <v>0</v>
      </c>
      <c r="D19" s="8">
        <v>0</v>
      </c>
      <c r="E19" s="8">
        <v>0</v>
      </c>
      <c r="F19" s="8">
        <v>2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40</v>
      </c>
      <c r="O19" s="8">
        <v>0</v>
      </c>
      <c r="P19" s="8">
        <v>0</v>
      </c>
      <c r="Q19" s="8">
        <v>0</v>
      </c>
    </row>
    <row r="20" spans="1:17" ht="30" x14ac:dyDescent="0.25">
      <c r="A20" s="2" t="s">
        <v>325</v>
      </c>
      <c r="B20" s="2" t="s">
        <v>373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1</v>
      </c>
      <c r="K20" s="8">
        <v>5</v>
      </c>
      <c r="L20" s="8">
        <v>0</v>
      </c>
      <c r="M20" s="8">
        <v>46</v>
      </c>
      <c r="N20" s="8">
        <v>141</v>
      </c>
      <c r="O20" s="8">
        <v>0</v>
      </c>
      <c r="P20" s="8">
        <v>0</v>
      </c>
      <c r="Q20" s="8">
        <v>0</v>
      </c>
    </row>
    <row r="21" spans="1:17" x14ac:dyDescent="0.25">
      <c r="A21" s="2" t="s">
        <v>95</v>
      </c>
      <c r="B21" s="2" t="s">
        <v>96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62</v>
      </c>
      <c r="O21" s="8">
        <v>0</v>
      </c>
      <c r="P21" s="8">
        <v>0</v>
      </c>
      <c r="Q21" s="8">
        <v>0</v>
      </c>
    </row>
    <row r="22" spans="1:17" x14ac:dyDescent="0.25">
      <c r="A22" s="2" t="s">
        <v>124</v>
      </c>
      <c r="B22" s="2" t="s">
        <v>374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50</v>
      </c>
      <c r="O22" s="8">
        <v>0</v>
      </c>
      <c r="P22" s="8">
        <v>0</v>
      </c>
      <c r="Q22" s="8">
        <v>0</v>
      </c>
    </row>
    <row r="23" spans="1:17" x14ac:dyDescent="0.25">
      <c r="A23" s="2" t="s">
        <v>128</v>
      </c>
      <c r="B23" s="2" t="s">
        <v>375</v>
      </c>
      <c r="C23" s="8">
        <v>0</v>
      </c>
      <c r="D23" s="8">
        <v>0</v>
      </c>
      <c r="E23" s="8">
        <v>0</v>
      </c>
      <c r="F23" s="8">
        <v>14</v>
      </c>
      <c r="G23" s="8">
        <v>5</v>
      </c>
      <c r="H23" s="8">
        <v>0</v>
      </c>
      <c r="I23" s="8">
        <v>0</v>
      </c>
      <c r="J23" s="8">
        <v>1</v>
      </c>
      <c r="K23" s="8">
        <v>23</v>
      </c>
      <c r="L23" s="8">
        <v>0</v>
      </c>
      <c r="M23" s="8">
        <v>2</v>
      </c>
      <c r="N23" s="8">
        <v>37</v>
      </c>
      <c r="O23" s="8">
        <v>0</v>
      </c>
      <c r="P23" s="8">
        <v>0</v>
      </c>
      <c r="Q23" s="8">
        <v>0</v>
      </c>
    </row>
    <row r="24" spans="1:17" x14ac:dyDescent="0.25">
      <c r="A24" s="2" t="s">
        <v>337</v>
      </c>
      <c r="B24" s="2" t="s">
        <v>376</v>
      </c>
      <c r="C24" s="8">
        <v>0</v>
      </c>
      <c r="D24" s="8">
        <v>0</v>
      </c>
      <c r="E24" s="8">
        <v>0</v>
      </c>
      <c r="F24" s="8">
        <v>9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10</v>
      </c>
      <c r="N24" s="8">
        <v>53</v>
      </c>
      <c r="O24" s="8">
        <v>0</v>
      </c>
      <c r="P24" s="8">
        <v>0</v>
      </c>
      <c r="Q24" s="8">
        <v>0</v>
      </c>
    </row>
    <row r="25" spans="1:17" x14ac:dyDescent="0.25">
      <c r="A25" s="2" t="s">
        <v>144</v>
      </c>
      <c r="B25" s="2" t="s">
        <v>377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181</v>
      </c>
      <c r="O25" s="8">
        <v>0</v>
      </c>
      <c r="P25" s="8">
        <v>0</v>
      </c>
      <c r="Q25" s="8">
        <v>0</v>
      </c>
    </row>
    <row r="26" spans="1:17" ht="30" x14ac:dyDescent="0.25">
      <c r="A26" s="2" t="s">
        <v>127</v>
      </c>
      <c r="B26" s="2" t="s">
        <v>354</v>
      </c>
      <c r="C26" s="8">
        <v>22</v>
      </c>
      <c r="D26" s="8">
        <v>0</v>
      </c>
      <c r="E26" s="8">
        <v>0</v>
      </c>
      <c r="F26" s="8">
        <v>75</v>
      </c>
      <c r="G26" s="8">
        <v>28</v>
      </c>
      <c r="H26" s="8">
        <v>0</v>
      </c>
      <c r="I26" s="8">
        <v>6</v>
      </c>
      <c r="J26" s="8">
        <v>85</v>
      </c>
      <c r="K26" s="8">
        <v>0</v>
      </c>
      <c r="L26" s="8">
        <v>0</v>
      </c>
      <c r="M26" s="8">
        <v>21</v>
      </c>
      <c r="N26" s="8">
        <v>616</v>
      </c>
      <c r="O26" s="8">
        <v>0</v>
      </c>
      <c r="P26" s="8">
        <v>0</v>
      </c>
      <c r="Q26" s="8">
        <v>6</v>
      </c>
    </row>
    <row r="27" spans="1:17" ht="30" x14ac:dyDescent="0.25">
      <c r="A27" s="2" t="s">
        <v>66</v>
      </c>
      <c r="B27" s="2" t="s">
        <v>355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97</v>
      </c>
      <c r="O27" s="8">
        <v>0</v>
      </c>
      <c r="P27" s="8">
        <v>0</v>
      </c>
      <c r="Q27" s="8">
        <v>0</v>
      </c>
    </row>
    <row r="28" spans="1:17" s="15" customFormat="1" ht="390" x14ac:dyDescent="0.25">
      <c r="A28" s="17" t="s">
        <v>70</v>
      </c>
      <c r="B28" s="2" t="s">
        <v>397</v>
      </c>
      <c r="C28" s="18">
        <v>14</v>
      </c>
      <c r="D28" s="18">
        <v>17</v>
      </c>
      <c r="E28" s="18">
        <v>2</v>
      </c>
      <c r="F28" s="18">
        <v>166</v>
      </c>
      <c r="G28" s="18">
        <v>0</v>
      </c>
      <c r="H28" s="18">
        <v>0</v>
      </c>
      <c r="I28" s="18">
        <v>30</v>
      </c>
      <c r="J28" s="18">
        <v>37</v>
      </c>
      <c r="K28" s="18">
        <v>89</v>
      </c>
      <c r="L28" s="18">
        <v>2</v>
      </c>
      <c r="M28" s="18">
        <v>73</v>
      </c>
      <c r="N28" s="18">
        <v>4712</v>
      </c>
      <c r="O28" s="18">
        <v>3</v>
      </c>
      <c r="P28" s="18">
        <v>2</v>
      </c>
      <c r="Q28" s="18">
        <v>30</v>
      </c>
    </row>
    <row r="29" spans="1:17" ht="30" x14ac:dyDescent="0.25">
      <c r="A29" s="2" t="s">
        <v>338</v>
      </c>
      <c r="B29" s="2" t="s">
        <v>378</v>
      </c>
      <c r="C29" s="10">
        <v>0</v>
      </c>
      <c r="D29" s="10">
        <v>0</v>
      </c>
      <c r="E29" s="10">
        <v>0</v>
      </c>
      <c r="F29" s="10">
        <v>24</v>
      </c>
      <c r="G29" s="10">
        <v>0</v>
      </c>
      <c r="H29" s="10">
        <v>0</v>
      </c>
      <c r="I29" s="10">
        <v>0</v>
      </c>
      <c r="J29" s="10">
        <v>1</v>
      </c>
      <c r="K29" s="10">
        <v>2</v>
      </c>
      <c r="L29" s="10">
        <v>2</v>
      </c>
      <c r="M29" s="10">
        <v>22</v>
      </c>
      <c r="N29" s="10">
        <v>135</v>
      </c>
      <c r="O29" s="10">
        <v>0</v>
      </c>
      <c r="P29" s="10">
        <v>0</v>
      </c>
      <c r="Q29" s="10">
        <v>0</v>
      </c>
    </row>
    <row r="30" spans="1:17" x14ac:dyDescent="0.25">
      <c r="A30" s="2" t="s">
        <v>339</v>
      </c>
      <c r="B30" s="2" t="s">
        <v>379</v>
      </c>
      <c r="C30" s="10">
        <v>0</v>
      </c>
      <c r="D30" s="10">
        <v>0</v>
      </c>
      <c r="E30" s="10">
        <v>0</v>
      </c>
      <c r="F30" s="10">
        <v>8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45</v>
      </c>
      <c r="O30" s="10">
        <v>0</v>
      </c>
      <c r="P30" s="10">
        <v>0</v>
      </c>
      <c r="Q30" s="10">
        <v>0</v>
      </c>
    </row>
    <row r="31" spans="1:17" x14ac:dyDescent="0.25">
      <c r="A31" s="2" t="s">
        <v>340</v>
      </c>
      <c r="B31" s="2" t="s">
        <v>380</v>
      </c>
      <c r="C31" s="10">
        <v>0</v>
      </c>
      <c r="D31" s="10">
        <v>0</v>
      </c>
      <c r="E31" s="10">
        <v>0</v>
      </c>
      <c r="F31" s="10">
        <v>8</v>
      </c>
      <c r="G31" s="10">
        <v>0</v>
      </c>
      <c r="H31" s="10">
        <v>0</v>
      </c>
      <c r="I31" s="10">
        <v>0</v>
      </c>
      <c r="J31" s="10">
        <v>6</v>
      </c>
      <c r="K31" s="10">
        <v>0</v>
      </c>
      <c r="L31" s="10">
        <v>0</v>
      </c>
      <c r="M31" s="10">
        <v>8</v>
      </c>
      <c r="N31" s="10">
        <v>283</v>
      </c>
      <c r="O31" s="10">
        <v>0</v>
      </c>
      <c r="P31" s="10">
        <v>0</v>
      </c>
      <c r="Q31" s="10">
        <v>0</v>
      </c>
    </row>
    <row r="32" spans="1:17" ht="30" x14ac:dyDescent="0.25">
      <c r="A32" s="2" t="s">
        <v>341</v>
      </c>
      <c r="B32" s="2" t="s">
        <v>381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89</v>
      </c>
      <c r="O32" s="10">
        <v>0</v>
      </c>
      <c r="P32" s="10">
        <v>0</v>
      </c>
      <c r="Q32" s="10">
        <v>0</v>
      </c>
    </row>
    <row r="33" spans="1:17" ht="30" x14ac:dyDescent="0.25">
      <c r="A33" s="2" t="s">
        <v>342</v>
      </c>
      <c r="B33" s="2" t="s">
        <v>382</v>
      </c>
      <c r="C33" s="10">
        <v>0</v>
      </c>
      <c r="D33" s="10">
        <v>0</v>
      </c>
      <c r="E33" s="10">
        <v>0</v>
      </c>
      <c r="F33" s="10">
        <v>41</v>
      </c>
      <c r="G33" s="10">
        <v>1</v>
      </c>
      <c r="H33" s="10">
        <v>0</v>
      </c>
      <c r="I33" s="10">
        <v>0</v>
      </c>
      <c r="J33" s="10">
        <v>28</v>
      </c>
      <c r="K33" s="10">
        <v>36</v>
      </c>
      <c r="L33" s="10">
        <v>16</v>
      </c>
      <c r="M33" s="10">
        <v>76</v>
      </c>
      <c r="N33" s="10">
        <v>222</v>
      </c>
      <c r="O33" s="10">
        <v>0</v>
      </c>
      <c r="P33" s="10">
        <v>0</v>
      </c>
      <c r="Q33" s="10">
        <v>0</v>
      </c>
    </row>
    <row r="34" spans="1:17" x14ac:dyDescent="0.25">
      <c r="A34" s="2" t="s">
        <v>343</v>
      </c>
      <c r="B34" s="2" t="s">
        <v>383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115</v>
      </c>
      <c r="O34" s="10">
        <v>0</v>
      </c>
      <c r="P34" s="10">
        <v>0</v>
      </c>
      <c r="Q34" s="10">
        <v>0</v>
      </c>
    </row>
    <row r="35" spans="1:17" x14ac:dyDescent="0.25">
      <c r="A35" s="2" t="s">
        <v>344</v>
      </c>
      <c r="B35" s="2" t="s">
        <v>384</v>
      </c>
      <c r="C35" s="10">
        <v>0</v>
      </c>
      <c r="D35" s="10">
        <v>0</v>
      </c>
      <c r="E35" s="10">
        <v>0</v>
      </c>
      <c r="F35" s="10">
        <v>6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10</v>
      </c>
      <c r="M35" s="10">
        <v>10</v>
      </c>
      <c r="N35" s="10">
        <v>173</v>
      </c>
      <c r="O35" s="10">
        <v>0</v>
      </c>
      <c r="P35" s="10">
        <v>0</v>
      </c>
      <c r="Q35" s="10">
        <v>0</v>
      </c>
    </row>
    <row r="36" spans="1:17" x14ac:dyDescent="0.25">
      <c r="A36" s="2" t="s">
        <v>345</v>
      </c>
      <c r="B36" s="2" t="s">
        <v>385</v>
      </c>
      <c r="C36" s="10">
        <v>4</v>
      </c>
      <c r="D36" s="10">
        <v>0</v>
      </c>
      <c r="E36" s="10">
        <v>0</v>
      </c>
      <c r="F36" s="10">
        <v>1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6</v>
      </c>
      <c r="N36" s="10">
        <v>198</v>
      </c>
      <c r="O36" s="10">
        <v>0</v>
      </c>
      <c r="P36" s="10">
        <v>0</v>
      </c>
      <c r="Q36" s="10">
        <v>4</v>
      </c>
    </row>
    <row r="37" spans="1:17" ht="30" x14ac:dyDescent="0.25">
      <c r="A37" s="2" t="s">
        <v>346</v>
      </c>
      <c r="B37" s="2" t="s">
        <v>386</v>
      </c>
      <c r="C37" s="10">
        <v>0</v>
      </c>
      <c r="D37" s="10">
        <v>0</v>
      </c>
      <c r="E37" s="10">
        <v>0</v>
      </c>
      <c r="F37" s="10">
        <v>10</v>
      </c>
      <c r="G37" s="10">
        <v>0</v>
      </c>
      <c r="H37" s="10">
        <v>0</v>
      </c>
      <c r="I37" s="10">
        <v>0</v>
      </c>
      <c r="J37" s="10">
        <v>2</v>
      </c>
      <c r="K37" s="10">
        <v>2</v>
      </c>
      <c r="L37" s="10">
        <v>0</v>
      </c>
      <c r="M37" s="10">
        <v>14</v>
      </c>
      <c r="N37" s="10">
        <v>95</v>
      </c>
      <c r="O37" s="10">
        <v>0</v>
      </c>
      <c r="P37" s="10">
        <v>0</v>
      </c>
      <c r="Q37" s="10">
        <v>1</v>
      </c>
    </row>
    <row r="38" spans="1:17" x14ac:dyDescent="0.25">
      <c r="A38" s="2" t="s">
        <v>347</v>
      </c>
      <c r="B38" s="2" t="s">
        <v>387</v>
      </c>
      <c r="C38" s="10">
        <v>0</v>
      </c>
      <c r="D38" s="10">
        <v>0</v>
      </c>
      <c r="E38" s="10">
        <v>0</v>
      </c>
      <c r="F38" s="10">
        <v>6</v>
      </c>
      <c r="G38" s="10">
        <v>0</v>
      </c>
      <c r="H38" s="10">
        <v>0</v>
      </c>
      <c r="I38" s="10">
        <v>0</v>
      </c>
      <c r="J38" s="10">
        <v>0</v>
      </c>
      <c r="K38" s="10">
        <v>27</v>
      </c>
      <c r="L38" s="10">
        <v>0</v>
      </c>
      <c r="M38" s="10">
        <v>32</v>
      </c>
      <c r="N38" s="10">
        <v>143</v>
      </c>
      <c r="O38" s="10">
        <v>11</v>
      </c>
      <c r="P38" s="10">
        <v>0</v>
      </c>
      <c r="Q38" s="10">
        <v>0</v>
      </c>
    </row>
    <row r="39" spans="1:17" x14ac:dyDescent="0.25">
      <c r="A39" s="2" t="s">
        <v>348</v>
      </c>
      <c r="B39" s="2" t="s">
        <v>388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35</v>
      </c>
      <c r="N39" s="10">
        <v>38</v>
      </c>
      <c r="O39" s="10">
        <v>0</v>
      </c>
      <c r="P39" s="10">
        <v>0</v>
      </c>
      <c r="Q39" s="10">
        <v>0</v>
      </c>
    </row>
    <row r="40" spans="1:17" x14ac:dyDescent="0.25">
      <c r="A40" s="2" t="s">
        <v>349</v>
      </c>
      <c r="B40" s="2" t="s">
        <v>389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7</v>
      </c>
      <c r="N40" s="10">
        <v>68</v>
      </c>
      <c r="O40" s="10">
        <v>0</v>
      </c>
      <c r="P40" s="10">
        <v>0</v>
      </c>
      <c r="Q40" s="10">
        <v>0</v>
      </c>
    </row>
    <row r="41" spans="1:17" ht="30" x14ac:dyDescent="0.25">
      <c r="A41" s="2" t="s">
        <v>350</v>
      </c>
      <c r="B41" s="2" t="s">
        <v>390</v>
      </c>
      <c r="C41" s="10">
        <v>0</v>
      </c>
      <c r="D41" s="10">
        <v>0</v>
      </c>
      <c r="E41" s="10">
        <v>0</v>
      </c>
      <c r="F41" s="10">
        <v>26</v>
      </c>
      <c r="G41" s="10">
        <v>0</v>
      </c>
      <c r="H41" s="10">
        <v>0</v>
      </c>
      <c r="I41" s="10">
        <v>0</v>
      </c>
      <c r="J41" s="10">
        <v>17</v>
      </c>
      <c r="K41" s="10">
        <v>0</v>
      </c>
      <c r="L41" s="10">
        <v>25</v>
      </c>
      <c r="M41" s="10">
        <v>2</v>
      </c>
      <c r="N41" s="10">
        <v>125</v>
      </c>
      <c r="O41" s="10">
        <v>0</v>
      </c>
      <c r="P41" s="10">
        <v>0</v>
      </c>
      <c r="Q41" s="10">
        <v>0</v>
      </c>
    </row>
    <row r="42" spans="1:17" ht="30" x14ac:dyDescent="0.25">
      <c r="A42" s="2" t="s">
        <v>64</v>
      </c>
      <c r="B42" s="2" t="s">
        <v>65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7</v>
      </c>
      <c r="O42" s="10">
        <v>0</v>
      </c>
      <c r="P42" s="10">
        <v>0</v>
      </c>
      <c r="Q42" s="10">
        <v>0</v>
      </c>
    </row>
    <row r="43" spans="1:17" ht="30" x14ac:dyDescent="0.25">
      <c r="A43" s="2" t="s">
        <v>38</v>
      </c>
      <c r="B43" s="2" t="s">
        <v>391</v>
      </c>
      <c r="C43" s="10">
        <v>0</v>
      </c>
      <c r="D43" s="10">
        <v>0</v>
      </c>
      <c r="E43" s="10">
        <v>0</v>
      </c>
      <c r="F43" s="10">
        <v>18</v>
      </c>
      <c r="G43" s="10">
        <v>0</v>
      </c>
      <c r="H43" s="10">
        <v>0</v>
      </c>
      <c r="I43" s="10">
        <v>2</v>
      </c>
      <c r="J43" s="10">
        <v>4</v>
      </c>
      <c r="K43" s="10">
        <v>1</v>
      </c>
      <c r="L43" s="10">
        <v>0</v>
      </c>
      <c r="M43" s="10">
        <v>8</v>
      </c>
      <c r="N43" s="10">
        <v>31</v>
      </c>
      <c r="O43" s="10">
        <v>0</v>
      </c>
      <c r="P43" s="10">
        <v>0</v>
      </c>
      <c r="Q43" s="10">
        <v>0</v>
      </c>
    </row>
    <row r="44" spans="1:17" x14ac:dyDescent="0.25">
      <c r="A44" s="2" t="s">
        <v>351</v>
      </c>
      <c r="B44" s="2" t="s">
        <v>356</v>
      </c>
      <c r="C44" s="10">
        <v>0</v>
      </c>
      <c r="D44" s="10">
        <v>0</v>
      </c>
      <c r="E44" s="10">
        <v>0</v>
      </c>
      <c r="F44" s="10">
        <v>18</v>
      </c>
      <c r="G44" s="10">
        <v>0</v>
      </c>
      <c r="H44" s="10">
        <v>0</v>
      </c>
      <c r="I44" s="10">
        <v>0</v>
      </c>
      <c r="J44" s="10">
        <v>79</v>
      </c>
      <c r="K44" s="10">
        <v>65</v>
      </c>
      <c r="L44" s="10">
        <v>0</v>
      </c>
      <c r="M44" s="10">
        <v>16</v>
      </c>
      <c r="N44" s="10">
        <v>197</v>
      </c>
      <c r="O44" s="10">
        <v>0</v>
      </c>
      <c r="P44" s="10">
        <v>0</v>
      </c>
      <c r="Q44" s="10">
        <v>0</v>
      </c>
    </row>
    <row r="45" spans="1:17" x14ac:dyDescent="0.25">
      <c r="A45" s="2" t="s">
        <v>148</v>
      </c>
      <c r="B45" s="2" t="s">
        <v>392</v>
      </c>
      <c r="C45" s="10">
        <v>0</v>
      </c>
      <c r="D45" s="10">
        <v>0</v>
      </c>
      <c r="E45" s="10">
        <v>0</v>
      </c>
      <c r="F45" s="10">
        <v>2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40</v>
      </c>
      <c r="N45" s="10">
        <v>122</v>
      </c>
      <c r="O45" s="10">
        <v>0</v>
      </c>
      <c r="P45" s="10">
        <v>0</v>
      </c>
      <c r="Q45" s="10">
        <v>0</v>
      </c>
    </row>
    <row r="46" spans="1:17" x14ac:dyDescent="0.25">
      <c r="A46" s="2" t="s">
        <v>352</v>
      </c>
      <c r="B46" s="2" t="s">
        <v>393</v>
      </c>
      <c r="C46" s="10">
        <v>1</v>
      </c>
      <c r="D46" s="10">
        <v>0</v>
      </c>
      <c r="E46" s="10">
        <v>0</v>
      </c>
      <c r="F46" s="10">
        <v>19</v>
      </c>
      <c r="G46" s="10">
        <v>32</v>
      </c>
      <c r="H46" s="10">
        <v>0</v>
      </c>
      <c r="I46" s="10">
        <v>0</v>
      </c>
      <c r="J46" s="10">
        <v>0</v>
      </c>
      <c r="K46" s="10">
        <v>1</v>
      </c>
      <c r="L46" s="10">
        <v>26</v>
      </c>
      <c r="M46" s="10">
        <v>0</v>
      </c>
      <c r="N46" s="10">
        <v>359</v>
      </c>
      <c r="O46" s="10">
        <v>4</v>
      </c>
      <c r="P46" s="10">
        <v>1</v>
      </c>
      <c r="Q46" s="10">
        <v>1</v>
      </c>
    </row>
    <row r="47" spans="1:17" ht="30" x14ac:dyDescent="0.25">
      <c r="A47" s="2" t="s">
        <v>353</v>
      </c>
      <c r="B47" s="2" t="s">
        <v>394</v>
      </c>
      <c r="C47" s="10">
        <v>1</v>
      </c>
      <c r="D47" s="10">
        <v>0</v>
      </c>
      <c r="E47" s="10">
        <v>0</v>
      </c>
      <c r="F47" s="10">
        <v>16</v>
      </c>
      <c r="G47" s="10">
        <v>0</v>
      </c>
      <c r="H47" s="10">
        <v>0</v>
      </c>
      <c r="I47" s="10">
        <v>0</v>
      </c>
      <c r="J47" s="10">
        <v>2</v>
      </c>
      <c r="K47" s="10">
        <v>11</v>
      </c>
      <c r="L47" s="10">
        <v>10</v>
      </c>
      <c r="M47" s="10">
        <v>206</v>
      </c>
      <c r="N47" s="10">
        <v>0</v>
      </c>
      <c r="O47" s="10">
        <v>0</v>
      </c>
      <c r="P47" s="10">
        <v>0</v>
      </c>
      <c r="Q47" s="10">
        <v>0</v>
      </c>
    </row>
    <row r="48" spans="1:17" ht="15.6" x14ac:dyDescent="0.3">
      <c r="A48" s="7" t="s">
        <v>395</v>
      </c>
      <c r="B48" s="12" t="s">
        <v>396</v>
      </c>
      <c r="C48" s="5">
        <f>SUBTOTAL(109,Table19[American Sign Language Total])</f>
        <v>61</v>
      </c>
      <c r="D48" s="5">
        <f>SUBTOTAL(109,Table19[Arabic Total])</f>
        <v>45</v>
      </c>
      <c r="E48" s="5">
        <f>SUBTOTAL(109,Table19[Cantonese Total])</f>
        <v>2</v>
      </c>
      <c r="F48" s="5">
        <f>SUBTOTAL(109,Table19[French Total])</f>
        <v>603</v>
      </c>
      <c r="G48" s="5">
        <f>SUBTOTAL(109,Table19[German Total])</f>
        <v>119</v>
      </c>
      <c r="H48" s="5">
        <f>SUBTOTAL(109,Table19[Hmong Total])</f>
        <v>0</v>
      </c>
      <c r="I48" s="5">
        <f>SUBTOTAL(109,Table19[Italian Total])</f>
        <v>48</v>
      </c>
      <c r="J48" s="5">
        <f>SUBTOTAL(109,Table19[Japanese Total])</f>
        <v>361</v>
      </c>
      <c r="K48" s="5">
        <f>SUBTOTAL(109,Table19[Korean Total])</f>
        <v>319</v>
      </c>
      <c r="L48" s="5">
        <f>SUBTOTAL(109,Table19[Latin Total])</f>
        <v>101</v>
      </c>
      <c r="M48" s="5">
        <f>SUBTOTAL(109,Table19[Mandarin Total])</f>
        <v>841</v>
      </c>
      <c r="N48" s="5">
        <f>SUBTOTAL(109,Table19[Spanish Total])</f>
        <v>10031</v>
      </c>
      <c r="O48" s="5">
        <f>SUBTOTAL(109,Table19[Tagalog (Filipino) Total])</f>
        <v>130</v>
      </c>
      <c r="P48" s="5">
        <f>SUBTOTAL(109,Table19[Vietnamese Total])</f>
        <v>3</v>
      </c>
      <c r="Q48" s="5">
        <f>SUBTOTAL(109,Table19[Other Total])</f>
        <v>261</v>
      </c>
    </row>
  </sheetData>
  <sortState xmlns:xlrd2="http://schemas.microsoft.com/office/spreadsheetml/2017/richdata2" ref="A2:AX73">
    <sortCondition ref="A2:A73"/>
  </sortState>
  <conditionalFormatting sqref="A1:B47 A49:B1048576">
    <cfRule type="duplicateValues" dxfId="3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9.90625" customWidth="1"/>
    <col min="2" max="2" width="28.54296875" customWidth="1"/>
    <col min="3" max="3" width="16.81640625" customWidth="1"/>
    <col min="4" max="4" width="7.36328125" customWidth="1"/>
    <col min="5" max="5" width="10.1796875" customWidth="1"/>
    <col min="6" max="6" width="7.1796875" customWidth="1"/>
    <col min="7" max="7" width="7.90625" customWidth="1"/>
    <col min="8" max="8" width="7.453125" customWidth="1"/>
    <col min="9" max="9" width="7.54296875" customWidth="1"/>
    <col min="10" max="10" width="9.453125" customWidth="1"/>
    <col min="11" max="11" width="7.08984375" customWidth="1"/>
    <col min="12" max="12" width="7.453125" customWidth="1"/>
    <col min="13" max="13" width="9.36328125" customWidth="1"/>
    <col min="14" max="14" width="7.90625" customWidth="1"/>
    <col min="15" max="15" width="9" customWidth="1"/>
    <col min="16" max="16" width="11.6328125" customWidth="1"/>
    <col min="17" max="17" width="7.08984375" customWidth="1"/>
  </cols>
  <sheetData>
    <row r="1" spans="1:17" ht="18" thickBot="1" x14ac:dyDescent="0.35">
      <c r="A1" s="16" t="s">
        <v>59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t="s">
        <v>400</v>
      </c>
      <c r="B3" t="s">
        <v>400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24</v>
      </c>
      <c r="O3">
        <v>0</v>
      </c>
      <c r="P3">
        <v>0</v>
      </c>
      <c r="Q3">
        <v>0</v>
      </c>
    </row>
    <row r="4" spans="1:17" x14ac:dyDescent="0.25">
      <c r="A4" t="s">
        <v>401</v>
      </c>
      <c r="B4" t="s">
        <v>398</v>
      </c>
      <c r="C4">
        <v>0</v>
      </c>
      <c r="D4">
        <v>0</v>
      </c>
      <c r="E4">
        <v>0</v>
      </c>
      <c r="F4">
        <v>6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72</v>
      </c>
      <c r="O4">
        <v>0</v>
      </c>
      <c r="P4">
        <v>0</v>
      </c>
      <c r="Q4">
        <v>0</v>
      </c>
    </row>
    <row r="5" spans="1:17" x14ac:dyDescent="0.25">
      <c r="A5" t="s">
        <v>402</v>
      </c>
      <c r="B5" t="s">
        <v>794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37</v>
      </c>
      <c r="O5">
        <v>0</v>
      </c>
      <c r="P5">
        <v>0</v>
      </c>
      <c r="Q5">
        <v>0</v>
      </c>
    </row>
    <row r="6" spans="1:17" x14ac:dyDescent="0.25">
      <c r="A6" t="s">
        <v>215</v>
      </c>
      <c r="B6" s="12" t="s">
        <v>399</v>
      </c>
      <c r="C6">
        <f>SUBTOTAL(109,Table20[American Sign Language Total])</f>
        <v>0</v>
      </c>
      <c r="D6">
        <f>SUBTOTAL(109,Table20[Arabic Total])</f>
        <v>0</v>
      </c>
      <c r="E6">
        <f>SUBTOTAL(109,Table20[Cantonese Total])</f>
        <v>0</v>
      </c>
      <c r="F6">
        <f>SUBTOTAL(109,Table20[French Total])</f>
        <v>6</v>
      </c>
      <c r="G6">
        <f>SUBTOTAL(109,Table20[German Total])</f>
        <v>0</v>
      </c>
      <c r="H6">
        <f>SUBTOTAL(109,Table20[Hmong Total])</f>
        <v>0</v>
      </c>
      <c r="I6">
        <f>SUBTOTAL(109,Table20[Italian Total])</f>
        <v>0</v>
      </c>
      <c r="J6">
        <f>SUBTOTAL(109,Table20[Japanese Total])</f>
        <v>0</v>
      </c>
      <c r="K6">
        <f>SUBTOTAL(109,Table20[Korean Total])</f>
        <v>0</v>
      </c>
      <c r="L6">
        <f>SUBTOTAL(109,Table20[Latin Total])</f>
        <v>0</v>
      </c>
      <c r="M6">
        <f>SUBTOTAL(109,Table20[Mandarin Total])</f>
        <v>0</v>
      </c>
      <c r="N6">
        <f>SUBTOTAL(109,Table20[Spanish Total])</f>
        <v>133</v>
      </c>
      <c r="O6">
        <f>SUBTOTAL(109,Table20[Tagalog (Filipino) Total])</f>
        <v>0</v>
      </c>
      <c r="P6">
        <f>SUBTOTAL(109,Table20[Vietnamese Total])</f>
        <v>0</v>
      </c>
      <c r="Q6">
        <f>SUBTOTAL(109,Table20[Other Total])</f>
        <v>0</v>
      </c>
    </row>
  </sheetData>
  <conditionalFormatting sqref="A1:B2">
    <cfRule type="duplicateValues" dxfId="33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19.54296875" customWidth="1"/>
    <col min="2" max="2" width="32.90625" customWidth="1"/>
    <col min="3" max="3" width="16.08984375" customWidth="1"/>
    <col min="4" max="4" width="7.36328125" customWidth="1"/>
    <col min="5" max="5" width="10.36328125" customWidth="1"/>
    <col min="6" max="6" width="7.1796875" customWidth="1"/>
    <col min="7" max="7" width="7.6328125" customWidth="1"/>
    <col min="8" max="8" width="7.54296875" customWidth="1"/>
    <col min="9" max="9" width="7.08984375" customWidth="1"/>
    <col min="10" max="10" width="9.36328125" customWidth="1"/>
    <col min="11" max="11" width="7.453125" customWidth="1"/>
    <col min="12" max="12" width="7.08984375" customWidth="1"/>
    <col min="13" max="13" width="9" customWidth="1"/>
    <col min="14" max="14" width="8.1796875" customWidth="1"/>
    <col min="15" max="15" width="9" customWidth="1"/>
    <col min="16" max="16" width="11.36328125" customWidth="1"/>
    <col min="17" max="17" width="7.453125" customWidth="1"/>
  </cols>
  <sheetData>
    <row r="1" spans="1:17" ht="18" thickBot="1" x14ac:dyDescent="0.35">
      <c r="A1" s="9" t="s">
        <v>5</v>
      </c>
    </row>
    <row r="2" spans="1:17" s="7" customFormat="1" ht="45.6" thickTop="1" x14ac:dyDescent="0.25">
      <c r="A2" s="2" t="s">
        <v>186</v>
      </c>
      <c r="B2" s="8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s="7" customFormat="1" ht="30" x14ac:dyDescent="0.25">
      <c r="A3" s="2" t="s">
        <v>788</v>
      </c>
      <c r="B3" s="2" t="s">
        <v>789</v>
      </c>
      <c r="C3" s="8">
        <v>0</v>
      </c>
      <c r="D3" s="8">
        <v>10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80</v>
      </c>
      <c r="O3" s="8">
        <v>0</v>
      </c>
      <c r="P3" s="8">
        <v>0</v>
      </c>
      <c r="Q3" s="8">
        <v>0</v>
      </c>
    </row>
    <row r="4" spans="1:17" ht="45" x14ac:dyDescent="0.25">
      <c r="A4" s="8" t="s">
        <v>39</v>
      </c>
      <c r="B4" s="2" t="s">
        <v>205</v>
      </c>
      <c r="C4" s="8">
        <v>0</v>
      </c>
      <c r="D4" s="8">
        <v>0</v>
      </c>
      <c r="E4" s="8">
        <v>0</v>
      </c>
      <c r="F4" s="8">
        <v>20</v>
      </c>
      <c r="G4" s="8">
        <v>2</v>
      </c>
      <c r="H4" s="8">
        <v>0</v>
      </c>
      <c r="I4" s="8">
        <v>0</v>
      </c>
      <c r="J4" s="8">
        <v>0</v>
      </c>
      <c r="K4" s="8">
        <v>1</v>
      </c>
      <c r="L4" s="8">
        <v>0</v>
      </c>
      <c r="M4" s="8">
        <v>18</v>
      </c>
      <c r="N4" s="8">
        <v>24</v>
      </c>
      <c r="O4" s="8">
        <v>0</v>
      </c>
      <c r="P4" s="8">
        <v>0</v>
      </c>
      <c r="Q4" s="8">
        <v>0</v>
      </c>
    </row>
    <row r="5" spans="1:17" x14ac:dyDescent="0.25">
      <c r="A5" s="8" t="s">
        <v>175</v>
      </c>
      <c r="B5" s="2" t="s">
        <v>191</v>
      </c>
      <c r="C5" s="8">
        <v>0</v>
      </c>
      <c r="D5" s="8">
        <v>0</v>
      </c>
      <c r="E5" s="8">
        <v>0</v>
      </c>
      <c r="F5" s="8">
        <v>8</v>
      </c>
      <c r="G5" s="8">
        <v>2</v>
      </c>
      <c r="H5" s="8">
        <v>0</v>
      </c>
      <c r="I5" s="8">
        <v>0</v>
      </c>
      <c r="J5" s="8">
        <v>1</v>
      </c>
      <c r="K5" s="8">
        <v>0</v>
      </c>
      <c r="L5" s="8">
        <v>0</v>
      </c>
      <c r="M5" s="8">
        <v>23</v>
      </c>
      <c r="N5" s="8">
        <v>55</v>
      </c>
      <c r="O5" s="8">
        <v>0</v>
      </c>
      <c r="P5" s="8">
        <v>0</v>
      </c>
      <c r="Q5" s="8">
        <v>0</v>
      </c>
    </row>
    <row r="6" spans="1:17" ht="30" x14ac:dyDescent="0.25">
      <c r="A6" s="8" t="s">
        <v>176</v>
      </c>
      <c r="B6" s="2" t="s">
        <v>192</v>
      </c>
      <c r="C6" s="8">
        <v>0</v>
      </c>
      <c r="D6" s="8">
        <v>0</v>
      </c>
      <c r="E6" s="8">
        <v>0</v>
      </c>
      <c r="F6" s="8">
        <v>10</v>
      </c>
      <c r="G6" s="8">
        <v>3</v>
      </c>
      <c r="H6" s="8">
        <v>0</v>
      </c>
      <c r="I6" s="8">
        <v>0</v>
      </c>
      <c r="J6" s="8">
        <v>2</v>
      </c>
      <c r="K6" s="8">
        <v>0</v>
      </c>
      <c r="L6" s="8">
        <v>2</v>
      </c>
      <c r="M6" s="8">
        <v>11</v>
      </c>
      <c r="N6" s="8">
        <v>66</v>
      </c>
      <c r="O6" s="8">
        <v>0</v>
      </c>
      <c r="P6" s="8">
        <v>0</v>
      </c>
      <c r="Q6" s="8">
        <v>1</v>
      </c>
    </row>
    <row r="7" spans="1:17" ht="45" x14ac:dyDescent="0.25">
      <c r="A7" s="2" t="s">
        <v>190</v>
      </c>
      <c r="B7" s="2" t="s">
        <v>185</v>
      </c>
      <c r="C7" s="8">
        <v>4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</row>
    <row r="8" spans="1:17" x14ac:dyDescent="0.25">
      <c r="A8" s="8" t="s">
        <v>177</v>
      </c>
      <c r="B8" s="2" t="s">
        <v>193</v>
      </c>
      <c r="C8" s="8">
        <v>10</v>
      </c>
      <c r="D8" s="8">
        <v>0</v>
      </c>
      <c r="E8" s="8">
        <v>0</v>
      </c>
      <c r="F8" s="8">
        <v>6</v>
      </c>
      <c r="G8" s="8">
        <v>17</v>
      </c>
      <c r="H8" s="8">
        <v>0</v>
      </c>
      <c r="I8" s="8">
        <v>0</v>
      </c>
      <c r="J8" s="8">
        <v>17</v>
      </c>
      <c r="K8" s="8">
        <v>0</v>
      </c>
      <c r="L8" s="8">
        <v>0</v>
      </c>
      <c r="M8" s="8">
        <v>2</v>
      </c>
      <c r="N8" s="8">
        <v>133</v>
      </c>
      <c r="O8" s="8">
        <v>0</v>
      </c>
      <c r="P8" s="8">
        <v>0</v>
      </c>
      <c r="Q8" s="8">
        <v>0</v>
      </c>
    </row>
    <row r="9" spans="1:17" x14ac:dyDescent="0.25">
      <c r="A9" s="8" t="s">
        <v>135</v>
      </c>
      <c r="B9" s="2" t="s">
        <v>194</v>
      </c>
      <c r="C9" s="8">
        <v>2</v>
      </c>
      <c r="D9" s="8">
        <v>0</v>
      </c>
      <c r="E9" s="8">
        <v>0</v>
      </c>
      <c r="F9" s="8">
        <v>28</v>
      </c>
      <c r="G9" s="8">
        <v>0</v>
      </c>
      <c r="H9" s="8">
        <v>0</v>
      </c>
      <c r="I9" s="8">
        <v>0</v>
      </c>
      <c r="J9" s="8">
        <v>0</v>
      </c>
      <c r="K9" s="8">
        <v>3</v>
      </c>
      <c r="L9" s="8">
        <v>0</v>
      </c>
      <c r="M9" s="8">
        <v>34</v>
      </c>
      <c r="N9" s="8">
        <v>82</v>
      </c>
      <c r="O9" s="8">
        <v>0</v>
      </c>
      <c r="P9" s="8">
        <v>0</v>
      </c>
      <c r="Q9" s="8">
        <v>0</v>
      </c>
    </row>
    <row r="10" spans="1:17" x14ac:dyDescent="0.25">
      <c r="A10" s="8" t="s">
        <v>178</v>
      </c>
      <c r="B10" s="2" t="s">
        <v>195</v>
      </c>
      <c r="C10" s="8">
        <v>0</v>
      </c>
      <c r="D10" s="8">
        <v>1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2</v>
      </c>
      <c r="O10" s="8">
        <v>0</v>
      </c>
      <c r="P10" s="8">
        <v>0</v>
      </c>
      <c r="Q10" s="8">
        <v>1</v>
      </c>
    </row>
    <row r="11" spans="1:17" ht="60" x14ac:dyDescent="0.25">
      <c r="A11" s="8" t="s">
        <v>179</v>
      </c>
      <c r="B11" s="2" t="s">
        <v>197</v>
      </c>
      <c r="C11" s="8">
        <v>49</v>
      </c>
      <c r="D11" s="8">
        <v>0</v>
      </c>
      <c r="E11" s="8">
        <v>0</v>
      </c>
      <c r="F11" s="8">
        <v>75</v>
      </c>
      <c r="G11" s="8">
        <v>0</v>
      </c>
      <c r="H11" s="8">
        <v>0</v>
      </c>
      <c r="I11" s="8">
        <v>0</v>
      </c>
      <c r="J11" s="8">
        <v>12</v>
      </c>
      <c r="K11" s="8">
        <v>0</v>
      </c>
      <c r="L11" s="8">
        <v>0</v>
      </c>
      <c r="M11" s="8">
        <v>254</v>
      </c>
      <c r="N11" s="8">
        <v>137</v>
      </c>
      <c r="O11" s="8">
        <v>0</v>
      </c>
      <c r="P11" s="8">
        <v>0</v>
      </c>
      <c r="Q11" s="8">
        <v>0</v>
      </c>
    </row>
    <row r="12" spans="1:17" ht="60" x14ac:dyDescent="0.25">
      <c r="A12" s="8" t="s">
        <v>147</v>
      </c>
      <c r="B12" s="2" t="s">
        <v>790</v>
      </c>
      <c r="C12" s="8">
        <v>0</v>
      </c>
      <c r="D12" s="8">
        <v>0</v>
      </c>
      <c r="E12" s="8">
        <v>0</v>
      </c>
      <c r="F12" s="8">
        <v>19</v>
      </c>
      <c r="G12" s="8">
        <v>0</v>
      </c>
      <c r="H12" s="8">
        <v>0</v>
      </c>
      <c r="I12" s="8">
        <v>0</v>
      </c>
      <c r="J12" s="8">
        <v>13</v>
      </c>
      <c r="K12" s="8">
        <v>0</v>
      </c>
      <c r="L12" s="8">
        <v>0</v>
      </c>
      <c r="M12" s="8">
        <v>7</v>
      </c>
      <c r="N12" s="8">
        <v>194</v>
      </c>
      <c r="O12" s="8">
        <v>0</v>
      </c>
      <c r="P12" s="8">
        <v>0</v>
      </c>
      <c r="Q12" s="8">
        <v>0</v>
      </c>
    </row>
    <row r="13" spans="1:17" ht="30" x14ac:dyDescent="0.25">
      <c r="A13" s="2" t="s">
        <v>180</v>
      </c>
      <c r="B13" s="2" t="s">
        <v>198</v>
      </c>
      <c r="C13" s="8">
        <v>0</v>
      </c>
      <c r="D13" s="8">
        <v>0</v>
      </c>
      <c r="E13" s="8">
        <v>0</v>
      </c>
      <c r="F13" s="8">
        <v>10</v>
      </c>
      <c r="G13" s="8">
        <v>1</v>
      </c>
      <c r="H13" s="8">
        <v>0</v>
      </c>
      <c r="I13" s="8">
        <v>0</v>
      </c>
      <c r="J13" s="8">
        <v>3</v>
      </c>
      <c r="K13" s="8">
        <v>0</v>
      </c>
      <c r="L13" s="8">
        <v>1</v>
      </c>
      <c r="M13" s="8">
        <v>5</v>
      </c>
      <c r="N13" s="8">
        <v>89</v>
      </c>
      <c r="O13" s="8">
        <v>0</v>
      </c>
      <c r="P13" s="8">
        <v>0</v>
      </c>
      <c r="Q13" s="8">
        <v>1</v>
      </c>
    </row>
    <row r="14" spans="1:17" x14ac:dyDescent="0.25">
      <c r="A14" s="8" t="s">
        <v>153</v>
      </c>
      <c r="B14" s="2" t="s">
        <v>199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3</v>
      </c>
      <c r="K14" s="8">
        <v>0</v>
      </c>
      <c r="L14" s="8">
        <v>0</v>
      </c>
      <c r="M14" s="8">
        <v>15</v>
      </c>
      <c r="N14" s="8">
        <v>45</v>
      </c>
      <c r="O14" s="8">
        <v>0</v>
      </c>
      <c r="P14" s="8">
        <v>0</v>
      </c>
      <c r="Q14" s="8">
        <v>0</v>
      </c>
    </row>
    <row r="15" spans="1:17" ht="75" x14ac:dyDescent="0.25">
      <c r="A15" s="8" t="s">
        <v>181</v>
      </c>
      <c r="B15" s="2" t="s">
        <v>200</v>
      </c>
      <c r="C15" s="8">
        <v>0</v>
      </c>
      <c r="D15" s="8">
        <v>0</v>
      </c>
      <c r="E15" s="8">
        <v>4</v>
      </c>
      <c r="F15" s="8">
        <v>5</v>
      </c>
      <c r="G15" s="8">
        <v>0</v>
      </c>
      <c r="H15" s="8">
        <v>0</v>
      </c>
      <c r="I15" s="8">
        <v>0</v>
      </c>
      <c r="J15" s="8">
        <v>1</v>
      </c>
      <c r="K15" s="8">
        <v>0</v>
      </c>
      <c r="L15" s="8">
        <v>0</v>
      </c>
      <c r="M15" s="8">
        <v>0</v>
      </c>
      <c r="N15" s="8">
        <v>134</v>
      </c>
      <c r="O15" s="8">
        <v>0</v>
      </c>
      <c r="P15" s="8">
        <v>0</v>
      </c>
      <c r="Q15" s="8">
        <v>0</v>
      </c>
    </row>
    <row r="16" spans="1:17" x14ac:dyDescent="0.25">
      <c r="A16" s="8" t="s">
        <v>182</v>
      </c>
      <c r="B16" s="2" t="s">
        <v>201</v>
      </c>
      <c r="C16" s="8">
        <v>0</v>
      </c>
      <c r="D16" s="8">
        <v>0</v>
      </c>
      <c r="E16" s="8">
        <v>0</v>
      </c>
      <c r="F16" s="8">
        <v>8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9</v>
      </c>
      <c r="N16" s="8">
        <v>30</v>
      </c>
      <c r="O16" s="8">
        <v>0</v>
      </c>
      <c r="P16" s="8">
        <v>0</v>
      </c>
      <c r="Q16" s="8">
        <v>0</v>
      </c>
    </row>
    <row r="17" spans="1:17" x14ac:dyDescent="0.25">
      <c r="A17" s="8" t="s">
        <v>183</v>
      </c>
      <c r="B17" s="2" t="s">
        <v>202</v>
      </c>
      <c r="C17" s="8">
        <v>0</v>
      </c>
      <c r="D17" s="8">
        <v>0</v>
      </c>
      <c r="E17" s="8">
        <v>0</v>
      </c>
      <c r="F17" s="8">
        <v>69</v>
      </c>
      <c r="G17" s="8">
        <v>3</v>
      </c>
      <c r="H17" s="8">
        <v>0</v>
      </c>
      <c r="I17" s="8">
        <v>0</v>
      </c>
      <c r="J17" s="8">
        <v>16</v>
      </c>
      <c r="K17" s="8">
        <v>4</v>
      </c>
      <c r="L17" s="8">
        <v>0</v>
      </c>
      <c r="M17" s="8">
        <v>37</v>
      </c>
      <c r="N17" s="8">
        <v>214</v>
      </c>
      <c r="O17" s="8">
        <v>0</v>
      </c>
      <c r="P17" s="8">
        <v>0</v>
      </c>
      <c r="Q17" s="8">
        <v>0</v>
      </c>
    </row>
    <row r="18" spans="1:17" x14ac:dyDescent="0.25">
      <c r="A18" s="8" t="s">
        <v>184</v>
      </c>
      <c r="B18" s="2" t="s">
        <v>203</v>
      </c>
      <c r="C18" s="8">
        <v>0</v>
      </c>
      <c r="D18" s="8">
        <v>0</v>
      </c>
      <c r="E18" s="8">
        <v>5</v>
      </c>
      <c r="F18" s="8">
        <v>2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41</v>
      </c>
      <c r="O18" s="8">
        <v>0</v>
      </c>
      <c r="P18" s="8">
        <v>0</v>
      </c>
      <c r="Q18" s="8">
        <v>0</v>
      </c>
    </row>
    <row r="19" spans="1:17" ht="30" x14ac:dyDescent="0.25">
      <c r="A19" s="8" t="s">
        <v>111</v>
      </c>
      <c r="B19" s="2" t="s">
        <v>204</v>
      </c>
      <c r="C19" s="8">
        <v>0</v>
      </c>
      <c r="D19" s="8">
        <v>0</v>
      </c>
      <c r="E19" s="8">
        <v>4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21</v>
      </c>
      <c r="O19" s="8">
        <v>0</v>
      </c>
      <c r="P19" s="8">
        <v>0</v>
      </c>
      <c r="Q19" s="8">
        <v>0</v>
      </c>
    </row>
    <row r="20" spans="1:17" ht="15.6" x14ac:dyDescent="0.25">
      <c r="A20" s="8" t="s">
        <v>196</v>
      </c>
      <c r="B20" s="11" t="s">
        <v>206</v>
      </c>
      <c r="C20" s="10">
        <f>SUBTOTAL(109,Table2[American Sign Language Total])</f>
        <v>65</v>
      </c>
      <c r="D20" s="10">
        <f>SUBTOTAL(109,Table2[Arabic Total])</f>
        <v>11</v>
      </c>
      <c r="E20" s="10">
        <f>SUBTOTAL(109,Table2[Cantonese Total])</f>
        <v>13</v>
      </c>
      <c r="F20" s="10">
        <f>SUBTOTAL(109,Table2[French Total])</f>
        <v>260</v>
      </c>
      <c r="G20" s="10">
        <f>SUBTOTAL(109,Table2[German Total])</f>
        <v>28</v>
      </c>
      <c r="H20" s="10">
        <f>SUBTOTAL(109,Table2[Hmong Total])</f>
        <v>0</v>
      </c>
      <c r="I20" s="10">
        <f>SUBTOTAL(109,Table2[Italian Total])</f>
        <v>0</v>
      </c>
      <c r="J20" s="10">
        <f>SUBTOTAL(109,Table2[Japanese Total])</f>
        <v>68</v>
      </c>
      <c r="K20" s="10">
        <f>SUBTOTAL(109,Table2[Korean Total])</f>
        <v>8</v>
      </c>
      <c r="L20" s="10">
        <f>SUBTOTAL(109,Table2[Latin Total])</f>
        <v>3</v>
      </c>
      <c r="M20" s="10">
        <f>SUBTOTAL(109,Table2[Mandarin Total])</f>
        <v>415</v>
      </c>
      <c r="N20" s="10">
        <f>SUBTOTAL(109,Table2[Spanish Total])</f>
        <v>1347</v>
      </c>
      <c r="O20" s="10">
        <f>SUBTOTAL(109,Table2[Tagalog (Filipino) Total])</f>
        <v>0</v>
      </c>
      <c r="P20" s="10">
        <f>SUBTOTAL(109,Table2[Vietnamese Total])</f>
        <v>0</v>
      </c>
      <c r="Q20" s="10">
        <f>SUBTOTAL(109,Table2[Other Total])</f>
        <v>3</v>
      </c>
    </row>
  </sheetData>
  <sortState xmlns:xlrd2="http://schemas.microsoft.com/office/spreadsheetml/2017/richdata2" ref="A2:X24">
    <sortCondition ref="A2:A24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9.36328125" customWidth="1"/>
    <col min="2" max="2" width="24" customWidth="1"/>
    <col min="3" max="3" width="16.90625" customWidth="1"/>
    <col min="4" max="4" width="7.1796875" customWidth="1"/>
    <col min="5" max="5" width="10.36328125" customWidth="1"/>
    <col min="6" max="6" width="7.6328125" customWidth="1"/>
    <col min="7" max="7" width="8.08984375" customWidth="1"/>
    <col min="8" max="8" width="7.6328125" customWidth="1"/>
    <col min="9" max="9" width="7.08984375" customWidth="1"/>
    <col min="10" max="10" width="9.08984375" customWidth="1"/>
    <col min="11" max="11" width="7.453125" customWidth="1"/>
    <col min="12" max="12" width="7.08984375" customWidth="1"/>
    <col min="13" max="13" width="9.08984375" customWidth="1"/>
    <col min="14" max="14" width="8.36328125" customWidth="1"/>
    <col min="15" max="15" width="9.08984375" customWidth="1"/>
    <col min="16" max="16" width="11.08984375" customWidth="1"/>
    <col min="17" max="17" width="7.1796875" customWidth="1"/>
  </cols>
  <sheetData>
    <row r="1" spans="1:17" ht="18" thickBot="1" x14ac:dyDescent="0.35">
      <c r="A1" s="16" t="s">
        <v>15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s="8" t="s">
        <v>403</v>
      </c>
      <c r="B3" s="2" t="s">
        <v>405</v>
      </c>
      <c r="C3" s="8">
        <v>0</v>
      </c>
      <c r="D3" s="8">
        <v>0</v>
      </c>
      <c r="E3" s="8">
        <v>0</v>
      </c>
      <c r="F3" s="8">
        <v>14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56</v>
      </c>
      <c r="O3" s="8">
        <v>0</v>
      </c>
      <c r="P3" s="8">
        <v>0</v>
      </c>
      <c r="Q3" s="8">
        <v>0</v>
      </c>
    </row>
    <row r="4" spans="1:17" ht="30" x14ac:dyDescent="0.25">
      <c r="A4" s="8" t="s">
        <v>51</v>
      </c>
      <c r="B4" s="2" t="s">
        <v>406</v>
      </c>
      <c r="C4" s="8">
        <v>0</v>
      </c>
      <c r="D4" s="8">
        <v>0</v>
      </c>
      <c r="E4" s="8">
        <v>0</v>
      </c>
      <c r="F4" s="8">
        <v>35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115</v>
      </c>
      <c r="O4" s="8">
        <v>0</v>
      </c>
      <c r="P4" s="8">
        <v>0</v>
      </c>
      <c r="Q4" s="8">
        <v>0</v>
      </c>
    </row>
    <row r="5" spans="1:17" x14ac:dyDescent="0.25">
      <c r="A5" s="8" t="s">
        <v>108</v>
      </c>
      <c r="B5" s="2" t="s">
        <v>407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11</v>
      </c>
      <c r="O5" s="8">
        <v>0</v>
      </c>
      <c r="P5" s="8">
        <v>0</v>
      </c>
      <c r="Q5" s="8">
        <v>0</v>
      </c>
    </row>
    <row r="6" spans="1:17" ht="45" x14ac:dyDescent="0.25">
      <c r="A6" s="8" t="s">
        <v>404</v>
      </c>
      <c r="B6" s="2" t="s">
        <v>408</v>
      </c>
      <c r="C6" s="8">
        <v>0</v>
      </c>
      <c r="D6" s="8">
        <v>0</v>
      </c>
      <c r="E6" s="8">
        <v>0</v>
      </c>
      <c r="F6" s="8">
        <v>68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376</v>
      </c>
      <c r="O6" s="8">
        <v>0</v>
      </c>
      <c r="P6" s="8">
        <v>0</v>
      </c>
      <c r="Q6" s="8">
        <v>0</v>
      </c>
    </row>
    <row r="7" spans="1:17" x14ac:dyDescent="0.25">
      <c r="A7" t="s">
        <v>292</v>
      </c>
      <c r="B7" s="12" t="s">
        <v>409</v>
      </c>
      <c r="C7">
        <f>SUBTOTAL(109,Table21[American Sign Language Total])</f>
        <v>0</v>
      </c>
      <c r="D7">
        <f>SUBTOTAL(109,Table21[Arabic Total])</f>
        <v>0</v>
      </c>
      <c r="E7">
        <f>SUBTOTAL(109,Table21[Cantonese Total])</f>
        <v>0</v>
      </c>
      <c r="F7">
        <f>SUBTOTAL(109,Table21[French Total])</f>
        <v>117</v>
      </c>
      <c r="G7">
        <f>SUBTOTAL(109,Table21[German Total])</f>
        <v>0</v>
      </c>
      <c r="H7">
        <f>SUBTOTAL(109,Table21[Hmong Total])</f>
        <v>0</v>
      </c>
      <c r="I7">
        <f>SUBTOTAL(109,Table21[Italian Total])</f>
        <v>0</v>
      </c>
      <c r="J7">
        <f>SUBTOTAL(109,Table21[Japanese Total])</f>
        <v>0</v>
      </c>
      <c r="K7">
        <f>SUBTOTAL(109,Table21[Korean Total])</f>
        <v>0</v>
      </c>
      <c r="L7">
        <f>SUBTOTAL(109,Table21[Latin Total])</f>
        <v>0</v>
      </c>
      <c r="M7">
        <f>SUBTOTAL(109,Table21[Mandarin Total])</f>
        <v>0</v>
      </c>
      <c r="N7">
        <f>SUBTOTAL(109,Table21[Spanish Total])</f>
        <v>558</v>
      </c>
      <c r="O7">
        <f>SUBTOTAL(109,Table21[Tagalog (Filipino) Total])</f>
        <v>0</v>
      </c>
      <c r="P7">
        <f>SUBTOTAL(109,Table21[Vietnamese Total])</f>
        <v>0</v>
      </c>
      <c r="Q7">
        <f>SUBTOTAL(109,Table21[Other Total])</f>
        <v>0</v>
      </c>
    </row>
  </sheetData>
  <conditionalFormatting sqref="A1:B2">
    <cfRule type="duplicateValues" dxfId="32" priority="1"/>
  </conditionalFormatting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4.90625" bestFit="1" customWidth="1"/>
    <col min="2" max="2" width="17.08984375" customWidth="1"/>
    <col min="3" max="3" width="16.36328125" customWidth="1"/>
    <col min="4" max="4" width="7.08984375" customWidth="1"/>
    <col min="5" max="5" width="10.08984375" customWidth="1"/>
    <col min="6" max="6" width="7.36328125" customWidth="1"/>
    <col min="7" max="7" width="7.90625" customWidth="1"/>
    <col min="8" max="9" width="7.36328125" customWidth="1"/>
    <col min="10" max="10" width="9.36328125" customWidth="1"/>
    <col min="11" max="11" width="7.453125" customWidth="1"/>
    <col min="12" max="12" width="7.1796875" customWidth="1"/>
    <col min="13" max="13" width="9.08984375" customWidth="1"/>
    <col min="14" max="14" width="8.08984375" customWidth="1"/>
    <col min="15" max="15" width="9.08984375" customWidth="1"/>
    <col min="16" max="16" width="11" customWidth="1"/>
    <col min="17" max="17" width="7.453125" customWidth="1"/>
  </cols>
  <sheetData>
    <row r="1" spans="1:17" ht="18" thickBot="1" x14ac:dyDescent="0.35">
      <c r="A1" s="16" t="s">
        <v>52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30" x14ac:dyDescent="0.25">
      <c r="A3" s="8" t="s">
        <v>150</v>
      </c>
      <c r="B3" s="2" t="s">
        <v>413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9</v>
      </c>
      <c r="O3" s="8">
        <v>0</v>
      </c>
      <c r="P3" s="8">
        <v>0</v>
      </c>
      <c r="Q3" s="8">
        <v>0</v>
      </c>
    </row>
    <row r="4" spans="1:17" x14ac:dyDescent="0.25">
      <c r="A4" t="s">
        <v>410</v>
      </c>
      <c r="B4" t="s">
        <v>414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9</v>
      </c>
      <c r="O4">
        <v>0</v>
      </c>
      <c r="P4">
        <v>0</v>
      </c>
      <c r="Q4">
        <v>0</v>
      </c>
    </row>
    <row r="5" spans="1:17" x14ac:dyDescent="0.25">
      <c r="A5" t="s">
        <v>411</v>
      </c>
      <c r="B5" t="s">
        <v>415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1</v>
      </c>
      <c r="O5">
        <v>0</v>
      </c>
      <c r="P5">
        <v>0</v>
      </c>
      <c r="Q5">
        <v>0</v>
      </c>
    </row>
    <row r="6" spans="1:17" x14ac:dyDescent="0.25">
      <c r="A6" t="s">
        <v>112</v>
      </c>
      <c r="B6" t="s">
        <v>416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2</v>
      </c>
    </row>
    <row r="7" spans="1:17" x14ac:dyDescent="0.25">
      <c r="A7" t="s">
        <v>116</v>
      </c>
      <c r="B7" t="s">
        <v>417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61</v>
      </c>
      <c r="O7">
        <v>0</v>
      </c>
      <c r="P7">
        <v>0</v>
      </c>
      <c r="Q7">
        <v>0</v>
      </c>
    </row>
    <row r="8" spans="1:17" x14ac:dyDescent="0.25">
      <c r="A8" t="s">
        <v>412</v>
      </c>
      <c r="B8" t="s">
        <v>418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3</v>
      </c>
      <c r="O8">
        <v>0</v>
      </c>
      <c r="P8">
        <v>0</v>
      </c>
      <c r="Q8">
        <v>0</v>
      </c>
    </row>
    <row r="9" spans="1:17" x14ac:dyDescent="0.25">
      <c r="A9" t="s">
        <v>302</v>
      </c>
      <c r="B9" s="12" t="s">
        <v>293</v>
      </c>
      <c r="C9">
        <f>SUBTOTAL(109,Table22[American Sign Language Total])</f>
        <v>0</v>
      </c>
      <c r="D9">
        <f>SUBTOTAL(109,Table22[Arabic Total])</f>
        <v>0</v>
      </c>
      <c r="E9">
        <f>SUBTOTAL(109,Table22[Cantonese Total])</f>
        <v>0</v>
      </c>
      <c r="F9">
        <f>SUBTOTAL(109,Table22[French Total])</f>
        <v>0</v>
      </c>
      <c r="G9">
        <f>SUBTOTAL(109,Table22[German Total])</f>
        <v>0</v>
      </c>
      <c r="H9">
        <f>SUBTOTAL(109,Table22[Hmong Total])</f>
        <v>0</v>
      </c>
      <c r="I9">
        <f>SUBTOTAL(109,Table22[Italian Total])</f>
        <v>0</v>
      </c>
      <c r="J9">
        <f>SUBTOTAL(109,Table22[Japanese Total])</f>
        <v>0</v>
      </c>
      <c r="K9">
        <f>SUBTOTAL(109,Table22[Korean Total])</f>
        <v>0</v>
      </c>
      <c r="L9">
        <f>SUBTOTAL(109,Table22[Latin Total])</f>
        <v>0</v>
      </c>
      <c r="M9">
        <f>SUBTOTAL(109,Table22[Mandarin Total])</f>
        <v>0</v>
      </c>
      <c r="N9">
        <f>SUBTOTAL(109,Table22[Spanish Total])</f>
        <v>83</v>
      </c>
      <c r="O9">
        <f>SUBTOTAL(109,Table22[Tagalog (Filipino) Total])</f>
        <v>0</v>
      </c>
      <c r="P9">
        <f>SUBTOTAL(109,Table22[Vietnamese Total])</f>
        <v>0</v>
      </c>
      <c r="Q9">
        <f>SUBTOTAL(109,Table22[Other Total])</f>
        <v>2</v>
      </c>
    </row>
  </sheetData>
  <conditionalFormatting sqref="A1:B2">
    <cfRule type="duplicateValues" dxfId="31" priority="1"/>
  </conditionalFormatting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0.08984375" bestFit="1" customWidth="1"/>
    <col min="2" max="2" width="23.08984375" bestFit="1" customWidth="1"/>
    <col min="3" max="3" width="16.453125" customWidth="1"/>
    <col min="4" max="4" width="7.54296875" customWidth="1"/>
    <col min="5" max="5" width="10.453125" customWidth="1"/>
    <col min="6" max="6" width="7.453125" customWidth="1"/>
    <col min="7" max="7" width="8.08984375" customWidth="1"/>
    <col min="8" max="8" width="7.453125" customWidth="1"/>
    <col min="9" max="9" width="7.1796875" customWidth="1"/>
    <col min="10" max="10" width="9.1796875" customWidth="1"/>
    <col min="11" max="11" width="7.36328125" customWidth="1"/>
    <col min="12" max="12" width="7.08984375" customWidth="1"/>
    <col min="13" max="13" width="9.08984375" customWidth="1"/>
    <col min="14" max="14" width="8.36328125" customWidth="1"/>
    <col min="15" max="15" width="9.08984375" customWidth="1"/>
    <col min="16" max="16" width="11.08984375" customWidth="1"/>
    <col min="17" max="17" width="7.36328125" customWidth="1"/>
  </cols>
  <sheetData>
    <row r="1" spans="1:17" ht="18" thickBot="1" x14ac:dyDescent="0.35">
      <c r="A1" s="16" t="s">
        <v>56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t="s">
        <v>117</v>
      </c>
      <c r="B3" t="s">
        <v>424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12</v>
      </c>
      <c r="O3">
        <v>0</v>
      </c>
      <c r="P3">
        <v>0</v>
      </c>
      <c r="Q3">
        <v>0</v>
      </c>
    </row>
    <row r="4" spans="1:17" x14ac:dyDescent="0.25">
      <c r="A4" t="s">
        <v>57</v>
      </c>
      <c r="B4" t="s">
        <v>425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11</v>
      </c>
      <c r="O4">
        <v>0</v>
      </c>
      <c r="P4">
        <v>0</v>
      </c>
      <c r="Q4">
        <v>0</v>
      </c>
    </row>
    <row r="5" spans="1:17" x14ac:dyDescent="0.25">
      <c r="A5" t="s">
        <v>421</v>
      </c>
      <c r="B5" t="s">
        <v>426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11</v>
      </c>
      <c r="O5">
        <v>0</v>
      </c>
      <c r="P5">
        <v>0</v>
      </c>
      <c r="Q5">
        <v>2</v>
      </c>
    </row>
    <row r="6" spans="1:17" x14ac:dyDescent="0.25">
      <c r="A6" t="s">
        <v>420</v>
      </c>
      <c r="B6" t="s">
        <v>419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2</v>
      </c>
      <c r="O6">
        <v>0</v>
      </c>
      <c r="P6">
        <v>0</v>
      </c>
      <c r="Q6">
        <v>0</v>
      </c>
    </row>
    <row r="7" spans="1:17" x14ac:dyDescent="0.25">
      <c r="A7" t="s">
        <v>422</v>
      </c>
      <c r="B7" t="s">
        <v>423</v>
      </c>
      <c r="C7">
        <v>0</v>
      </c>
      <c r="D7">
        <v>0</v>
      </c>
      <c r="E7">
        <v>0</v>
      </c>
      <c r="F7">
        <v>0</v>
      </c>
      <c r="G7">
        <v>0</v>
      </c>
      <c r="H7">
        <v>2</v>
      </c>
      <c r="I7">
        <v>0</v>
      </c>
      <c r="J7">
        <v>0</v>
      </c>
      <c r="K7">
        <v>0</v>
      </c>
      <c r="L7">
        <v>0</v>
      </c>
      <c r="M7">
        <v>0</v>
      </c>
      <c r="N7">
        <v>21</v>
      </c>
      <c r="O7">
        <v>0</v>
      </c>
      <c r="P7">
        <v>0</v>
      </c>
      <c r="Q7">
        <v>0</v>
      </c>
    </row>
    <row r="8" spans="1:17" x14ac:dyDescent="0.25">
      <c r="A8" t="s">
        <v>316</v>
      </c>
      <c r="B8" s="12" t="s">
        <v>293</v>
      </c>
      <c r="C8">
        <f>SUBTOTAL(109,Table23[American Sign Language Total])</f>
        <v>0</v>
      </c>
      <c r="D8">
        <f>SUBTOTAL(109,Table23[Arabic Total])</f>
        <v>0</v>
      </c>
      <c r="E8">
        <f>SUBTOTAL(109,Table23[Cantonese Total])</f>
        <v>0</v>
      </c>
      <c r="F8">
        <f>SUBTOTAL(109,Table23[French Total])</f>
        <v>0</v>
      </c>
      <c r="G8">
        <f>SUBTOTAL(109,Table23[German Total])</f>
        <v>0</v>
      </c>
      <c r="H8">
        <f>SUBTOTAL(109,Table23[Hmong Total])</f>
        <v>2</v>
      </c>
      <c r="I8">
        <f>SUBTOTAL(109,Table23[Italian Total])</f>
        <v>0</v>
      </c>
      <c r="J8">
        <f>SUBTOTAL(109,Table23[Japanese Total])</f>
        <v>0</v>
      </c>
      <c r="K8">
        <f>SUBTOTAL(109,Table23[Korean Total])</f>
        <v>0</v>
      </c>
      <c r="L8">
        <f>SUBTOTAL(109,Table23[Latin Total])</f>
        <v>0</v>
      </c>
      <c r="M8">
        <f>SUBTOTAL(109,Table23[Mandarin Total])</f>
        <v>0</v>
      </c>
      <c r="N8">
        <f>SUBTOTAL(109,Table23[Spanish Total])</f>
        <v>57</v>
      </c>
      <c r="O8">
        <f>SUBTOTAL(109,Table23[Tagalog (Filipino) Total])</f>
        <v>0</v>
      </c>
      <c r="P8">
        <f>SUBTOTAL(109,Table23[Vietnamese Total])</f>
        <v>0</v>
      </c>
      <c r="Q8">
        <f>SUBTOTAL(109,Table23[Other Total])</f>
        <v>2</v>
      </c>
    </row>
  </sheetData>
  <conditionalFormatting sqref="A1:B2">
    <cfRule type="duplicateValues" dxfId="30" priority="1"/>
  </conditionalFormatting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9.6328125" customWidth="1"/>
    <col min="2" max="2" width="13.90625" customWidth="1"/>
    <col min="3" max="3" width="16.453125" customWidth="1"/>
    <col min="4" max="4" width="7.453125" customWidth="1"/>
    <col min="5" max="5" width="10.36328125" customWidth="1"/>
    <col min="6" max="6" width="7.1796875" customWidth="1"/>
    <col min="7" max="7" width="7.90625" customWidth="1"/>
    <col min="8" max="9" width="7.54296875" customWidth="1"/>
    <col min="10" max="10" width="9.1796875" customWidth="1"/>
    <col min="11" max="12" width="7.36328125" customWidth="1"/>
    <col min="13" max="13" width="9.54296875" customWidth="1"/>
    <col min="14" max="14" width="8.08984375" customWidth="1"/>
    <col min="15" max="15" width="9.36328125" customWidth="1"/>
    <col min="16" max="16" width="10.90625" customWidth="1"/>
    <col min="17" max="17" width="7.08984375" customWidth="1"/>
  </cols>
  <sheetData>
    <row r="1" spans="1:17" ht="18" thickBot="1" x14ac:dyDescent="0.35">
      <c r="A1" s="16" t="s">
        <v>109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t="s">
        <v>110</v>
      </c>
      <c r="B3" t="s">
        <v>428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1</v>
      </c>
      <c r="O3">
        <v>0</v>
      </c>
      <c r="P3">
        <v>0</v>
      </c>
      <c r="Q3">
        <v>0</v>
      </c>
    </row>
    <row r="4" spans="1:17" x14ac:dyDescent="0.25">
      <c r="A4" t="s">
        <v>427</v>
      </c>
      <c r="B4" t="s">
        <v>429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40</v>
      </c>
      <c r="O4">
        <v>0</v>
      </c>
      <c r="P4">
        <v>0</v>
      </c>
      <c r="Q4">
        <v>0</v>
      </c>
    </row>
    <row r="5" spans="1:17" x14ac:dyDescent="0.25">
      <c r="A5" t="s">
        <v>226</v>
      </c>
      <c r="B5" s="12" t="s">
        <v>211</v>
      </c>
      <c r="C5">
        <f>SUBTOTAL(109,Table24[American Sign Language Total])</f>
        <v>0</v>
      </c>
      <c r="D5">
        <f>SUBTOTAL(109,Table24[Arabic Total])</f>
        <v>0</v>
      </c>
      <c r="E5">
        <f>SUBTOTAL(109,Table24[Cantonese Total])</f>
        <v>0</v>
      </c>
      <c r="F5">
        <f>SUBTOTAL(109,Table24[French Total])</f>
        <v>0</v>
      </c>
      <c r="G5">
        <f>SUBTOTAL(109,Table24[German Total])</f>
        <v>0</v>
      </c>
      <c r="H5">
        <f>SUBTOTAL(109,Table24[Hmong Total])</f>
        <v>0</v>
      </c>
      <c r="I5">
        <f>SUBTOTAL(109,Table24[Italian Total])</f>
        <v>0</v>
      </c>
      <c r="J5">
        <f>SUBTOTAL(109,Table24[Japanese Total])</f>
        <v>0</v>
      </c>
      <c r="K5">
        <f>SUBTOTAL(109,Table24[Korean Total])</f>
        <v>0</v>
      </c>
      <c r="L5">
        <f>SUBTOTAL(109,Table24[Latin Total])</f>
        <v>0</v>
      </c>
      <c r="M5">
        <f>SUBTOTAL(109,Table24[Mandarin Total])</f>
        <v>0</v>
      </c>
      <c r="N5">
        <f>SUBTOTAL(109,Table24[Spanish Total])</f>
        <v>41</v>
      </c>
      <c r="O5">
        <f>SUBTOTAL(109,Table24[Tagalog (Filipino) Total])</f>
        <v>0</v>
      </c>
      <c r="P5">
        <f>SUBTOTAL(109,Table24[Vietnamese Total])</f>
        <v>0</v>
      </c>
      <c r="Q5">
        <f>SUBTOTAL(109,Table24[Other Total])</f>
        <v>0</v>
      </c>
    </row>
  </sheetData>
  <conditionalFormatting sqref="A1:B2">
    <cfRule type="duplicateValues" dxfId="29" priority="1"/>
  </conditionalFormatting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5.08984375" bestFit="1" customWidth="1"/>
    <col min="2" max="2" width="28" customWidth="1"/>
    <col min="3" max="3" width="16.08984375" customWidth="1"/>
    <col min="4" max="4" width="7.36328125" customWidth="1"/>
    <col min="5" max="5" width="10.453125" customWidth="1"/>
    <col min="6" max="6" width="7.36328125" customWidth="1"/>
    <col min="7" max="7" width="7.90625" customWidth="1"/>
    <col min="8" max="8" width="7.453125" customWidth="1"/>
    <col min="9" max="9" width="7.36328125" customWidth="1"/>
    <col min="10" max="10" width="9.08984375" customWidth="1"/>
    <col min="11" max="12" width="7.36328125" customWidth="1"/>
    <col min="13" max="13" width="9.08984375" customWidth="1"/>
    <col min="14" max="14" width="8.36328125" customWidth="1"/>
    <col min="15" max="15" width="8.90625" customWidth="1"/>
    <col min="16" max="16" width="10.90625" customWidth="1"/>
    <col min="17" max="17" width="7" customWidth="1"/>
  </cols>
  <sheetData>
    <row r="1" spans="1:17" ht="18" thickBot="1" x14ac:dyDescent="0.35">
      <c r="A1" s="16" t="s">
        <v>67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s="8" t="s">
        <v>430</v>
      </c>
      <c r="B3" s="8" t="s">
        <v>438</v>
      </c>
      <c r="C3" s="8">
        <v>0</v>
      </c>
      <c r="D3" s="8">
        <v>0</v>
      </c>
      <c r="E3" s="8">
        <v>10</v>
      </c>
      <c r="F3" s="8">
        <v>15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25</v>
      </c>
      <c r="O3" s="8">
        <v>0</v>
      </c>
      <c r="P3" s="8">
        <v>0</v>
      </c>
      <c r="Q3" s="8">
        <v>0</v>
      </c>
    </row>
    <row r="4" spans="1:17" x14ac:dyDescent="0.25">
      <c r="A4" s="8" t="s">
        <v>431</v>
      </c>
      <c r="B4" s="8" t="s">
        <v>439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25</v>
      </c>
      <c r="O4" s="8">
        <v>0</v>
      </c>
      <c r="P4" s="8">
        <v>0</v>
      </c>
      <c r="Q4" s="8">
        <v>0</v>
      </c>
    </row>
    <row r="5" spans="1:17" ht="30" x14ac:dyDescent="0.25">
      <c r="A5" s="8" t="s">
        <v>432</v>
      </c>
      <c r="B5" s="2" t="s">
        <v>440</v>
      </c>
      <c r="C5" s="8">
        <v>1</v>
      </c>
      <c r="D5" s="8">
        <v>0</v>
      </c>
      <c r="E5" s="8">
        <v>0</v>
      </c>
      <c r="F5" s="8">
        <v>9</v>
      </c>
      <c r="G5" s="8">
        <v>0</v>
      </c>
      <c r="H5" s="8">
        <v>0</v>
      </c>
      <c r="I5" s="8">
        <v>0</v>
      </c>
      <c r="J5" s="8">
        <v>3</v>
      </c>
      <c r="K5" s="8">
        <v>0</v>
      </c>
      <c r="L5" s="8">
        <v>0</v>
      </c>
      <c r="M5" s="8">
        <v>0</v>
      </c>
      <c r="N5" s="8">
        <v>83</v>
      </c>
      <c r="O5" s="8">
        <v>0</v>
      </c>
      <c r="P5" s="8">
        <v>0</v>
      </c>
      <c r="Q5" s="8">
        <v>0</v>
      </c>
    </row>
    <row r="6" spans="1:17" x14ac:dyDescent="0.25">
      <c r="A6" s="8" t="s">
        <v>433</v>
      </c>
      <c r="B6" s="2" t="s">
        <v>441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46</v>
      </c>
      <c r="O6" s="8">
        <v>0</v>
      </c>
      <c r="P6" s="8">
        <v>0</v>
      </c>
      <c r="Q6" s="8">
        <v>0</v>
      </c>
    </row>
    <row r="7" spans="1:17" x14ac:dyDescent="0.25">
      <c r="A7" s="8" t="s">
        <v>434</v>
      </c>
      <c r="B7" s="2" t="s">
        <v>442</v>
      </c>
      <c r="C7" s="8">
        <v>0</v>
      </c>
      <c r="D7" s="8">
        <v>0</v>
      </c>
      <c r="E7" s="8">
        <v>0</v>
      </c>
      <c r="F7" s="8">
        <v>2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10</v>
      </c>
      <c r="O7" s="8">
        <v>0</v>
      </c>
      <c r="P7" s="8">
        <v>0</v>
      </c>
      <c r="Q7" s="8">
        <v>0</v>
      </c>
    </row>
    <row r="8" spans="1:17" ht="45" x14ac:dyDescent="0.25">
      <c r="A8" s="8" t="s">
        <v>435</v>
      </c>
      <c r="B8" s="2" t="s">
        <v>443</v>
      </c>
      <c r="C8" s="8">
        <v>0</v>
      </c>
      <c r="D8" s="8">
        <v>0</v>
      </c>
      <c r="E8" s="8">
        <v>0</v>
      </c>
      <c r="F8" s="8">
        <v>3</v>
      </c>
      <c r="G8" s="8">
        <v>0</v>
      </c>
      <c r="H8" s="8">
        <v>0</v>
      </c>
      <c r="I8" s="8">
        <v>0</v>
      </c>
      <c r="J8" s="8">
        <v>47</v>
      </c>
      <c r="K8" s="8">
        <v>0</v>
      </c>
      <c r="L8" s="8">
        <v>0</v>
      </c>
      <c r="M8" s="8">
        <v>0</v>
      </c>
      <c r="N8" s="8">
        <v>262</v>
      </c>
      <c r="O8" s="8">
        <v>0</v>
      </c>
      <c r="P8" s="8">
        <v>0</v>
      </c>
      <c r="Q8" s="8">
        <v>0</v>
      </c>
    </row>
    <row r="9" spans="1:17" x14ac:dyDescent="0.25">
      <c r="A9" s="8" t="s">
        <v>436</v>
      </c>
      <c r="B9" s="8" t="s">
        <v>106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37</v>
      </c>
      <c r="O9" s="8">
        <v>0</v>
      </c>
      <c r="P9" s="8">
        <v>0</v>
      </c>
      <c r="Q9" s="8">
        <v>0</v>
      </c>
    </row>
    <row r="10" spans="1:17" x14ac:dyDescent="0.25">
      <c r="A10" s="8" t="s">
        <v>437</v>
      </c>
      <c r="B10" s="8" t="s">
        <v>444</v>
      </c>
      <c r="C10" s="8">
        <v>0</v>
      </c>
      <c r="D10" s="8">
        <v>0</v>
      </c>
      <c r="E10" s="8">
        <v>0</v>
      </c>
      <c r="F10" s="8">
        <v>14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62</v>
      </c>
      <c r="O10" s="8">
        <v>0</v>
      </c>
      <c r="P10" s="8">
        <v>0</v>
      </c>
      <c r="Q10" s="8">
        <v>0</v>
      </c>
    </row>
    <row r="11" spans="1:17" x14ac:dyDescent="0.25">
      <c r="A11" s="8" t="s">
        <v>445</v>
      </c>
      <c r="B11" s="19" t="s">
        <v>446</v>
      </c>
      <c r="C11" s="8">
        <f>SUBTOTAL(109,Table25[American Sign Language Total])</f>
        <v>1</v>
      </c>
      <c r="D11" s="8">
        <f>SUBTOTAL(109,Table25[Arabic Total])</f>
        <v>0</v>
      </c>
      <c r="E11" s="8">
        <f>SUBTOTAL(109,Table25[Cantonese Total])</f>
        <v>10</v>
      </c>
      <c r="F11" s="8">
        <f>SUBTOTAL(109,Table25[French Total])</f>
        <v>43</v>
      </c>
      <c r="G11" s="8">
        <f>SUBTOTAL(109,Table25[German Total])</f>
        <v>0</v>
      </c>
      <c r="H11" s="8">
        <f>SUBTOTAL(109,Table25[Hmong Total])</f>
        <v>0</v>
      </c>
      <c r="I11" s="8">
        <f>SUBTOTAL(109,Table25[Italian Total])</f>
        <v>0</v>
      </c>
      <c r="J11" s="8">
        <f>SUBTOTAL(109,Table25[Japanese Total])</f>
        <v>50</v>
      </c>
      <c r="K11" s="8">
        <f>SUBTOTAL(109,Table25[Korean Total])</f>
        <v>0</v>
      </c>
      <c r="L11" s="8">
        <f>SUBTOTAL(109,Table25[Latin Total])</f>
        <v>0</v>
      </c>
      <c r="M11" s="8">
        <f>SUBTOTAL(109,Table25[Mandarin Total])</f>
        <v>0</v>
      </c>
      <c r="N11" s="8">
        <f>SUBTOTAL(109,Table25[Spanish Total])</f>
        <v>550</v>
      </c>
      <c r="O11" s="8">
        <f>SUBTOTAL(109,Table25[Tagalog (Filipino) Total])</f>
        <v>0</v>
      </c>
      <c r="P11" s="8">
        <f>SUBTOTAL(109,Table25[Vietnamese Total])</f>
        <v>0</v>
      </c>
      <c r="Q11" s="8">
        <f>SUBTOTAL(109,Table25[Other Total])</f>
        <v>0</v>
      </c>
    </row>
  </sheetData>
  <conditionalFormatting sqref="A1:B2">
    <cfRule type="duplicateValues" dxfId="28" priority="1"/>
  </conditionalFormatting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2" bestFit="1" customWidth="1"/>
    <col min="2" max="2" width="33.6328125" customWidth="1"/>
    <col min="3" max="3" width="16.6328125" customWidth="1"/>
    <col min="4" max="4" width="7.1796875" customWidth="1"/>
    <col min="5" max="5" width="10.36328125" customWidth="1"/>
    <col min="6" max="6" width="7.1796875" customWidth="1"/>
    <col min="7" max="7" width="7.90625" customWidth="1"/>
    <col min="8" max="9" width="7.36328125" customWidth="1"/>
    <col min="10" max="10" width="9.36328125" customWidth="1"/>
    <col min="11" max="11" width="7.54296875" customWidth="1"/>
    <col min="12" max="12" width="7.08984375" customWidth="1"/>
    <col min="13" max="13" width="9.08984375" customWidth="1"/>
    <col min="14" max="14" width="8.36328125" customWidth="1"/>
    <col min="15" max="15" width="9.08984375" customWidth="1"/>
    <col min="16" max="16" width="10.90625" customWidth="1"/>
    <col min="17" max="17" width="7.1796875" customWidth="1"/>
  </cols>
  <sheetData>
    <row r="1" spans="1:17" ht="18" thickBot="1" x14ac:dyDescent="0.35">
      <c r="A1" s="16" t="s">
        <v>88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t="s">
        <v>447</v>
      </c>
      <c r="B3" t="s">
        <v>449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7</v>
      </c>
      <c r="O3">
        <v>0</v>
      </c>
      <c r="P3">
        <v>0</v>
      </c>
      <c r="Q3">
        <v>0</v>
      </c>
    </row>
    <row r="4" spans="1:17" ht="30" x14ac:dyDescent="0.25">
      <c r="A4" s="8" t="s">
        <v>448</v>
      </c>
      <c r="B4" s="2" t="s">
        <v>450</v>
      </c>
      <c r="C4" s="8">
        <v>0</v>
      </c>
      <c r="D4" s="8">
        <v>0</v>
      </c>
      <c r="E4" s="8">
        <v>0</v>
      </c>
      <c r="F4" s="8">
        <v>16</v>
      </c>
      <c r="G4" s="8">
        <v>0</v>
      </c>
      <c r="H4" s="8">
        <v>0</v>
      </c>
      <c r="I4" s="8">
        <v>0</v>
      </c>
      <c r="J4" s="8">
        <v>1</v>
      </c>
      <c r="K4" s="8">
        <v>0</v>
      </c>
      <c r="L4" s="8">
        <v>1</v>
      </c>
      <c r="M4" s="8">
        <v>12</v>
      </c>
      <c r="N4" s="8">
        <v>233</v>
      </c>
      <c r="O4" s="8">
        <v>0</v>
      </c>
      <c r="P4" s="8">
        <v>0</v>
      </c>
      <c r="Q4" s="8">
        <v>1</v>
      </c>
    </row>
    <row r="5" spans="1:17" x14ac:dyDescent="0.25">
      <c r="A5" t="s">
        <v>89</v>
      </c>
      <c r="B5" t="s">
        <v>451</v>
      </c>
      <c r="C5">
        <v>0</v>
      </c>
      <c r="D5">
        <v>0</v>
      </c>
      <c r="E5">
        <v>0</v>
      </c>
      <c r="F5">
        <v>6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31</v>
      </c>
      <c r="O5">
        <v>0</v>
      </c>
      <c r="P5">
        <v>0</v>
      </c>
      <c r="Q5">
        <v>0</v>
      </c>
    </row>
    <row r="6" spans="1:17" x14ac:dyDescent="0.25">
      <c r="A6" t="s">
        <v>215</v>
      </c>
      <c r="B6" s="12" t="s">
        <v>293</v>
      </c>
      <c r="C6">
        <f>SUBTOTAL(109,Table26[American Sign Language Total])</f>
        <v>0</v>
      </c>
      <c r="D6">
        <f>SUBTOTAL(109,Table26[Arabic Total])</f>
        <v>0</v>
      </c>
      <c r="E6">
        <f>SUBTOTAL(109,Table26[Cantonese Total])</f>
        <v>0</v>
      </c>
      <c r="F6">
        <f>SUBTOTAL(109,Table26[French Total])</f>
        <v>22</v>
      </c>
      <c r="G6">
        <f>SUBTOTAL(109,Table26[German Total])</f>
        <v>0</v>
      </c>
      <c r="H6">
        <f>SUBTOTAL(109,Table26[Hmong Total])</f>
        <v>0</v>
      </c>
      <c r="I6">
        <f>SUBTOTAL(109,Table26[Italian Total])</f>
        <v>0</v>
      </c>
      <c r="J6">
        <f>SUBTOTAL(109,Table26[Japanese Total])</f>
        <v>1</v>
      </c>
      <c r="K6">
        <f>SUBTOTAL(109,Table26[Korean Total])</f>
        <v>0</v>
      </c>
      <c r="L6">
        <f>SUBTOTAL(109,Table26[Latin Total])</f>
        <v>1</v>
      </c>
      <c r="M6">
        <f>SUBTOTAL(109,Table26[Mandarin Total])</f>
        <v>12</v>
      </c>
      <c r="N6">
        <f>SUBTOTAL(109,Table26[Spanish Total])</f>
        <v>271</v>
      </c>
      <c r="O6">
        <f>SUBTOTAL(109,Table26[Tagalog (Filipino) Total])</f>
        <v>0</v>
      </c>
      <c r="P6">
        <f>SUBTOTAL(109,Table26[Vietnamese Total])</f>
        <v>0</v>
      </c>
      <c r="Q6">
        <f>SUBTOTAL(109,Table26[Other Total])</f>
        <v>1</v>
      </c>
    </row>
  </sheetData>
  <conditionalFormatting sqref="A1:B2">
    <cfRule type="duplicateValues" dxfId="27" priority="1"/>
  </conditionalFormatting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1.54296875" bestFit="1" customWidth="1"/>
    <col min="2" max="2" width="31.08984375" customWidth="1"/>
    <col min="3" max="3" width="16.90625" customWidth="1"/>
    <col min="4" max="4" width="7.6328125" customWidth="1"/>
    <col min="5" max="5" width="10.453125" customWidth="1"/>
    <col min="6" max="6" width="7.453125" customWidth="1"/>
    <col min="7" max="7" width="7.90625" customWidth="1"/>
    <col min="8" max="8" width="7.6328125" customWidth="1"/>
    <col min="9" max="9" width="7.1796875" customWidth="1"/>
    <col min="10" max="10" width="9.36328125" customWidth="1"/>
    <col min="11" max="11" width="7.08984375" customWidth="1"/>
    <col min="12" max="12" width="7" customWidth="1"/>
    <col min="13" max="13" width="9.08984375" customWidth="1"/>
    <col min="14" max="14" width="8.08984375" customWidth="1"/>
    <col min="15" max="15" width="8.90625" customWidth="1"/>
    <col min="16" max="16" width="10.90625" customWidth="1"/>
    <col min="17" max="17" width="7.36328125" customWidth="1"/>
  </cols>
  <sheetData>
    <row r="1" spans="1:17" ht="18" thickBot="1" x14ac:dyDescent="0.35">
      <c r="A1" s="16" t="s">
        <v>154</v>
      </c>
    </row>
    <row r="2" spans="1:17" ht="45.6" thickTop="1" x14ac:dyDescent="0.25">
      <c r="A2" s="2" t="s">
        <v>207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30" x14ac:dyDescent="0.25">
      <c r="A3" s="8" t="s">
        <v>452</v>
      </c>
      <c r="B3" s="2" t="s">
        <v>453</v>
      </c>
      <c r="C3" s="8">
        <v>1</v>
      </c>
      <c r="D3" s="8">
        <v>0</v>
      </c>
      <c r="E3" s="8">
        <v>0</v>
      </c>
      <c r="F3" s="8">
        <v>0</v>
      </c>
      <c r="G3" s="8">
        <v>2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45</v>
      </c>
      <c r="O3" s="8">
        <v>0</v>
      </c>
      <c r="P3" s="8">
        <v>0</v>
      </c>
      <c r="Q3" s="8">
        <v>0</v>
      </c>
    </row>
    <row r="4" spans="1:17" x14ac:dyDescent="0.25">
      <c r="A4" t="s">
        <v>210</v>
      </c>
      <c r="B4" s="12" t="s">
        <v>454</v>
      </c>
      <c r="C4">
        <f>SUBTOTAL(109,Table27[American Sign Language Total])</f>
        <v>1</v>
      </c>
      <c r="D4">
        <f>SUBTOTAL(109,Table27[Arabic Total])</f>
        <v>0</v>
      </c>
      <c r="E4">
        <f>SUBTOTAL(109,Table27[Cantonese Total])</f>
        <v>0</v>
      </c>
      <c r="F4">
        <f>SUBTOTAL(109,Table27[French Total])</f>
        <v>0</v>
      </c>
      <c r="G4">
        <f>SUBTOTAL(109,Table27[German Total])</f>
        <v>2</v>
      </c>
      <c r="H4">
        <f>SUBTOTAL(109,Table27[Hmong Total])</f>
        <v>0</v>
      </c>
      <c r="I4">
        <f>SUBTOTAL(109,Table27[Italian Total])</f>
        <v>0</v>
      </c>
      <c r="J4">
        <f>SUBTOTAL(109,Table27[Japanese Total])</f>
        <v>0</v>
      </c>
      <c r="K4">
        <f>SUBTOTAL(109,Table27[Korean Total])</f>
        <v>0</v>
      </c>
      <c r="L4">
        <f>SUBTOTAL(109,Table27[Latin Total])</f>
        <v>0</v>
      </c>
      <c r="M4">
        <f>SUBTOTAL(109,Table27[Mandarin Total])</f>
        <v>0</v>
      </c>
      <c r="N4">
        <f>SUBTOTAL(109,Table27[Spanish Total])</f>
        <v>45</v>
      </c>
      <c r="O4">
        <f>SUBTOTAL(109,Table27[Tagalog (Filipino) Total])</f>
        <v>0</v>
      </c>
      <c r="P4">
        <f>SUBTOTAL(109,Table27[Vietnamese Total])</f>
        <v>0</v>
      </c>
      <c r="Q4">
        <f>SUBTOTAL(109,Table27[Other Total])</f>
        <v>0</v>
      </c>
    </row>
  </sheetData>
  <conditionalFormatting sqref="A1:B2">
    <cfRule type="duplicateValues" dxfId="26" priority="1"/>
  </conditionalFormatting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1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5.54296875" customWidth="1"/>
    <col min="2" max="2" width="43.81640625" customWidth="1"/>
    <col min="3" max="3" width="16.90625" customWidth="1"/>
    <col min="4" max="4" width="7.90625" customWidth="1"/>
    <col min="5" max="5" width="10.36328125" customWidth="1"/>
    <col min="6" max="6" width="7.6328125" customWidth="1"/>
    <col min="7" max="7" width="8.08984375" customWidth="1"/>
    <col min="8" max="8" width="7.6328125" customWidth="1"/>
    <col min="9" max="9" width="7.1796875" customWidth="1"/>
    <col min="10" max="10" width="9.36328125" customWidth="1"/>
    <col min="11" max="11" width="7.453125" customWidth="1"/>
    <col min="12" max="12" width="7.36328125" customWidth="1"/>
    <col min="13" max="13" width="9.08984375" customWidth="1"/>
    <col min="14" max="14" width="8.453125" customWidth="1"/>
    <col min="15" max="15" width="9.1796875" customWidth="1"/>
    <col min="16" max="16" width="11.08984375" customWidth="1"/>
    <col min="17" max="17" width="7.453125" customWidth="1"/>
  </cols>
  <sheetData>
    <row r="1" spans="1:17" ht="18" thickBot="1" x14ac:dyDescent="0.35">
      <c r="A1" s="16" t="s">
        <v>9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45" x14ac:dyDescent="0.25">
      <c r="A3" s="8" t="s">
        <v>457</v>
      </c>
      <c r="B3" s="2" t="s">
        <v>467</v>
      </c>
      <c r="C3" s="10">
        <v>37</v>
      </c>
      <c r="D3" s="10">
        <v>3</v>
      </c>
      <c r="E3" s="10">
        <v>0</v>
      </c>
      <c r="F3" s="10">
        <v>79</v>
      </c>
      <c r="G3" s="10">
        <v>0</v>
      </c>
      <c r="H3" s="10">
        <v>0</v>
      </c>
      <c r="I3" s="10">
        <v>0</v>
      </c>
      <c r="J3" s="10">
        <v>12</v>
      </c>
      <c r="K3" s="10">
        <v>91</v>
      </c>
      <c r="L3" s="10">
        <v>0</v>
      </c>
      <c r="M3" s="10">
        <v>13</v>
      </c>
      <c r="N3" s="10">
        <v>802</v>
      </c>
      <c r="O3" s="10">
        <v>1</v>
      </c>
      <c r="P3" s="10">
        <v>14</v>
      </c>
      <c r="Q3" s="10">
        <v>1</v>
      </c>
    </row>
    <row r="4" spans="1:17" x14ac:dyDescent="0.25">
      <c r="A4" s="8" t="s">
        <v>458</v>
      </c>
      <c r="B4" s="2" t="s">
        <v>468</v>
      </c>
      <c r="C4" s="10">
        <v>0</v>
      </c>
      <c r="D4" s="10">
        <v>0</v>
      </c>
      <c r="E4" s="10">
        <v>0</v>
      </c>
      <c r="F4" s="10">
        <v>4</v>
      </c>
      <c r="G4" s="10">
        <v>0</v>
      </c>
      <c r="H4" s="10">
        <v>0</v>
      </c>
      <c r="I4" s="10">
        <v>0</v>
      </c>
      <c r="J4" s="10">
        <v>2</v>
      </c>
      <c r="K4" s="10">
        <v>2</v>
      </c>
      <c r="L4" s="10">
        <v>0</v>
      </c>
      <c r="M4" s="10">
        <v>12</v>
      </c>
      <c r="N4" s="10">
        <v>8</v>
      </c>
      <c r="O4" s="10">
        <v>0</v>
      </c>
      <c r="P4" s="10">
        <v>0</v>
      </c>
      <c r="Q4" s="10">
        <v>0</v>
      </c>
    </row>
    <row r="5" spans="1:17" ht="45" x14ac:dyDescent="0.25">
      <c r="A5" s="8" t="s">
        <v>459</v>
      </c>
      <c r="B5" s="2" t="s">
        <v>469</v>
      </c>
      <c r="C5" s="10">
        <v>25</v>
      </c>
      <c r="D5" s="10">
        <v>0</v>
      </c>
      <c r="E5" s="10">
        <v>0</v>
      </c>
      <c r="F5" s="10">
        <v>151</v>
      </c>
      <c r="G5" s="10">
        <v>39</v>
      </c>
      <c r="H5" s="10">
        <v>0</v>
      </c>
      <c r="I5" s="10">
        <v>2</v>
      </c>
      <c r="J5" s="10">
        <v>12</v>
      </c>
      <c r="K5" s="10">
        <v>2</v>
      </c>
      <c r="L5" s="10">
        <v>0</v>
      </c>
      <c r="M5" s="10">
        <v>21</v>
      </c>
      <c r="N5" s="10">
        <v>710</v>
      </c>
      <c r="O5" s="10">
        <v>0</v>
      </c>
      <c r="P5" s="10">
        <v>0</v>
      </c>
      <c r="Q5" s="10">
        <v>0</v>
      </c>
    </row>
    <row r="6" spans="1:17" ht="30" x14ac:dyDescent="0.25">
      <c r="A6" s="8" t="s">
        <v>460</v>
      </c>
      <c r="B6" s="2" t="s">
        <v>470</v>
      </c>
      <c r="C6" s="10">
        <v>0</v>
      </c>
      <c r="D6" s="10">
        <v>0</v>
      </c>
      <c r="E6" s="10">
        <v>0</v>
      </c>
      <c r="F6" s="10">
        <v>50</v>
      </c>
      <c r="G6" s="10">
        <v>20</v>
      </c>
      <c r="H6" s="10">
        <v>0</v>
      </c>
      <c r="I6" s="10">
        <v>0</v>
      </c>
      <c r="J6" s="10">
        <v>10</v>
      </c>
      <c r="K6" s="10">
        <v>60</v>
      </c>
      <c r="L6" s="10">
        <v>0</v>
      </c>
      <c r="M6" s="10">
        <v>70</v>
      </c>
      <c r="N6" s="10">
        <v>460</v>
      </c>
      <c r="O6" s="10">
        <v>0</v>
      </c>
      <c r="P6" s="10">
        <v>0</v>
      </c>
      <c r="Q6" s="10">
        <v>0</v>
      </c>
    </row>
    <row r="7" spans="1:17" ht="45" x14ac:dyDescent="0.25">
      <c r="A7" s="8" t="s">
        <v>461</v>
      </c>
      <c r="B7" s="2" t="s">
        <v>471</v>
      </c>
      <c r="C7" s="10">
        <v>0</v>
      </c>
      <c r="D7" s="10">
        <v>0</v>
      </c>
      <c r="E7" s="10">
        <v>0</v>
      </c>
      <c r="F7" s="10">
        <v>63</v>
      </c>
      <c r="G7" s="10">
        <v>3</v>
      </c>
      <c r="H7" s="10">
        <v>0</v>
      </c>
      <c r="I7" s="10">
        <v>0</v>
      </c>
      <c r="J7" s="10">
        <v>1</v>
      </c>
      <c r="K7" s="10">
        <v>0</v>
      </c>
      <c r="L7" s="10">
        <v>5</v>
      </c>
      <c r="M7" s="10">
        <v>1</v>
      </c>
      <c r="N7" s="10">
        <v>441</v>
      </c>
      <c r="O7" s="10">
        <v>0</v>
      </c>
      <c r="P7" s="10">
        <v>244</v>
      </c>
      <c r="Q7" s="10">
        <v>0</v>
      </c>
    </row>
    <row r="8" spans="1:17" ht="45" x14ac:dyDescent="0.25">
      <c r="A8" s="8" t="s">
        <v>455</v>
      </c>
      <c r="B8" s="2" t="s">
        <v>472</v>
      </c>
      <c r="C8" s="10">
        <v>0</v>
      </c>
      <c r="D8" s="10">
        <v>0</v>
      </c>
      <c r="E8" s="10">
        <v>0</v>
      </c>
      <c r="F8" s="10">
        <v>85</v>
      </c>
      <c r="G8" s="10">
        <v>0</v>
      </c>
      <c r="H8" s="10">
        <v>0</v>
      </c>
      <c r="I8" s="10">
        <v>0</v>
      </c>
      <c r="J8" s="10">
        <v>60</v>
      </c>
      <c r="K8" s="10">
        <v>0</v>
      </c>
      <c r="L8" s="10">
        <v>0</v>
      </c>
      <c r="M8" s="10">
        <v>25</v>
      </c>
      <c r="N8" s="10">
        <v>805</v>
      </c>
      <c r="O8" s="10">
        <v>0</v>
      </c>
      <c r="P8" s="10">
        <v>20</v>
      </c>
      <c r="Q8" s="10">
        <v>0</v>
      </c>
    </row>
    <row r="9" spans="1:17" ht="30" x14ac:dyDescent="0.25">
      <c r="A9" s="8" t="s">
        <v>94</v>
      </c>
      <c r="B9" s="2" t="s">
        <v>473</v>
      </c>
      <c r="C9" s="10">
        <v>0</v>
      </c>
      <c r="D9" s="10">
        <v>0</v>
      </c>
      <c r="E9" s="10">
        <v>0</v>
      </c>
      <c r="F9" s="10">
        <v>41</v>
      </c>
      <c r="G9" s="10">
        <v>0</v>
      </c>
      <c r="H9" s="10">
        <v>0</v>
      </c>
      <c r="I9" s="10">
        <v>2</v>
      </c>
      <c r="J9" s="10">
        <v>23</v>
      </c>
      <c r="K9" s="10">
        <v>89</v>
      </c>
      <c r="L9" s="10">
        <v>82</v>
      </c>
      <c r="M9" s="10">
        <v>169</v>
      </c>
      <c r="N9" s="10">
        <v>307</v>
      </c>
      <c r="O9" s="10">
        <v>0</v>
      </c>
      <c r="P9" s="10">
        <v>0</v>
      </c>
      <c r="Q9" s="10">
        <v>1</v>
      </c>
    </row>
    <row r="10" spans="1:17" x14ac:dyDescent="0.25">
      <c r="A10" s="8" t="s">
        <v>146</v>
      </c>
      <c r="B10" s="2" t="s">
        <v>474</v>
      </c>
      <c r="C10" s="10">
        <v>0</v>
      </c>
      <c r="D10" s="10">
        <v>0</v>
      </c>
      <c r="E10" s="10">
        <v>0</v>
      </c>
      <c r="F10" s="10">
        <v>28</v>
      </c>
      <c r="G10" s="10">
        <v>1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2</v>
      </c>
      <c r="N10" s="10">
        <v>82</v>
      </c>
      <c r="O10" s="10">
        <v>0</v>
      </c>
      <c r="P10" s="10">
        <v>0</v>
      </c>
      <c r="Q10" s="10">
        <v>0</v>
      </c>
    </row>
    <row r="11" spans="1:17" x14ac:dyDescent="0.25">
      <c r="A11" s="8" t="s">
        <v>462</v>
      </c>
      <c r="B11" s="2" t="s">
        <v>475</v>
      </c>
      <c r="C11" s="10">
        <v>0</v>
      </c>
      <c r="D11" s="10">
        <v>0</v>
      </c>
      <c r="E11" s="10">
        <v>0</v>
      </c>
      <c r="F11" s="10">
        <v>26</v>
      </c>
      <c r="G11" s="10">
        <v>0</v>
      </c>
      <c r="H11" s="10">
        <v>0</v>
      </c>
      <c r="I11" s="10">
        <v>0</v>
      </c>
      <c r="J11" s="10">
        <v>24</v>
      </c>
      <c r="K11" s="10">
        <v>0</v>
      </c>
      <c r="L11" s="10">
        <v>0</v>
      </c>
      <c r="M11" s="10">
        <v>0</v>
      </c>
      <c r="N11" s="10">
        <v>200</v>
      </c>
      <c r="O11" s="10">
        <v>0</v>
      </c>
      <c r="P11" s="10">
        <v>0</v>
      </c>
      <c r="Q11" s="10">
        <v>0</v>
      </c>
    </row>
    <row r="12" spans="1:17" ht="30" x14ac:dyDescent="0.25">
      <c r="A12" s="8" t="s">
        <v>130</v>
      </c>
      <c r="B12" s="2" t="s">
        <v>476</v>
      </c>
      <c r="C12" s="10">
        <v>0</v>
      </c>
      <c r="D12" s="10">
        <v>0</v>
      </c>
      <c r="E12" s="10">
        <v>0</v>
      </c>
      <c r="F12" s="10">
        <v>50</v>
      </c>
      <c r="G12" s="10">
        <v>1</v>
      </c>
      <c r="H12" s="10">
        <v>0</v>
      </c>
      <c r="I12" s="10">
        <v>0</v>
      </c>
      <c r="J12" s="10">
        <v>0</v>
      </c>
      <c r="K12" s="10">
        <v>0</v>
      </c>
      <c r="L12" s="10">
        <v>12</v>
      </c>
      <c r="M12" s="10">
        <v>24</v>
      </c>
      <c r="N12" s="10">
        <v>260</v>
      </c>
      <c r="O12" s="10">
        <v>0</v>
      </c>
      <c r="P12" s="10">
        <v>0</v>
      </c>
      <c r="Q12" s="10">
        <v>0</v>
      </c>
    </row>
    <row r="13" spans="1:17" ht="30" x14ac:dyDescent="0.25">
      <c r="A13" s="8" t="s">
        <v>464</v>
      </c>
      <c r="B13" s="2" t="s">
        <v>477</v>
      </c>
      <c r="C13" s="10">
        <v>0</v>
      </c>
      <c r="D13" s="10">
        <v>0</v>
      </c>
      <c r="E13" s="10">
        <v>0</v>
      </c>
      <c r="F13" s="10">
        <v>86</v>
      </c>
      <c r="G13" s="10">
        <v>11</v>
      </c>
      <c r="H13" s="10">
        <v>0</v>
      </c>
      <c r="I13" s="10">
        <v>1</v>
      </c>
      <c r="J13" s="10">
        <v>2</v>
      </c>
      <c r="K13" s="10">
        <v>0</v>
      </c>
      <c r="L13" s="10">
        <v>0</v>
      </c>
      <c r="M13" s="10">
        <v>11</v>
      </c>
      <c r="N13" s="10">
        <v>291</v>
      </c>
      <c r="O13" s="10">
        <v>0</v>
      </c>
      <c r="P13" s="10">
        <v>0</v>
      </c>
      <c r="Q13" s="10">
        <v>0</v>
      </c>
    </row>
    <row r="14" spans="1:17" ht="30" x14ac:dyDescent="0.25">
      <c r="A14" s="8" t="s">
        <v>465</v>
      </c>
      <c r="B14" s="2" t="s">
        <v>479</v>
      </c>
      <c r="C14" s="10">
        <v>0</v>
      </c>
      <c r="D14" s="10">
        <v>0</v>
      </c>
      <c r="E14" s="10">
        <v>0</v>
      </c>
      <c r="F14" s="10">
        <v>23</v>
      </c>
      <c r="G14" s="10">
        <v>11</v>
      </c>
      <c r="H14" s="10">
        <v>0</v>
      </c>
      <c r="I14" s="10">
        <v>0</v>
      </c>
      <c r="J14" s="10">
        <v>29</v>
      </c>
      <c r="K14" s="10">
        <v>3</v>
      </c>
      <c r="L14" s="10">
        <v>0</v>
      </c>
      <c r="M14" s="10">
        <v>26</v>
      </c>
      <c r="N14" s="10">
        <v>325</v>
      </c>
      <c r="O14" s="10">
        <v>0</v>
      </c>
      <c r="P14" s="10">
        <v>0</v>
      </c>
      <c r="Q14" s="10">
        <v>0</v>
      </c>
    </row>
    <row r="15" spans="1:17" ht="30" x14ac:dyDescent="0.25">
      <c r="A15" s="8" t="s">
        <v>466</v>
      </c>
      <c r="B15" s="2" t="s">
        <v>478</v>
      </c>
      <c r="C15" s="10">
        <v>3</v>
      </c>
      <c r="D15" s="10">
        <v>0</v>
      </c>
      <c r="E15" s="10">
        <v>0</v>
      </c>
      <c r="F15" s="10">
        <v>72</v>
      </c>
      <c r="G15" s="10">
        <v>7</v>
      </c>
      <c r="H15" s="10">
        <v>0</v>
      </c>
      <c r="I15" s="10">
        <v>0</v>
      </c>
      <c r="J15" s="10">
        <v>3</v>
      </c>
      <c r="K15" s="10">
        <v>3</v>
      </c>
      <c r="L15" s="10">
        <v>0</v>
      </c>
      <c r="M15" s="10">
        <v>9</v>
      </c>
      <c r="N15" s="10">
        <v>329</v>
      </c>
      <c r="O15" s="10">
        <v>0</v>
      </c>
      <c r="P15" s="10">
        <v>0</v>
      </c>
      <c r="Q15" s="10">
        <v>0</v>
      </c>
    </row>
    <row r="16" spans="1:17" ht="75" x14ac:dyDescent="0.25">
      <c r="A16" s="8" t="s">
        <v>456</v>
      </c>
      <c r="B16" s="2" t="s">
        <v>480</v>
      </c>
      <c r="C16" s="10">
        <v>5</v>
      </c>
      <c r="D16" s="10">
        <v>0</v>
      </c>
      <c r="E16" s="10">
        <v>0</v>
      </c>
      <c r="F16" s="10">
        <v>59</v>
      </c>
      <c r="G16" s="10">
        <v>0</v>
      </c>
      <c r="H16" s="10">
        <v>0</v>
      </c>
      <c r="I16" s="10">
        <v>0</v>
      </c>
      <c r="J16" s="10">
        <v>1</v>
      </c>
      <c r="K16" s="10">
        <v>0</v>
      </c>
      <c r="L16" s="10">
        <v>0</v>
      </c>
      <c r="M16" s="10">
        <v>20</v>
      </c>
      <c r="N16" s="10">
        <v>873</v>
      </c>
      <c r="O16" s="10">
        <v>1</v>
      </c>
      <c r="P16" s="10">
        <v>1</v>
      </c>
      <c r="Q16" s="10">
        <v>0</v>
      </c>
    </row>
    <row r="17" spans="1:17" ht="30" x14ac:dyDescent="0.25">
      <c r="A17" s="2" t="s">
        <v>463</v>
      </c>
      <c r="B17" s="2" t="s">
        <v>22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19</v>
      </c>
      <c r="O17" s="10">
        <v>0</v>
      </c>
      <c r="P17" s="10">
        <v>0</v>
      </c>
      <c r="Q17" s="10">
        <v>2</v>
      </c>
    </row>
    <row r="18" spans="1:17" x14ac:dyDescent="0.25">
      <c r="A18" s="8" t="s">
        <v>10</v>
      </c>
      <c r="B18" s="2" t="s">
        <v>481</v>
      </c>
      <c r="C18" s="10">
        <v>0</v>
      </c>
      <c r="D18" s="10">
        <v>0</v>
      </c>
      <c r="E18" s="10">
        <v>95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95</v>
      </c>
      <c r="M18" s="10">
        <v>0</v>
      </c>
      <c r="N18" s="10">
        <v>510</v>
      </c>
      <c r="O18" s="10">
        <v>0</v>
      </c>
      <c r="P18" s="10">
        <v>0</v>
      </c>
      <c r="Q18" s="10">
        <v>0</v>
      </c>
    </row>
    <row r="19" spans="1:17" ht="15.6" x14ac:dyDescent="0.3">
      <c r="A19" t="s">
        <v>483</v>
      </c>
      <c r="B19" s="13" t="s">
        <v>482</v>
      </c>
      <c r="C19" s="5">
        <f>SUBTOTAL(109,Table28[American Sign Language Total])</f>
        <v>70</v>
      </c>
      <c r="D19" s="5">
        <f>SUBTOTAL(109,Table28[Arabic Total])</f>
        <v>3</v>
      </c>
      <c r="E19" s="5">
        <f>SUBTOTAL(109,Table28[Cantonese Total])</f>
        <v>95</v>
      </c>
      <c r="F19" s="5">
        <f>SUBTOTAL(109,Table28[French Total])</f>
        <v>817</v>
      </c>
      <c r="G19" s="5">
        <f>SUBTOTAL(109,Table28[German Total])</f>
        <v>93</v>
      </c>
      <c r="H19" s="5">
        <f>SUBTOTAL(109,Table28[Hmong Total])</f>
        <v>0</v>
      </c>
      <c r="I19" s="5">
        <f>SUBTOTAL(109,Table28[Italian Total])</f>
        <v>5</v>
      </c>
      <c r="J19" s="5">
        <f>SUBTOTAL(109,Table28[Japanese Total])</f>
        <v>179</v>
      </c>
      <c r="K19" s="5">
        <f>SUBTOTAL(109,Table28[Korean Total])</f>
        <v>250</v>
      </c>
      <c r="L19" s="5">
        <f>SUBTOTAL(109,Table28[Latin Total])</f>
        <v>194</v>
      </c>
      <c r="M19" s="5">
        <f>SUBTOTAL(109,Table28[Mandarin Total])</f>
        <v>403</v>
      </c>
      <c r="N19" s="5">
        <f>SUBTOTAL(109,Table28[Spanish Total])</f>
        <v>6422</v>
      </c>
      <c r="O19" s="5">
        <f>SUBTOTAL(109,Table28[Tagalog (Filipino) Total])</f>
        <v>2</v>
      </c>
      <c r="P19" s="5">
        <f>SUBTOTAL(109,Table28[Vietnamese Total])</f>
        <v>279</v>
      </c>
      <c r="Q19" s="5">
        <f>SUBTOTAL(109,Table28[Other Total])</f>
        <v>4</v>
      </c>
    </row>
  </sheetData>
  <sortState xmlns:xlrd2="http://schemas.microsoft.com/office/spreadsheetml/2017/richdata2" ref="A2:BD20">
    <sortCondition ref="A2:A20"/>
  </sortState>
  <conditionalFormatting sqref="A1:B2">
    <cfRule type="duplicateValues" dxfId="25" priority="1"/>
  </conditionalFormatting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8"/>
  <sheetViews>
    <sheetView workbookViewId="0"/>
  </sheetViews>
  <sheetFormatPr defaultColWidth="9.08984375" defaultRowHeight="15" x14ac:dyDescent="0.25"/>
  <cols>
    <col min="1" max="1" width="22.6328125" bestFit="1" customWidth="1"/>
    <col min="2" max="2" width="28.08984375" customWidth="1"/>
    <col min="3" max="3" width="16.36328125" customWidth="1"/>
    <col min="4" max="4" width="7.1796875" customWidth="1"/>
    <col min="5" max="5" width="10.08984375" customWidth="1"/>
    <col min="6" max="6" width="7.1796875" customWidth="1"/>
    <col min="7" max="7" width="7.6328125" customWidth="1"/>
    <col min="8" max="8" width="7.36328125" customWidth="1"/>
    <col min="9" max="9" width="7.08984375" customWidth="1"/>
    <col min="10" max="10" width="9.1796875" customWidth="1"/>
    <col min="11" max="11" width="7.36328125" customWidth="1"/>
    <col min="12" max="12" width="7" customWidth="1"/>
    <col min="13" max="13" width="9.36328125" customWidth="1"/>
    <col min="14" max="14" width="8.453125" customWidth="1"/>
    <col min="15" max="15" width="9.08984375" customWidth="1"/>
    <col min="16" max="16" width="11.08984375" customWidth="1"/>
    <col min="17" max="17" width="7.08984375" customWidth="1"/>
  </cols>
  <sheetData>
    <row r="1" spans="1:17" ht="18" thickBot="1" x14ac:dyDescent="0.35">
      <c r="A1" s="16" t="s">
        <v>49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30" x14ac:dyDescent="0.25">
      <c r="A3" s="8" t="s">
        <v>484</v>
      </c>
      <c r="B3" s="2" t="s">
        <v>489</v>
      </c>
      <c r="C3" s="8">
        <v>25</v>
      </c>
      <c r="D3" s="8">
        <v>0</v>
      </c>
      <c r="E3" s="8">
        <v>0</v>
      </c>
      <c r="F3" s="8">
        <v>17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135</v>
      </c>
      <c r="O3" s="8">
        <v>0</v>
      </c>
      <c r="P3" s="8">
        <v>0</v>
      </c>
      <c r="Q3" s="8">
        <v>2</v>
      </c>
    </row>
    <row r="4" spans="1:17" ht="60" x14ac:dyDescent="0.25">
      <c r="A4" s="8" t="s">
        <v>485</v>
      </c>
      <c r="B4" s="2" t="s">
        <v>490</v>
      </c>
      <c r="C4" s="8">
        <v>0</v>
      </c>
      <c r="D4" s="8">
        <v>0</v>
      </c>
      <c r="E4" s="8">
        <v>0</v>
      </c>
      <c r="F4" s="8">
        <v>134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20</v>
      </c>
      <c r="N4" s="8">
        <v>270</v>
      </c>
      <c r="O4" s="8">
        <v>0</v>
      </c>
      <c r="P4" s="8">
        <v>0</v>
      </c>
      <c r="Q4" s="8">
        <v>1</v>
      </c>
    </row>
    <row r="5" spans="1:17" ht="30" x14ac:dyDescent="0.25">
      <c r="A5" s="8" t="s">
        <v>486</v>
      </c>
      <c r="B5" s="2" t="s">
        <v>491</v>
      </c>
      <c r="C5" s="8">
        <v>0</v>
      </c>
      <c r="D5" s="8">
        <v>1</v>
      </c>
      <c r="E5" s="8">
        <v>4</v>
      </c>
      <c r="F5" s="8">
        <v>59</v>
      </c>
      <c r="G5" s="8">
        <v>0</v>
      </c>
      <c r="H5" s="8">
        <v>0</v>
      </c>
      <c r="I5" s="8">
        <v>1</v>
      </c>
      <c r="J5" s="8">
        <v>0</v>
      </c>
      <c r="K5" s="8">
        <v>0</v>
      </c>
      <c r="L5" s="8">
        <v>0</v>
      </c>
      <c r="M5" s="8">
        <v>0</v>
      </c>
      <c r="N5" s="8">
        <v>329</v>
      </c>
      <c r="O5" s="8">
        <v>0</v>
      </c>
      <c r="P5" s="8">
        <v>0</v>
      </c>
      <c r="Q5" s="8">
        <v>0</v>
      </c>
    </row>
    <row r="6" spans="1:17" x14ac:dyDescent="0.25">
      <c r="A6" s="8" t="s">
        <v>487</v>
      </c>
      <c r="B6" s="2" t="s">
        <v>492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70</v>
      </c>
      <c r="O6" s="8">
        <v>0</v>
      </c>
      <c r="P6" s="8">
        <v>0</v>
      </c>
      <c r="Q6" s="8">
        <v>0</v>
      </c>
    </row>
    <row r="7" spans="1:17" x14ac:dyDescent="0.25">
      <c r="A7" s="8" t="s">
        <v>50</v>
      </c>
      <c r="B7" s="2" t="s">
        <v>488</v>
      </c>
      <c r="C7" s="8">
        <v>0</v>
      </c>
      <c r="D7" s="8">
        <v>0</v>
      </c>
      <c r="E7" s="8">
        <v>0</v>
      </c>
      <c r="F7" s="8">
        <v>4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31</v>
      </c>
      <c r="O7" s="8">
        <v>0</v>
      </c>
      <c r="P7" s="8">
        <v>0</v>
      </c>
      <c r="Q7" s="8">
        <v>0</v>
      </c>
    </row>
    <row r="8" spans="1:17" x14ac:dyDescent="0.25">
      <c r="A8" t="s">
        <v>316</v>
      </c>
      <c r="B8" s="13" t="s">
        <v>493</v>
      </c>
      <c r="C8">
        <f>SUBTOTAL(109,Table29[American Sign Language Total])</f>
        <v>25</v>
      </c>
      <c r="D8">
        <f>SUBTOTAL(109,Table29[Arabic Total])</f>
        <v>1</v>
      </c>
      <c r="E8">
        <f>SUBTOTAL(109,Table29[Cantonese Total])</f>
        <v>4</v>
      </c>
      <c r="F8">
        <f>SUBTOTAL(109,Table29[French Total])</f>
        <v>214</v>
      </c>
      <c r="G8">
        <f>SUBTOTAL(109,Table29[German Total])</f>
        <v>0</v>
      </c>
      <c r="H8">
        <f>SUBTOTAL(109,Table29[Hmong Total])</f>
        <v>0</v>
      </c>
      <c r="I8">
        <f>SUBTOTAL(109,Table29[Italian Total])</f>
        <v>1</v>
      </c>
      <c r="J8">
        <f>SUBTOTAL(109,Table29[Japanese Total])</f>
        <v>0</v>
      </c>
      <c r="K8">
        <f>SUBTOTAL(109,Table29[Korean Total])</f>
        <v>0</v>
      </c>
      <c r="L8">
        <f>SUBTOTAL(109,Table29[Latin Total])</f>
        <v>0</v>
      </c>
      <c r="M8">
        <f>SUBTOTAL(109,Table29[Mandarin Total])</f>
        <v>20</v>
      </c>
      <c r="N8">
        <f>SUBTOTAL(109,Table29[Spanish Total])</f>
        <v>835</v>
      </c>
      <c r="O8">
        <f>SUBTOTAL(109,Table29[Tagalog (Filipino) Total])</f>
        <v>0</v>
      </c>
      <c r="P8">
        <f>SUBTOTAL(109,Table29[Vietnamese Total])</f>
        <v>0</v>
      </c>
      <c r="Q8">
        <f>SUBTOTAL(109,Table29[Other Total])</f>
        <v>3</v>
      </c>
    </row>
  </sheetData>
  <conditionalFormatting sqref="A1:B2">
    <cfRule type="duplicateValues" dxfId="24" priority="1"/>
  </conditionalFormatting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3.453125" customWidth="1"/>
    <col min="2" max="2" width="22.90625" bestFit="1" customWidth="1"/>
    <col min="3" max="3" width="16.6328125" customWidth="1"/>
    <col min="4" max="4" width="7.36328125" customWidth="1"/>
    <col min="5" max="5" width="10.453125" customWidth="1"/>
    <col min="6" max="6" width="7.36328125" customWidth="1"/>
    <col min="7" max="7" width="8" customWidth="1"/>
    <col min="8" max="8" width="7.36328125" customWidth="1"/>
    <col min="9" max="9" width="7.08984375" customWidth="1"/>
    <col min="10" max="10" width="9.54296875" customWidth="1"/>
    <col min="11" max="11" width="7.453125" customWidth="1"/>
    <col min="12" max="12" width="7.08984375" customWidth="1"/>
    <col min="13" max="13" width="9.08984375" customWidth="1"/>
    <col min="14" max="14" width="8.08984375" customWidth="1"/>
    <col min="15" max="15" width="8.90625" customWidth="1"/>
    <col min="16" max="16" width="10.90625" customWidth="1"/>
    <col min="17" max="17" width="7" customWidth="1"/>
  </cols>
  <sheetData>
    <row r="1" spans="1:17" ht="18" thickBot="1" x14ac:dyDescent="0.35">
      <c r="A1" s="16" t="s">
        <v>126</v>
      </c>
    </row>
    <row r="2" spans="1:17" ht="45.6" thickTop="1" x14ac:dyDescent="0.25">
      <c r="A2" s="2" t="s">
        <v>207</v>
      </c>
      <c r="B2" s="2" t="s">
        <v>219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t="s">
        <v>504</v>
      </c>
      <c r="B3" t="s">
        <v>505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2</v>
      </c>
      <c r="O3">
        <v>0</v>
      </c>
      <c r="P3">
        <v>0</v>
      </c>
      <c r="Q3">
        <v>0</v>
      </c>
    </row>
    <row r="4" spans="1:17" x14ac:dyDescent="0.25">
      <c r="A4" t="s">
        <v>210</v>
      </c>
      <c r="B4" s="12" t="s">
        <v>221</v>
      </c>
      <c r="C4">
        <f>SUBTOTAL(109,Table31[American Sign Language Total])</f>
        <v>0</v>
      </c>
      <c r="D4">
        <f>SUBTOTAL(109,Table31[Arabic Total])</f>
        <v>0</v>
      </c>
      <c r="E4">
        <f>SUBTOTAL(109,Table31[Cantonese Total])</f>
        <v>0</v>
      </c>
      <c r="F4">
        <f>SUBTOTAL(109,Table31[French Total])</f>
        <v>0</v>
      </c>
      <c r="G4">
        <f>SUBTOTAL(109,Table31[German Total])</f>
        <v>0</v>
      </c>
      <c r="H4">
        <f>SUBTOTAL(109,Table31[Hmong Total])</f>
        <v>0</v>
      </c>
      <c r="I4">
        <f>SUBTOTAL(109,Table31[Italian Total])</f>
        <v>0</v>
      </c>
      <c r="J4">
        <f>SUBTOTAL(109,Table31[Japanese Total])</f>
        <v>0</v>
      </c>
      <c r="K4">
        <f>SUBTOTAL(109,Table31[Korean Total])</f>
        <v>0</v>
      </c>
      <c r="L4">
        <f>SUBTOTAL(109,Table31[Latin Total])</f>
        <v>0</v>
      </c>
      <c r="M4">
        <f>SUBTOTAL(109,Table31[Mandarin Total])</f>
        <v>0</v>
      </c>
      <c r="N4">
        <f>SUBTOTAL(109,Table31[Spanish Total])</f>
        <v>2</v>
      </c>
      <c r="O4">
        <f>SUBTOTAL(109,Table31[Tagalog (Filipino) Total])</f>
        <v>0</v>
      </c>
      <c r="P4">
        <f>SUBTOTAL(109,Table31[Vietnamese Total])</f>
        <v>0</v>
      </c>
      <c r="Q4">
        <f>SUBTOTAL(109,Table31[Other Total])</f>
        <v>0</v>
      </c>
    </row>
  </sheetData>
  <conditionalFormatting sqref="A1:B2">
    <cfRule type="duplicateValues" dxfId="23" priority="1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0" customWidth="1"/>
    <col min="2" max="2" width="24.90625" customWidth="1"/>
    <col min="3" max="3" width="15" customWidth="1"/>
    <col min="4" max="4" width="6.36328125" customWidth="1"/>
    <col min="5" max="5" width="10.1796875" customWidth="1"/>
    <col min="6" max="6" width="6.90625" customWidth="1"/>
    <col min="7" max="7" width="7.6328125" customWidth="1"/>
    <col min="8" max="8" width="7.36328125" customWidth="1"/>
    <col min="9" max="9" width="6.453125" customWidth="1"/>
    <col min="10" max="10" width="9.08984375" customWidth="1"/>
    <col min="11" max="11" width="7" customWidth="1"/>
    <col min="12" max="12" width="5.1796875" customWidth="1"/>
    <col min="13" max="13" width="9.08984375" customWidth="1"/>
    <col min="14" max="14" width="8.1796875" customWidth="1"/>
    <col min="15" max="15" width="8.90625" customWidth="1"/>
    <col min="16" max="16" width="11.08984375" customWidth="1"/>
    <col min="17" max="17" width="5.90625" customWidth="1"/>
  </cols>
  <sheetData>
    <row r="1" spans="1:17" ht="18" thickBot="1" x14ac:dyDescent="0.35">
      <c r="A1" s="9" t="s">
        <v>133</v>
      </c>
    </row>
    <row r="2" spans="1:17" ht="45.6" thickTop="1" x14ac:dyDescent="0.25">
      <c r="A2" s="2" t="s">
        <v>207</v>
      </c>
      <c r="B2" s="8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s="8" t="s">
        <v>208</v>
      </c>
      <c r="B3" s="2" t="s">
        <v>209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10</v>
      </c>
      <c r="N3" s="8">
        <v>0</v>
      </c>
      <c r="O3" s="8">
        <v>0</v>
      </c>
      <c r="P3" s="8">
        <v>0</v>
      </c>
      <c r="Q3" s="8">
        <v>0</v>
      </c>
    </row>
    <row r="4" spans="1:17" x14ac:dyDescent="0.25">
      <c r="A4" t="s">
        <v>210</v>
      </c>
      <c r="B4" s="12" t="s">
        <v>211</v>
      </c>
      <c r="C4">
        <f>SUBTOTAL(109,Table4[American Sign Language Total])</f>
        <v>0</v>
      </c>
      <c r="D4">
        <f>SUBTOTAL(109,Table4[Arabic Total])</f>
        <v>0</v>
      </c>
      <c r="E4">
        <f>SUBTOTAL(109,Table4[Cantonese Total])</f>
        <v>0</v>
      </c>
      <c r="F4">
        <f>SUBTOTAL(109,Table4[French Total])</f>
        <v>0</v>
      </c>
      <c r="G4">
        <f>SUBTOTAL(109,Table4[German Total])</f>
        <v>0</v>
      </c>
      <c r="H4">
        <f>SUBTOTAL(109,Table4[Hmong Total])</f>
        <v>0</v>
      </c>
      <c r="I4">
        <f>SUBTOTAL(109,Table4[Italian Total])</f>
        <v>0</v>
      </c>
      <c r="J4">
        <f>SUBTOTAL(109,Table4[Japanese Total])</f>
        <v>0</v>
      </c>
      <c r="K4">
        <f>SUBTOTAL(109,Table4[Korean Total])</f>
        <v>0</v>
      </c>
      <c r="L4">
        <f>SUBTOTAL(109,Table4[Latin Total])</f>
        <v>0</v>
      </c>
      <c r="M4">
        <f>SUBTOTAL(109,Table4[Mandarin Total])</f>
        <v>10</v>
      </c>
      <c r="N4">
        <f>SUBTOTAL(109,Table4[Spanish Total])</f>
        <v>0</v>
      </c>
      <c r="O4">
        <f>SUBTOTAL(109,Table4[Tagalog (Filipino) Total])</f>
        <v>0</v>
      </c>
      <c r="P4">
        <f>SUBTOTAL(109,Table4[Vietnamese Total])</f>
        <v>0</v>
      </c>
      <c r="Q4">
        <f>SUBTOTAL(109,Table4[Other Total])</f>
        <v>0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23"/>
  <sheetViews>
    <sheetView workbookViewId="0"/>
  </sheetViews>
  <sheetFormatPr defaultRowHeight="15" x14ac:dyDescent="0.25"/>
  <cols>
    <col min="1" max="1" width="27.6328125" bestFit="1" customWidth="1"/>
    <col min="2" max="2" width="31.08984375" customWidth="1"/>
    <col min="3" max="3" width="16.36328125" customWidth="1"/>
    <col min="4" max="4" width="7.453125" customWidth="1"/>
    <col min="5" max="5" width="10.36328125" customWidth="1"/>
    <col min="6" max="6" width="7.36328125" customWidth="1"/>
    <col min="7" max="7" width="7.81640625" customWidth="1"/>
    <col min="8" max="9" width="7.1796875" customWidth="1"/>
    <col min="10" max="10" width="9.08984375" customWidth="1"/>
    <col min="11" max="11" width="7.08984375" customWidth="1"/>
    <col min="12" max="12" width="7.1796875" customWidth="1"/>
    <col min="13" max="13" width="9.08984375" customWidth="1"/>
    <col min="14" max="14" width="8.08984375" customWidth="1"/>
    <col min="15" max="15" width="8.90625" customWidth="1"/>
    <col min="16" max="16" width="10.90625" customWidth="1"/>
    <col min="17" max="17" width="7.1796875" customWidth="1"/>
  </cols>
  <sheetData>
    <row r="1" spans="1:17" ht="18" thickBot="1" x14ac:dyDescent="0.35">
      <c r="A1" s="16" t="s">
        <v>0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30" x14ac:dyDescent="0.25">
      <c r="A3" s="2" t="s">
        <v>497</v>
      </c>
      <c r="B3" s="2" t="s">
        <v>508</v>
      </c>
      <c r="C3" s="10">
        <v>2</v>
      </c>
      <c r="D3" s="10">
        <v>0</v>
      </c>
      <c r="E3" s="10">
        <v>0</v>
      </c>
      <c r="F3" s="10">
        <v>5</v>
      </c>
      <c r="G3" s="10">
        <v>1</v>
      </c>
      <c r="H3" s="10">
        <v>0</v>
      </c>
      <c r="I3" s="10">
        <v>0</v>
      </c>
      <c r="J3" s="10">
        <v>0</v>
      </c>
      <c r="K3" s="10">
        <v>1</v>
      </c>
      <c r="L3" s="10">
        <v>0</v>
      </c>
      <c r="M3" s="10">
        <v>0</v>
      </c>
      <c r="N3" s="10">
        <v>78</v>
      </c>
      <c r="O3" s="10">
        <v>0</v>
      </c>
      <c r="P3" s="10">
        <v>0</v>
      </c>
      <c r="Q3" s="10">
        <v>0</v>
      </c>
    </row>
    <row r="4" spans="1:17" x14ac:dyDescent="0.25">
      <c r="A4" s="2" t="s">
        <v>24</v>
      </c>
      <c r="B4" s="2" t="s">
        <v>509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1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34</v>
      </c>
      <c r="O4" s="10">
        <v>0</v>
      </c>
      <c r="P4" s="10">
        <v>0</v>
      </c>
      <c r="Q4" s="10">
        <v>3</v>
      </c>
    </row>
    <row r="5" spans="1:17" x14ac:dyDescent="0.25">
      <c r="A5" s="2" t="s">
        <v>26</v>
      </c>
      <c r="B5" s="2" t="s">
        <v>510</v>
      </c>
      <c r="C5" s="10">
        <v>0</v>
      </c>
      <c r="D5" s="10">
        <v>0</v>
      </c>
      <c r="E5" s="10">
        <v>0</v>
      </c>
      <c r="F5" s="10">
        <v>2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64</v>
      </c>
      <c r="O5" s="10">
        <v>0</v>
      </c>
      <c r="P5" s="10">
        <v>0</v>
      </c>
      <c r="Q5" s="10">
        <v>0</v>
      </c>
    </row>
    <row r="6" spans="1:17" ht="30" x14ac:dyDescent="0.25">
      <c r="A6" s="2" t="s">
        <v>495</v>
      </c>
      <c r="B6" s="2" t="s">
        <v>494</v>
      </c>
      <c r="C6" s="10">
        <v>6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</row>
    <row r="7" spans="1:17" ht="45" x14ac:dyDescent="0.25">
      <c r="A7" s="2" t="s">
        <v>498</v>
      </c>
      <c r="B7" s="2" t="s">
        <v>511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146</v>
      </c>
      <c r="O7" s="10">
        <v>0</v>
      </c>
      <c r="P7" s="10">
        <v>0</v>
      </c>
      <c r="Q7" s="10">
        <v>0</v>
      </c>
    </row>
    <row r="8" spans="1:17" s="15" customFormat="1" x14ac:dyDescent="0.25">
      <c r="A8" s="17" t="s">
        <v>1</v>
      </c>
      <c r="B8" s="2" t="s">
        <v>512</v>
      </c>
      <c r="C8" s="10">
        <v>0</v>
      </c>
      <c r="D8" s="18">
        <v>0</v>
      </c>
      <c r="E8" s="18">
        <v>0</v>
      </c>
      <c r="F8" s="18">
        <v>33</v>
      </c>
      <c r="G8" s="18">
        <v>0</v>
      </c>
      <c r="H8" s="18">
        <v>0</v>
      </c>
      <c r="I8" s="18">
        <v>0</v>
      </c>
      <c r="J8" s="18">
        <v>1</v>
      </c>
      <c r="K8" s="18">
        <v>2</v>
      </c>
      <c r="L8" s="18">
        <v>0</v>
      </c>
      <c r="M8" s="18">
        <v>20</v>
      </c>
      <c r="N8" s="18">
        <v>397</v>
      </c>
      <c r="O8" s="18">
        <v>0</v>
      </c>
      <c r="P8" s="18">
        <v>0</v>
      </c>
      <c r="Q8" s="18">
        <v>0</v>
      </c>
    </row>
    <row r="9" spans="1:17" ht="45" x14ac:dyDescent="0.25">
      <c r="A9" s="2" t="s">
        <v>499</v>
      </c>
      <c r="B9" s="2" t="s">
        <v>513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346</v>
      </c>
      <c r="O9" s="10">
        <v>0</v>
      </c>
      <c r="P9" s="10">
        <v>0</v>
      </c>
      <c r="Q9" s="10">
        <v>0</v>
      </c>
    </row>
    <row r="10" spans="1:17" ht="45" x14ac:dyDescent="0.25">
      <c r="A10" s="2" t="s">
        <v>27</v>
      </c>
      <c r="B10" s="2" t="s">
        <v>514</v>
      </c>
      <c r="C10" s="10">
        <v>0</v>
      </c>
      <c r="D10" s="10">
        <v>1</v>
      </c>
      <c r="E10" s="10">
        <v>0</v>
      </c>
      <c r="F10" s="10">
        <v>2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1</v>
      </c>
      <c r="N10" s="10">
        <v>119</v>
      </c>
      <c r="O10" s="10">
        <v>3</v>
      </c>
      <c r="P10" s="10">
        <v>0</v>
      </c>
      <c r="Q10" s="10">
        <v>0</v>
      </c>
    </row>
    <row r="11" spans="1:17" ht="30" x14ac:dyDescent="0.25">
      <c r="A11" s="2" t="s">
        <v>500</v>
      </c>
      <c r="B11" s="2" t="s">
        <v>515</v>
      </c>
      <c r="C11" s="10">
        <v>0</v>
      </c>
      <c r="D11" s="10">
        <v>1</v>
      </c>
      <c r="E11" s="10">
        <v>0</v>
      </c>
      <c r="F11" s="10">
        <v>1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75</v>
      </c>
      <c r="O11" s="10">
        <v>0</v>
      </c>
      <c r="P11" s="10">
        <v>0</v>
      </c>
      <c r="Q11" s="10">
        <v>0</v>
      </c>
    </row>
    <row r="12" spans="1:17" ht="30" x14ac:dyDescent="0.25">
      <c r="A12" s="2" t="s">
        <v>29</v>
      </c>
      <c r="B12" s="2" t="s">
        <v>516</v>
      </c>
      <c r="C12" s="10">
        <v>1</v>
      </c>
      <c r="D12" s="10">
        <v>1</v>
      </c>
      <c r="E12" s="10">
        <v>0</v>
      </c>
      <c r="F12" s="10">
        <v>4</v>
      </c>
      <c r="G12" s="10">
        <v>0</v>
      </c>
      <c r="H12" s="10">
        <v>0</v>
      </c>
      <c r="I12" s="10">
        <v>0</v>
      </c>
      <c r="J12" s="10">
        <v>3</v>
      </c>
      <c r="K12" s="10">
        <v>1</v>
      </c>
      <c r="L12" s="10">
        <v>0</v>
      </c>
      <c r="M12" s="10">
        <v>1</v>
      </c>
      <c r="N12" s="10">
        <v>179</v>
      </c>
      <c r="O12" s="10">
        <v>0</v>
      </c>
      <c r="P12" s="10">
        <v>0</v>
      </c>
      <c r="Q12" s="10">
        <v>0</v>
      </c>
    </row>
    <row r="13" spans="1:17" x14ac:dyDescent="0.25">
      <c r="A13" s="2" t="s">
        <v>496</v>
      </c>
      <c r="B13" s="2" t="s">
        <v>11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12</v>
      </c>
      <c r="O13" s="10">
        <v>0</v>
      </c>
      <c r="P13" s="10">
        <v>0</v>
      </c>
      <c r="Q13" s="10">
        <v>0</v>
      </c>
    </row>
    <row r="14" spans="1:17" ht="45" x14ac:dyDescent="0.25">
      <c r="A14" s="2" t="s">
        <v>17</v>
      </c>
      <c r="B14" s="2" t="s">
        <v>517</v>
      </c>
      <c r="C14" s="10">
        <v>0</v>
      </c>
      <c r="D14" s="10">
        <v>0</v>
      </c>
      <c r="E14" s="10">
        <v>0</v>
      </c>
      <c r="F14" s="10">
        <v>3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119</v>
      </c>
      <c r="O14" s="10">
        <v>1</v>
      </c>
      <c r="P14" s="10">
        <v>0</v>
      </c>
      <c r="Q14" s="10">
        <v>0</v>
      </c>
    </row>
    <row r="15" spans="1:17" s="15" customFormat="1" ht="30" x14ac:dyDescent="0.25">
      <c r="A15" s="20" t="s">
        <v>30</v>
      </c>
      <c r="B15" s="21" t="s">
        <v>795</v>
      </c>
      <c r="C15" s="22">
        <v>58</v>
      </c>
      <c r="D15" s="22">
        <v>0</v>
      </c>
      <c r="E15" s="22">
        <v>0</v>
      </c>
      <c r="F15" s="22">
        <v>28</v>
      </c>
      <c r="G15" s="22">
        <v>13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7</v>
      </c>
      <c r="N15" s="22">
        <v>146</v>
      </c>
      <c r="O15" s="22">
        <v>0</v>
      </c>
      <c r="P15" s="22">
        <v>0</v>
      </c>
      <c r="Q15" s="22">
        <v>0</v>
      </c>
    </row>
    <row r="16" spans="1:17" ht="45" x14ac:dyDescent="0.25">
      <c r="A16" s="2" t="s">
        <v>501</v>
      </c>
      <c r="B16" s="2" t="s">
        <v>518</v>
      </c>
      <c r="C16" s="10">
        <v>0</v>
      </c>
      <c r="D16" s="10">
        <v>0</v>
      </c>
      <c r="E16" s="10">
        <v>0</v>
      </c>
      <c r="F16" s="10">
        <v>45</v>
      </c>
      <c r="G16" s="10">
        <v>2</v>
      </c>
      <c r="H16" s="10">
        <v>0</v>
      </c>
      <c r="I16" s="10">
        <v>0</v>
      </c>
      <c r="J16" s="10">
        <v>0</v>
      </c>
      <c r="K16" s="10">
        <v>0</v>
      </c>
      <c r="L16" s="10">
        <v>28</v>
      </c>
      <c r="M16" s="10">
        <v>0</v>
      </c>
      <c r="N16" s="10">
        <v>179</v>
      </c>
      <c r="O16" s="10">
        <v>0</v>
      </c>
      <c r="P16" s="10">
        <v>0</v>
      </c>
      <c r="Q16" s="10">
        <v>0</v>
      </c>
    </row>
    <row r="17" spans="1:17" x14ac:dyDescent="0.25">
      <c r="A17" s="2" t="s">
        <v>502</v>
      </c>
      <c r="B17" s="2" t="s">
        <v>519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100</v>
      </c>
      <c r="O17" s="10">
        <v>0</v>
      </c>
      <c r="P17" s="10">
        <v>0</v>
      </c>
      <c r="Q17" s="10">
        <v>0</v>
      </c>
    </row>
    <row r="18" spans="1:17" ht="30" x14ac:dyDescent="0.25">
      <c r="A18" s="2" t="s">
        <v>503</v>
      </c>
      <c r="B18" s="2" t="s">
        <v>520</v>
      </c>
      <c r="C18" s="10">
        <v>20</v>
      </c>
      <c r="D18" s="10">
        <v>0</v>
      </c>
      <c r="E18" s="10">
        <v>0</v>
      </c>
      <c r="F18" s="10">
        <v>32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145</v>
      </c>
      <c r="O18" s="10">
        <v>0</v>
      </c>
      <c r="P18" s="10">
        <v>0</v>
      </c>
      <c r="Q18" s="10">
        <v>0</v>
      </c>
    </row>
    <row r="19" spans="1:17" ht="75" x14ac:dyDescent="0.25">
      <c r="A19" s="2" t="s">
        <v>101</v>
      </c>
      <c r="B19" s="2" t="s">
        <v>521</v>
      </c>
      <c r="C19" s="10">
        <v>0</v>
      </c>
      <c r="D19" s="10">
        <v>0</v>
      </c>
      <c r="E19" s="10">
        <v>0</v>
      </c>
      <c r="F19" s="10">
        <v>19</v>
      </c>
      <c r="G19" s="10">
        <v>1</v>
      </c>
      <c r="H19" s="10">
        <v>0</v>
      </c>
      <c r="I19" s="10">
        <v>0</v>
      </c>
      <c r="J19" s="10">
        <v>2</v>
      </c>
      <c r="K19" s="10">
        <v>2</v>
      </c>
      <c r="L19" s="10">
        <v>0</v>
      </c>
      <c r="M19" s="10">
        <v>6</v>
      </c>
      <c r="N19" s="10">
        <v>317</v>
      </c>
      <c r="O19" s="10">
        <v>0</v>
      </c>
      <c r="P19" s="10">
        <v>0</v>
      </c>
      <c r="Q19" s="10">
        <v>0</v>
      </c>
    </row>
    <row r="20" spans="1:17" s="15" customFormat="1" ht="30" x14ac:dyDescent="0.25">
      <c r="A20" s="17" t="s">
        <v>31</v>
      </c>
      <c r="B20" s="2" t="s">
        <v>522</v>
      </c>
      <c r="C20" s="10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124</v>
      </c>
      <c r="O20" s="18">
        <v>0</v>
      </c>
      <c r="P20" s="18">
        <v>0</v>
      </c>
      <c r="Q20" s="18">
        <v>0</v>
      </c>
    </row>
    <row r="21" spans="1:17" s="15" customFormat="1" ht="45" x14ac:dyDescent="0.25">
      <c r="A21" s="20" t="s">
        <v>32</v>
      </c>
      <c r="B21" s="21" t="s">
        <v>523</v>
      </c>
      <c r="C21" s="22">
        <v>60</v>
      </c>
      <c r="D21" s="22">
        <v>0</v>
      </c>
      <c r="E21" s="22">
        <v>0</v>
      </c>
      <c r="F21" s="22">
        <v>27</v>
      </c>
      <c r="G21" s="22">
        <v>0</v>
      </c>
      <c r="H21" s="22">
        <v>0</v>
      </c>
      <c r="I21" s="22">
        <v>1</v>
      </c>
      <c r="J21" s="22">
        <v>1</v>
      </c>
      <c r="K21" s="22">
        <v>0</v>
      </c>
      <c r="L21" s="22">
        <v>0</v>
      </c>
      <c r="M21" s="22">
        <v>1</v>
      </c>
      <c r="N21" s="22">
        <v>366</v>
      </c>
      <c r="O21" s="22">
        <v>0</v>
      </c>
      <c r="P21" s="22">
        <v>0</v>
      </c>
      <c r="Q21" s="22">
        <v>5</v>
      </c>
    </row>
    <row r="22" spans="1:17" ht="30" x14ac:dyDescent="0.25">
      <c r="A22" s="2" t="s">
        <v>33</v>
      </c>
      <c r="B22" s="2" t="s">
        <v>524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198</v>
      </c>
      <c r="O22" s="10">
        <v>0</v>
      </c>
      <c r="P22" s="10">
        <v>0</v>
      </c>
      <c r="Q22" s="10">
        <v>0</v>
      </c>
    </row>
    <row r="23" spans="1:17" x14ac:dyDescent="0.25">
      <c r="A23" t="s">
        <v>507</v>
      </c>
      <c r="B23" s="12" t="s">
        <v>506</v>
      </c>
      <c r="C23" s="5">
        <f>SUBTOTAL(109,Table32[American Sign Language Total])</f>
        <v>147</v>
      </c>
      <c r="D23" s="5">
        <f>SUBTOTAL(109,Table32[Arabic Total])</f>
        <v>3</v>
      </c>
      <c r="E23" s="5">
        <f>SUBTOTAL(109,Table32[Cantonese Total])</f>
        <v>0</v>
      </c>
      <c r="F23" s="5">
        <f>SUBTOTAL(109,Table32[French Total])</f>
        <v>201</v>
      </c>
      <c r="G23" s="5">
        <f>SUBTOTAL(109,Table32[German Total])</f>
        <v>17</v>
      </c>
      <c r="H23" s="5">
        <f>SUBTOTAL(109,Table32[Hmong Total])</f>
        <v>1</v>
      </c>
      <c r="I23" s="5">
        <f>SUBTOTAL(109,Table32[Italian Total])</f>
        <v>1</v>
      </c>
      <c r="J23" s="5">
        <f>SUBTOTAL(109,Table32[Japanese Total])</f>
        <v>7</v>
      </c>
      <c r="K23" s="5">
        <f>SUBTOTAL(109,Table32[Korean Total])</f>
        <v>6</v>
      </c>
      <c r="L23" s="5">
        <f>SUBTOTAL(109,Table32[Latin Total])</f>
        <v>28</v>
      </c>
      <c r="M23" s="5">
        <f>SUBTOTAL(109,Table32[Mandarin Total])</f>
        <v>36</v>
      </c>
      <c r="N23" s="5">
        <f>SUBTOTAL(109,Table32[Spanish Total])</f>
        <v>3144</v>
      </c>
      <c r="O23" s="5">
        <f>SUBTOTAL(109,Table32[Tagalog (Filipino) Total])</f>
        <v>4</v>
      </c>
      <c r="P23" s="5">
        <f>SUBTOTAL(109,Table32[Vietnamese Total])</f>
        <v>0</v>
      </c>
      <c r="Q23" s="5">
        <f>SUBTOTAL(109,Table32[Other Total])</f>
        <v>8</v>
      </c>
    </row>
  </sheetData>
  <sortState xmlns:xlrd2="http://schemas.microsoft.com/office/spreadsheetml/2017/richdata2" ref="A2:BA37">
    <sortCondition ref="A2:A37"/>
  </sortState>
  <conditionalFormatting sqref="A1:B2">
    <cfRule type="duplicateValues" dxfId="22" priority="1"/>
  </conditionalFormatting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1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1" bestFit="1" customWidth="1"/>
    <col min="2" max="2" width="32.36328125" customWidth="1"/>
    <col min="3" max="3" width="16.6328125" customWidth="1"/>
    <col min="4" max="4" width="7.453125" customWidth="1"/>
    <col min="5" max="5" width="10.1796875" customWidth="1"/>
    <col min="6" max="6" width="7.36328125" customWidth="1"/>
    <col min="7" max="7" width="7.81640625" customWidth="1"/>
    <col min="8" max="8" width="7.54296875" customWidth="1"/>
    <col min="9" max="9" width="7.453125" customWidth="1"/>
    <col min="10" max="10" width="9.36328125" customWidth="1"/>
    <col min="11" max="11" width="7.1796875" customWidth="1"/>
    <col min="12" max="12" width="7.36328125" customWidth="1"/>
    <col min="13" max="13" width="9.08984375" customWidth="1"/>
    <col min="14" max="14" width="8.08984375" customWidth="1"/>
    <col min="15" max="15" width="9" customWidth="1"/>
    <col min="16" max="16" width="11.08984375" customWidth="1"/>
    <col min="17" max="17" width="7.36328125" customWidth="1"/>
  </cols>
  <sheetData>
    <row r="1" spans="1:17" ht="18" thickBot="1" x14ac:dyDescent="0.35">
      <c r="A1" s="16" t="s">
        <v>23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s="2" t="s">
        <v>782</v>
      </c>
      <c r="B3" s="2" t="s">
        <v>783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32</v>
      </c>
      <c r="O3" s="2">
        <v>0</v>
      </c>
      <c r="P3" s="2">
        <v>0</v>
      </c>
      <c r="Q3" s="2">
        <v>10</v>
      </c>
    </row>
    <row r="4" spans="1:17" ht="75" x14ac:dyDescent="0.25">
      <c r="A4" s="8" t="s">
        <v>527</v>
      </c>
      <c r="B4" s="2" t="s">
        <v>530</v>
      </c>
      <c r="C4" s="2">
        <v>0</v>
      </c>
      <c r="D4" s="8">
        <v>1</v>
      </c>
      <c r="E4" s="8">
        <v>5</v>
      </c>
      <c r="F4" s="8">
        <v>75</v>
      </c>
      <c r="G4" s="8">
        <v>10</v>
      </c>
      <c r="H4" s="8">
        <v>0</v>
      </c>
      <c r="I4" s="8">
        <v>0</v>
      </c>
      <c r="J4" s="8">
        <v>61</v>
      </c>
      <c r="K4" s="8">
        <v>0</v>
      </c>
      <c r="L4" s="8">
        <v>0</v>
      </c>
      <c r="M4" s="8">
        <v>5</v>
      </c>
      <c r="N4" s="8">
        <v>290</v>
      </c>
      <c r="O4" s="8">
        <v>5</v>
      </c>
      <c r="P4" s="8">
        <v>0</v>
      </c>
      <c r="Q4" s="8">
        <v>0</v>
      </c>
    </row>
    <row r="5" spans="1:17" x14ac:dyDescent="0.25">
      <c r="A5" s="8" t="s">
        <v>528</v>
      </c>
      <c r="B5" s="2" t="s">
        <v>529</v>
      </c>
      <c r="C5" s="2">
        <v>0</v>
      </c>
      <c r="D5" s="8">
        <v>0</v>
      </c>
      <c r="E5" s="8">
        <v>0</v>
      </c>
      <c r="F5" s="8">
        <v>0</v>
      </c>
      <c r="G5" s="8">
        <v>4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79</v>
      </c>
      <c r="O5" s="8">
        <v>0</v>
      </c>
      <c r="P5" s="8">
        <v>0</v>
      </c>
      <c r="Q5" s="8">
        <v>0</v>
      </c>
    </row>
    <row r="6" spans="1:17" ht="45" x14ac:dyDescent="0.25">
      <c r="A6" s="8" t="s">
        <v>531</v>
      </c>
      <c r="B6" s="2" t="s">
        <v>532</v>
      </c>
      <c r="C6" s="2">
        <v>0</v>
      </c>
      <c r="D6" s="8">
        <v>1</v>
      </c>
      <c r="E6" s="8">
        <v>2</v>
      </c>
      <c r="F6" s="8">
        <v>19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2</v>
      </c>
      <c r="N6" s="8">
        <v>103</v>
      </c>
      <c r="O6" s="8">
        <v>2</v>
      </c>
      <c r="P6" s="8">
        <v>0</v>
      </c>
      <c r="Q6" s="8">
        <v>13</v>
      </c>
    </row>
    <row r="7" spans="1:17" x14ac:dyDescent="0.25">
      <c r="A7" s="8" t="s">
        <v>526</v>
      </c>
      <c r="B7" s="2" t="s">
        <v>533</v>
      </c>
      <c r="C7" s="2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17</v>
      </c>
      <c r="O7" s="8">
        <v>0</v>
      </c>
      <c r="P7" s="8">
        <v>0</v>
      </c>
      <c r="Q7" s="8">
        <v>0</v>
      </c>
    </row>
    <row r="8" spans="1:17" ht="165" x14ac:dyDescent="0.25">
      <c r="A8" s="8" t="s">
        <v>535</v>
      </c>
      <c r="B8" s="2" t="s">
        <v>534</v>
      </c>
      <c r="C8" s="2">
        <v>0</v>
      </c>
      <c r="D8" s="8">
        <v>1</v>
      </c>
      <c r="E8" s="8">
        <v>1</v>
      </c>
      <c r="F8" s="8">
        <v>39</v>
      </c>
      <c r="G8" s="8">
        <v>10</v>
      </c>
      <c r="H8" s="8">
        <v>13</v>
      </c>
      <c r="I8" s="8">
        <v>0</v>
      </c>
      <c r="J8" s="8">
        <v>37</v>
      </c>
      <c r="K8" s="8">
        <v>0</v>
      </c>
      <c r="L8" s="8">
        <v>5</v>
      </c>
      <c r="M8" s="8">
        <v>16</v>
      </c>
      <c r="N8" s="8">
        <v>145</v>
      </c>
      <c r="O8" s="8">
        <v>1</v>
      </c>
      <c r="P8" s="8">
        <v>6</v>
      </c>
      <c r="Q8" s="8">
        <v>4</v>
      </c>
    </row>
    <row r="9" spans="1:17" ht="90" x14ac:dyDescent="0.25">
      <c r="A9" s="8" t="s">
        <v>525</v>
      </c>
      <c r="B9" s="2" t="s">
        <v>536</v>
      </c>
      <c r="C9" s="2">
        <v>0</v>
      </c>
      <c r="D9" s="8">
        <v>3</v>
      </c>
      <c r="E9" s="8">
        <v>0</v>
      </c>
      <c r="F9" s="8">
        <v>100</v>
      </c>
      <c r="G9" s="8">
        <v>4</v>
      </c>
      <c r="H9" s="8">
        <v>0</v>
      </c>
      <c r="I9" s="8">
        <v>1</v>
      </c>
      <c r="J9" s="8">
        <v>24</v>
      </c>
      <c r="K9" s="8">
        <v>0</v>
      </c>
      <c r="L9" s="8">
        <v>0</v>
      </c>
      <c r="M9" s="8">
        <v>29</v>
      </c>
      <c r="N9" s="8">
        <v>178</v>
      </c>
      <c r="O9" s="8">
        <v>2</v>
      </c>
      <c r="P9" s="8">
        <v>1</v>
      </c>
      <c r="Q9" s="8">
        <v>43</v>
      </c>
    </row>
    <row r="10" spans="1:17" ht="60" x14ac:dyDescent="0.25">
      <c r="A10" s="8" t="s">
        <v>537</v>
      </c>
      <c r="B10" s="2" t="s">
        <v>538</v>
      </c>
      <c r="C10" s="2">
        <v>0</v>
      </c>
      <c r="D10" s="8">
        <v>1</v>
      </c>
      <c r="E10" s="8">
        <v>0</v>
      </c>
      <c r="F10" s="8">
        <v>8</v>
      </c>
      <c r="G10" s="8">
        <v>0</v>
      </c>
      <c r="H10" s="8">
        <v>11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115</v>
      </c>
      <c r="O10" s="8">
        <v>2</v>
      </c>
      <c r="P10" s="8">
        <v>0</v>
      </c>
      <c r="Q10" s="8">
        <v>62</v>
      </c>
    </row>
    <row r="11" spans="1:17" ht="15.6" x14ac:dyDescent="0.3">
      <c r="A11" t="s">
        <v>445</v>
      </c>
      <c r="B11" s="13" t="s">
        <v>784</v>
      </c>
      <c r="C11">
        <f>SUBTOTAL(109,Table33[American Sign Language Total])</f>
        <v>0</v>
      </c>
      <c r="D11">
        <f>SUBTOTAL(109,Table33[Arabic Total])</f>
        <v>7</v>
      </c>
      <c r="E11">
        <f>SUBTOTAL(109,Table33[Cantonese Total])</f>
        <v>8</v>
      </c>
      <c r="F11">
        <f>SUBTOTAL(109,Table33[French Total])</f>
        <v>241</v>
      </c>
      <c r="G11">
        <f>SUBTOTAL(109,Table33[German Total])</f>
        <v>28</v>
      </c>
      <c r="H11">
        <f>SUBTOTAL(109,Table33[Hmong Total])</f>
        <v>24</v>
      </c>
      <c r="I11">
        <f>SUBTOTAL(109,Table33[Italian Total])</f>
        <v>1</v>
      </c>
      <c r="J11">
        <f>SUBTOTAL(109,Table33[Japanese Total])</f>
        <v>122</v>
      </c>
      <c r="K11">
        <f>SUBTOTAL(109,Table33[Korean Total])</f>
        <v>0</v>
      </c>
      <c r="L11">
        <f>SUBTOTAL(109,Table33[Latin Total])</f>
        <v>5</v>
      </c>
      <c r="M11">
        <f>SUBTOTAL(109,Table33[Mandarin Total])</f>
        <v>52</v>
      </c>
      <c r="N11">
        <f>SUBTOTAL(109,Table33[Spanish Total])</f>
        <v>959</v>
      </c>
      <c r="O11">
        <f>SUBTOTAL(109,Table33[Tagalog (Filipino) Total])</f>
        <v>12</v>
      </c>
      <c r="P11">
        <f>SUBTOTAL(109,Table33[Vietnamese Total])</f>
        <v>7</v>
      </c>
      <c r="Q11">
        <f>SUBTOTAL(109,Table33[Other Total])</f>
        <v>132</v>
      </c>
    </row>
  </sheetData>
  <sortState xmlns:xlrd2="http://schemas.microsoft.com/office/spreadsheetml/2017/richdata2" ref="A2:BD15">
    <sortCondition ref="A2:A15"/>
  </sortState>
  <conditionalFormatting sqref="A1:B3">
    <cfRule type="duplicateValues" dxfId="21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4.6328125" customWidth="1"/>
    <col min="2" max="2" width="14.54296875" customWidth="1"/>
    <col min="3" max="3" width="16.453125" customWidth="1"/>
    <col min="4" max="4" width="7.1796875" customWidth="1"/>
    <col min="5" max="5" width="10.36328125" customWidth="1"/>
    <col min="6" max="6" width="7.453125" customWidth="1"/>
    <col min="7" max="7" width="7.90625" customWidth="1"/>
    <col min="8" max="8" width="7.6328125" customWidth="1"/>
    <col min="9" max="9" width="7.36328125" customWidth="1"/>
    <col min="10" max="10" width="9.36328125" customWidth="1"/>
    <col min="11" max="11" width="7.1796875" customWidth="1"/>
    <col min="12" max="12" width="7.36328125" customWidth="1"/>
    <col min="13" max="13" width="9.1796875" customWidth="1"/>
    <col min="14" max="14" width="7.90625" customWidth="1"/>
    <col min="15" max="15" width="8.90625" customWidth="1"/>
    <col min="16" max="16" width="11.36328125" customWidth="1"/>
    <col min="17" max="17" width="7.54296875" customWidth="1"/>
  </cols>
  <sheetData>
    <row r="1" spans="1:17" ht="18" thickBot="1" x14ac:dyDescent="0.35">
      <c r="A1" s="16" t="s">
        <v>134</v>
      </c>
    </row>
    <row r="2" spans="1:17" ht="45.6" thickTop="1" x14ac:dyDescent="0.25">
      <c r="A2" s="2" t="s">
        <v>207</v>
      </c>
      <c r="B2" s="2" t="s">
        <v>219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t="s">
        <v>539</v>
      </c>
      <c r="B3" t="s">
        <v>539</v>
      </c>
      <c r="C3">
        <v>19</v>
      </c>
      <c r="D3">
        <v>0</v>
      </c>
      <c r="E3">
        <v>0</v>
      </c>
      <c r="F3">
        <v>16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56</v>
      </c>
      <c r="O3">
        <v>0</v>
      </c>
      <c r="P3">
        <v>0</v>
      </c>
      <c r="Q3">
        <v>0</v>
      </c>
    </row>
    <row r="4" spans="1:17" x14ac:dyDescent="0.25">
      <c r="A4" t="s">
        <v>210</v>
      </c>
      <c r="B4" s="12" t="s">
        <v>221</v>
      </c>
      <c r="C4">
        <f>SUBTOTAL(109,Table34[American Sign Language Total])</f>
        <v>19</v>
      </c>
      <c r="D4">
        <f>SUBTOTAL(109,Table34[Arabic Total])</f>
        <v>0</v>
      </c>
      <c r="E4">
        <f>SUBTOTAL(109,Table34[Cantonese Total])</f>
        <v>0</v>
      </c>
      <c r="F4">
        <f>SUBTOTAL(109,Table34[French Total])</f>
        <v>16</v>
      </c>
      <c r="G4">
        <f>SUBTOTAL(109,Table34[German Total])</f>
        <v>0</v>
      </c>
      <c r="H4">
        <f>SUBTOTAL(109,Table34[Hmong Total])</f>
        <v>0</v>
      </c>
      <c r="I4">
        <f>SUBTOTAL(109,Table34[Italian Total])</f>
        <v>0</v>
      </c>
      <c r="J4">
        <f>SUBTOTAL(109,Table34[Japanese Total])</f>
        <v>0</v>
      </c>
      <c r="K4">
        <f>SUBTOTAL(109,Table34[Korean Total])</f>
        <v>0</v>
      </c>
      <c r="L4">
        <f>SUBTOTAL(109,Table34[Latin Total])</f>
        <v>0</v>
      </c>
      <c r="M4">
        <f>SUBTOTAL(109,Table34[Mandarin Total])</f>
        <v>0</v>
      </c>
      <c r="N4">
        <f>SUBTOTAL(109,Table34[Spanish Total])</f>
        <v>56</v>
      </c>
      <c r="O4">
        <f>SUBTOTAL(109,Table34[Tagalog (Filipino) Total])</f>
        <v>0</v>
      </c>
      <c r="P4">
        <f>SUBTOTAL(109,Table34[Vietnamese Total])</f>
        <v>0</v>
      </c>
      <c r="Q4">
        <f>SUBTOTAL(109,Table34[Other Total])</f>
        <v>0</v>
      </c>
    </row>
  </sheetData>
  <conditionalFormatting sqref="A1:B2">
    <cfRule type="duplicateValues" dxfId="20" priority="1"/>
  </conditionalFormatting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2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8.36328125" customWidth="1"/>
    <col min="2" max="2" width="35.453125" customWidth="1"/>
    <col min="3" max="3" width="16.6328125" customWidth="1"/>
    <col min="4" max="4" width="7.453125" customWidth="1"/>
    <col min="5" max="5" width="10.36328125" customWidth="1"/>
    <col min="6" max="6" width="7.36328125" customWidth="1"/>
    <col min="7" max="7" width="8.08984375" customWidth="1"/>
    <col min="8" max="8" width="7.6328125" customWidth="1"/>
    <col min="9" max="9" width="7.1796875" customWidth="1"/>
    <col min="10" max="10" width="9.36328125" customWidth="1"/>
    <col min="11" max="11" width="7.36328125" customWidth="1"/>
    <col min="12" max="12" width="7.08984375" customWidth="1"/>
    <col min="13" max="13" width="9.1796875" customWidth="1"/>
    <col min="14" max="14" width="8.1796875" customWidth="1"/>
    <col min="15" max="15" width="9.54296875" customWidth="1"/>
    <col min="16" max="16" width="11.08984375" customWidth="1"/>
    <col min="17" max="17" width="7.36328125" customWidth="1"/>
  </cols>
  <sheetData>
    <row r="1" spans="1:17" ht="18" thickBot="1" x14ac:dyDescent="0.35">
      <c r="A1" s="16" t="s">
        <v>12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30" x14ac:dyDescent="0.25">
      <c r="A3" s="2" t="s">
        <v>61</v>
      </c>
      <c r="B3" s="2" t="s">
        <v>544</v>
      </c>
      <c r="C3" s="10">
        <v>0</v>
      </c>
      <c r="D3" s="10">
        <v>2</v>
      </c>
      <c r="E3" s="10">
        <v>0</v>
      </c>
      <c r="F3" s="10">
        <v>8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1</v>
      </c>
      <c r="N3" s="10">
        <v>45</v>
      </c>
      <c r="O3" s="10">
        <v>0</v>
      </c>
      <c r="P3" s="10">
        <v>0</v>
      </c>
      <c r="Q3" s="10">
        <v>0</v>
      </c>
    </row>
    <row r="4" spans="1:17" x14ac:dyDescent="0.25">
      <c r="A4" s="2" t="s">
        <v>75</v>
      </c>
      <c r="B4" s="2" t="s">
        <v>545</v>
      </c>
      <c r="C4" s="10">
        <v>1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19</v>
      </c>
      <c r="O4" s="10">
        <v>0</v>
      </c>
      <c r="P4" s="10">
        <v>0</v>
      </c>
      <c r="Q4" s="10">
        <v>0</v>
      </c>
    </row>
    <row r="5" spans="1:17" ht="60" x14ac:dyDescent="0.25">
      <c r="A5" s="2" t="s">
        <v>546</v>
      </c>
      <c r="B5" s="2" t="s">
        <v>547</v>
      </c>
      <c r="C5" s="10">
        <v>5</v>
      </c>
      <c r="D5" s="10">
        <v>0</v>
      </c>
      <c r="E5" s="10">
        <v>0</v>
      </c>
      <c r="F5" s="10">
        <v>66</v>
      </c>
      <c r="G5" s="10">
        <v>0</v>
      </c>
      <c r="H5" s="10">
        <v>0</v>
      </c>
      <c r="I5" s="10">
        <v>0</v>
      </c>
      <c r="J5" s="10">
        <v>0</v>
      </c>
      <c r="K5" s="10">
        <v>3</v>
      </c>
      <c r="L5" s="10">
        <v>18</v>
      </c>
      <c r="M5" s="10">
        <v>17</v>
      </c>
      <c r="N5" s="10">
        <v>788</v>
      </c>
      <c r="O5" s="10">
        <v>0</v>
      </c>
      <c r="P5" s="10">
        <v>0</v>
      </c>
      <c r="Q5" s="10">
        <v>0</v>
      </c>
    </row>
    <row r="6" spans="1:17" ht="30" x14ac:dyDescent="0.25">
      <c r="A6" s="2" t="s">
        <v>104</v>
      </c>
      <c r="B6" s="2" t="s">
        <v>548</v>
      </c>
      <c r="C6" s="10">
        <v>21</v>
      </c>
      <c r="D6" s="10">
        <v>0</v>
      </c>
      <c r="E6" s="10">
        <v>0</v>
      </c>
      <c r="F6" s="10">
        <v>16</v>
      </c>
      <c r="G6" s="10">
        <v>0</v>
      </c>
      <c r="H6" s="10">
        <v>0</v>
      </c>
      <c r="I6" s="10">
        <v>0</v>
      </c>
      <c r="J6" s="10">
        <v>8</v>
      </c>
      <c r="K6" s="10">
        <v>0</v>
      </c>
      <c r="L6" s="10">
        <v>0</v>
      </c>
      <c r="M6" s="10">
        <v>27</v>
      </c>
      <c r="N6" s="10">
        <v>138</v>
      </c>
      <c r="O6" s="10">
        <v>0</v>
      </c>
      <c r="P6" s="10">
        <v>0</v>
      </c>
      <c r="Q6" s="10">
        <v>0</v>
      </c>
    </row>
    <row r="7" spans="1:17" ht="30" x14ac:dyDescent="0.25">
      <c r="A7" s="2" t="s">
        <v>549</v>
      </c>
      <c r="B7" s="2" t="s">
        <v>550</v>
      </c>
      <c r="C7" s="10">
        <v>0</v>
      </c>
      <c r="D7" s="10">
        <v>0</v>
      </c>
      <c r="E7" s="10">
        <v>0</v>
      </c>
      <c r="F7" s="10">
        <v>20</v>
      </c>
      <c r="G7" s="10">
        <v>7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180</v>
      </c>
      <c r="O7" s="10">
        <v>0</v>
      </c>
      <c r="P7" s="10">
        <v>0</v>
      </c>
      <c r="Q7" s="10">
        <v>0</v>
      </c>
    </row>
    <row r="8" spans="1:17" ht="45" x14ac:dyDescent="0.25">
      <c r="A8" s="2" t="s">
        <v>551</v>
      </c>
      <c r="B8" s="2" t="s">
        <v>552</v>
      </c>
      <c r="C8" s="10">
        <v>1</v>
      </c>
      <c r="D8" s="10">
        <v>4</v>
      </c>
      <c r="E8" s="10">
        <v>0</v>
      </c>
      <c r="F8" s="10">
        <v>10</v>
      </c>
      <c r="G8" s="10">
        <v>0</v>
      </c>
      <c r="H8" s="10">
        <v>0</v>
      </c>
      <c r="I8" s="10">
        <v>0</v>
      </c>
      <c r="J8" s="10">
        <v>0</v>
      </c>
      <c r="K8" s="10">
        <v>1</v>
      </c>
      <c r="L8" s="10">
        <v>0</v>
      </c>
      <c r="M8" s="10">
        <v>0</v>
      </c>
      <c r="N8" s="10">
        <v>359</v>
      </c>
      <c r="O8" s="10">
        <v>3</v>
      </c>
      <c r="P8" s="10">
        <v>0</v>
      </c>
      <c r="Q8" s="10">
        <v>4</v>
      </c>
    </row>
    <row r="9" spans="1:17" ht="30" x14ac:dyDescent="0.25">
      <c r="A9" s="2" t="s">
        <v>44</v>
      </c>
      <c r="B9" s="2" t="s">
        <v>553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1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</row>
    <row r="10" spans="1:17" ht="45" x14ac:dyDescent="0.25">
      <c r="A10" s="2" t="s">
        <v>554</v>
      </c>
      <c r="B10" s="2" t="s">
        <v>555</v>
      </c>
      <c r="C10" s="10">
        <v>0</v>
      </c>
      <c r="D10" s="10">
        <v>0</v>
      </c>
      <c r="E10" s="10">
        <v>0</v>
      </c>
      <c r="F10" s="10">
        <v>14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124</v>
      </c>
      <c r="O10" s="10">
        <v>0</v>
      </c>
      <c r="P10" s="10">
        <v>1</v>
      </c>
      <c r="Q10" s="10">
        <v>0</v>
      </c>
    </row>
    <row r="11" spans="1:17" ht="30" x14ac:dyDescent="0.25">
      <c r="A11" s="2" t="s">
        <v>542</v>
      </c>
      <c r="B11" s="2" t="s">
        <v>543</v>
      </c>
      <c r="C11" s="10">
        <v>0</v>
      </c>
      <c r="D11" s="10">
        <v>0</v>
      </c>
      <c r="E11" s="10">
        <v>1</v>
      </c>
      <c r="F11" s="10">
        <v>0</v>
      </c>
      <c r="G11" s="10">
        <v>2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1</v>
      </c>
      <c r="O11" s="10">
        <v>0</v>
      </c>
      <c r="P11" s="10">
        <v>0</v>
      </c>
      <c r="Q11" s="10">
        <v>0</v>
      </c>
    </row>
    <row r="12" spans="1:17" x14ac:dyDescent="0.25">
      <c r="A12" s="2" t="s">
        <v>557</v>
      </c>
      <c r="B12" s="2" t="s">
        <v>556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7</v>
      </c>
      <c r="O12" s="10">
        <v>0</v>
      </c>
      <c r="P12" s="10">
        <v>0</v>
      </c>
      <c r="Q12" s="10">
        <v>0</v>
      </c>
    </row>
    <row r="13" spans="1:17" x14ac:dyDescent="0.25">
      <c r="A13" s="2" t="s">
        <v>40</v>
      </c>
      <c r="B13" s="2" t="s">
        <v>41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15</v>
      </c>
      <c r="O13" s="10">
        <v>0</v>
      </c>
      <c r="P13" s="10">
        <v>0</v>
      </c>
      <c r="Q13" s="10">
        <v>0</v>
      </c>
    </row>
    <row r="14" spans="1:17" ht="30" x14ac:dyDescent="0.25">
      <c r="A14" s="2" t="s">
        <v>558</v>
      </c>
      <c r="B14" s="2" t="s">
        <v>559</v>
      </c>
      <c r="C14" s="10">
        <v>0</v>
      </c>
      <c r="D14" s="10">
        <v>0</v>
      </c>
      <c r="E14" s="10">
        <v>0</v>
      </c>
      <c r="F14" s="10">
        <v>20</v>
      </c>
      <c r="G14" s="10">
        <v>1</v>
      </c>
      <c r="H14" s="10">
        <v>0</v>
      </c>
      <c r="I14" s="10">
        <v>0</v>
      </c>
      <c r="J14" s="10">
        <v>2</v>
      </c>
      <c r="K14" s="10">
        <v>3</v>
      </c>
      <c r="L14" s="10">
        <v>9</v>
      </c>
      <c r="M14" s="10">
        <v>4</v>
      </c>
      <c r="N14" s="10">
        <v>128</v>
      </c>
      <c r="O14" s="10">
        <v>0</v>
      </c>
      <c r="P14" s="10">
        <v>0</v>
      </c>
      <c r="Q14" s="10">
        <v>0</v>
      </c>
    </row>
    <row r="15" spans="1:17" x14ac:dyDescent="0.25">
      <c r="A15" s="2" t="s">
        <v>572</v>
      </c>
      <c r="B15" s="2" t="s">
        <v>560</v>
      </c>
      <c r="C15" s="10">
        <v>0</v>
      </c>
      <c r="D15" s="10">
        <v>0</v>
      </c>
      <c r="E15" s="10">
        <v>0</v>
      </c>
      <c r="F15" s="10">
        <v>12</v>
      </c>
      <c r="G15" s="10">
        <v>4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320</v>
      </c>
      <c r="O15" s="10">
        <v>0</v>
      </c>
      <c r="P15" s="10">
        <v>0</v>
      </c>
      <c r="Q15" s="10">
        <v>0</v>
      </c>
    </row>
    <row r="16" spans="1:17" ht="30" x14ac:dyDescent="0.25">
      <c r="A16" s="2" t="s">
        <v>573</v>
      </c>
      <c r="B16" s="2" t="s">
        <v>561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10</v>
      </c>
      <c r="O16" s="10">
        <v>0</v>
      </c>
      <c r="P16" s="10">
        <v>0</v>
      </c>
      <c r="Q16" s="10">
        <v>0</v>
      </c>
    </row>
    <row r="17" spans="1:17" ht="60" x14ac:dyDescent="0.25">
      <c r="A17" s="2" t="s">
        <v>562</v>
      </c>
      <c r="B17" s="2" t="s">
        <v>563</v>
      </c>
      <c r="C17" s="10">
        <v>0</v>
      </c>
      <c r="D17" s="10">
        <v>2</v>
      </c>
      <c r="E17" s="10">
        <v>0</v>
      </c>
      <c r="F17" s="10">
        <v>22</v>
      </c>
      <c r="G17" s="10">
        <v>2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462</v>
      </c>
      <c r="O17" s="10">
        <v>0</v>
      </c>
      <c r="P17" s="10">
        <v>0</v>
      </c>
      <c r="Q17" s="10">
        <v>0</v>
      </c>
    </row>
    <row r="18" spans="1:17" ht="45" x14ac:dyDescent="0.25">
      <c r="A18" s="2" t="s">
        <v>540</v>
      </c>
      <c r="B18" s="2" t="s">
        <v>541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1</v>
      </c>
    </row>
    <row r="19" spans="1:17" x14ac:dyDescent="0.25">
      <c r="A19" s="2" t="s">
        <v>565</v>
      </c>
      <c r="B19" s="2" t="s">
        <v>564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3</v>
      </c>
      <c r="O19" s="10">
        <v>0</v>
      </c>
      <c r="P19" s="10">
        <v>0</v>
      </c>
      <c r="Q19" s="10">
        <v>0</v>
      </c>
    </row>
    <row r="20" spans="1:17" x14ac:dyDescent="0.25">
      <c r="A20" s="2" t="s">
        <v>566</v>
      </c>
      <c r="B20" s="2" t="s">
        <v>567</v>
      </c>
      <c r="C20" s="10">
        <v>0</v>
      </c>
      <c r="D20" s="10">
        <v>1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3</v>
      </c>
      <c r="L20" s="10">
        <v>0</v>
      </c>
      <c r="M20" s="10">
        <v>0</v>
      </c>
      <c r="N20" s="10">
        <v>62</v>
      </c>
      <c r="O20" s="10">
        <v>0</v>
      </c>
      <c r="P20" s="10">
        <v>0</v>
      </c>
      <c r="Q20" s="10">
        <v>0</v>
      </c>
    </row>
    <row r="21" spans="1:17" x14ac:dyDescent="0.25">
      <c r="A21" s="2" t="s">
        <v>569</v>
      </c>
      <c r="B21" s="2" t="s">
        <v>568</v>
      </c>
      <c r="C21" s="10">
        <v>0</v>
      </c>
      <c r="D21" s="10">
        <v>0</v>
      </c>
      <c r="E21" s="10">
        <v>0</v>
      </c>
      <c r="F21" s="10">
        <v>2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2</v>
      </c>
      <c r="N21" s="10">
        <v>51</v>
      </c>
      <c r="O21" s="10">
        <v>0</v>
      </c>
      <c r="P21" s="10">
        <v>0</v>
      </c>
      <c r="Q21" s="10">
        <v>0</v>
      </c>
    </row>
    <row r="22" spans="1:17" ht="30" x14ac:dyDescent="0.25">
      <c r="A22" s="2" t="s">
        <v>570</v>
      </c>
      <c r="B22" s="2" t="s">
        <v>571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30</v>
      </c>
      <c r="O22" s="10">
        <v>0</v>
      </c>
      <c r="P22" s="10">
        <v>0</v>
      </c>
      <c r="Q22" s="10">
        <v>0</v>
      </c>
    </row>
    <row r="23" spans="1:17" ht="15.6" x14ac:dyDescent="0.25">
      <c r="A23" s="2" t="s">
        <v>507</v>
      </c>
      <c r="B23" s="11" t="s">
        <v>574</v>
      </c>
      <c r="C23" s="10">
        <f>SUBTOTAL(109,Table35[American Sign Language Total])</f>
        <v>28</v>
      </c>
      <c r="D23" s="10">
        <f>SUBTOTAL(109,Table35[Arabic Total])</f>
        <v>9</v>
      </c>
      <c r="E23" s="10">
        <f>SUBTOTAL(109,Table35[Cantonese Total])</f>
        <v>1</v>
      </c>
      <c r="F23" s="10">
        <f>SUBTOTAL(109,Table35[French Total])</f>
        <v>191</v>
      </c>
      <c r="G23" s="10">
        <f>SUBTOTAL(109,Table35[German Total])</f>
        <v>16</v>
      </c>
      <c r="H23" s="10">
        <f>SUBTOTAL(109,Table35[Hmong Total])</f>
        <v>0</v>
      </c>
      <c r="I23" s="10">
        <f>SUBTOTAL(109,Table35[Italian Total])</f>
        <v>0</v>
      </c>
      <c r="J23" s="10">
        <f>SUBTOTAL(109,Table35[Japanese Total])</f>
        <v>11</v>
      </c>
      <c r="K23" s="10">
        <f>SUBTOTAL(109,Table35[Korean Total])</f>
        <v>10</v>
      </c>
      <c r="L23" s="10">
        <f>SUBTOTAL(109,Table35[Latin Total])</f>
        <v>27</v>
      </c>
      <c r="M23" s="10">
        <f>SUBTOTAL(109,Table35[Mandarin Total])</f>
        <v>51</v>
      </c>
      <c r="N23" s="10">
        <f>SUBTOTAL(109,Table35[Spanish Total])</f>
        <v>2742</v>
      </c>
      <c r="O23" s="10">
        <f>SUBTOTAL(109,Table35[Tagalog (Filipino) Total])</f>
        <v>3</v>
      </c>
      <c r="P23" s="10">
        <f>SUBTOTAL(109,Table35[Vietnamese Total])</f>
        <v>1</v>
      </c>
      <c r="Q23" s="10">
        <f>SUBTOTAL(109,Table35[Other Total])</f>
        <v>5</v>
      </c>
    </row>
  </sheetData>
  <sortState xmlns:xlrd2="http://schemas.microsoft.com/office/spreadsheetml/2017/richdata2" ref="A2:BD23">
    <sortCondition ref="A2:A23"/>
  </sortState>
  <conditionalFormatting sqref="A1:B2">
    <cfRule type="duplicateValues" dxfId="19" priority="1"/>
  </conditionalFormatting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3.6328125" bestFit="1" customWidth="1"/>
    <col min="2" max="2" width="39.6328125" customWidth="1"/>
    <col min="3" max="3" width="16.6328125" customWidth="1"/>
    <col min="4" max="4" width="7.1796875" customWidth="1"/>
    <col min="5" max="5" width="10.1796875" customWidth="1"/>
    <col min="6" max="6" width="7.6328125" customWidth="1"/>
    <col min="7" max="7" width="8.08984375" customWidth="1"/>
    <col min="8" max="8" width="7.6328125" customWidth="1"/>
    <col min="9" max="9" width="7.08984375" customWidth="1"/>
    <col min="10" max="10" width="9" customWidth="1"/>
    <col min="11" max="11" width="7.54296875" customWidth="1"/>
    <col min="12" max="12" width="7.1796875" customWidth="1"/>
    <col min="13" max="13" width="9" customWidth="1"/>
    <col min="14" max="14" width="7.90625" customWidth="1"/>
    <col min="15" max="15" width="9" customWidth="1"/>
    <col min="16" max="16" width="11.08984375" customWidth="1"/>
    <col min="17" max="17" width="7.36328125" customWidth="1"/>
  </cols>
  <sheetData>
    <row r="1" spans="1:17" ht="18" thickBot="1" x14ac:dyDescent="0.35">
      <c r="A1" s="16" t="s">
        <v>25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s="8" t="s">
        <v>578</v>
      </c>
      <c r="B3" s="2" t="s">
        <v>579</v>
      </c>
      <c r="C3" s="10">
        <v>21</v>
      </c>
      <c r="D3" s="10">
        <v>0</v>
      </c>
      <c r="E3" s="10">
        <v>0</v>
      </c>
      <c r="F3" s="10">
        <v>8</v>
      </c>
      <c r="G3" s="10">
        <v>0</v>
      </c>
      <c r="H3" s="10">
        <v>0</v>
      </c>
      <c r="I3" s="10">
        <v>0</v>
      </c>
      <c r="J3" s="10">
        <v>2</v>
      </c>
      <c r="K3" s="10">
        <v>0</v>
      </c>
      <c r="L3" s="10">
        <v>0</v>
      </c>
      <c r="M3" s="10">
        <v>2</v>
      </c>
      <c r="N3" s="10">
        <v>131</v>
      </c>
      <c r="O3" s="10">
        <v>0</v>
      </c>
      <c r="P3" s="10">
        <v>0</v>
      </c>
      <c r="Q3" s="10">
        <v>0</v>
      </c>
    </row>
    <row r="4" spans="1:17" ht="30" x14ac:dyDescent="0.25">
      <c r="A4" s="8" t="s">
        <v>580</v>
      </c>
      <c r="B4" s="2" t="s">
        <v>581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116</v>
      </c>
      <c r="O4" s="10">
        <v>0</v>
      </c>
      <c r="P4" s="10">
        <v>0</v>
      </c>
      <c r="Q4" s="10">
        <v>0</v>
      </c>
    </row>
    <row r="5" spans="1:17" x14ac:dyDescent="0.25">
      <c r="A5" s="8" t="s">
        <v>131</v>
      </c>
      <c r="B5" s="2" t="s">
        <v>601</v>
      </c>
      <c r="C5" s="10">
        <v>0</v>
      </c>
      <c r="D5" s="10">
        <v>0</v>
      </c>
      <c r="E5" s="10">
        <v>0</v>
      </c>
      <c r="F5" s="10">
        <v>10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26</v>
      </c>
      <c r="O5" s="10">
        <v>0</v>
      </c>
      <c r="P5" s="10">
        <v>0</v>
      </c>
      <c r="Q5" s="10">
        <v>0</v>
      </c>
    </row>
    <row r="6" spans="1:17" x14ac:dyDescent="0.25">
      <c r="A6" s="8" t="s">
        <v>575</v>
      </c>
      <c r="B6" s="2" t="s">
        <v>143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1</v>
      </c>
      <c r="O6" s="10">
        <v>0</v>
      </c>
      <c r="P6" s="10">
        <v>0</v>
      </c>
      <c r="Q6" s="10">
        <v>0</v>
      </c>
    </row>
    <row r="7" spans="1:17" ht="45" x14ac:dyDescent="0.25">
      <c r="A7" s="8" t="s">
        <v>120</v>
      </c>
      <c r="B7" s="2" t="s">
        <v>582</v>
      </c>
      <c r="C7" s="10">
        <v>0</v>
      </c>
      <c r="D7" s="10">
        <v>0</v>
      </c>
      <c r="E7" s="10">
        <v>0</v>
      </c>
      <c r="F7" s="10">
        <v>9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302</v>
      </c>
      <c r="O7" s="10">
        <v>0</v>
      </c>
      <c r="P7" s="10">
        <v>0</v>
      </c>
      <c r="Q7" s="10">
        <v>0</v>
      </c>
    </row>
    <row r="8" spans="1:17" x14ac:dyDescent="0.25">
      <c r="A8" s="8" t="s">
        <v>583</v>
      </c>
      <c r="B8" s="2" t="s">
        <v>584</v>
      </c>
      <c r="C8" s="10">
        <v>3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60</v>
      </c>
      <c r="O8" s="10">
        <v>0</v>
      </c>
      <c r="P8" s="10">
        <v>0</v>
      </c>
      <c r="Q8" s="10">
        <v>0</v>
      </c>
    </row>
    <row r="9" spans="1:17" ht="75" x14ac:dyDescent="0.25">
      <c r="A9" s="8" t="s">
        <v>585</v>
      </c>
      <c r="B9" s="2" t="s">
        <v>586</v>
      </c>
      <c r="C9" s="10">
        <v>0</v>
      </c>
      <c r="D9" s="10">
        <v>22</v>
      </c>
      <c r="E9" s="10">
        <v>0</v>
      </c>
      <c r="F9" s="10">
        <v>11</v>
      </c>
      <c r="G9" s="10">
        <v>4</v>
      </c>
      <c r="H9" s="10">
        <v>0</v>
      </c>
      <c r="I9" s="10">
        <v>0</v>
      </c>
      <c r="J9" s="10">
        <v>2</v>
      </c>
      <c r="K9" s="10">
        <v>0</v>
      </c>
      <c r="L9" s="10">
        <v>0</v>
      </c>
      <c r="M9" s="10">
        <v>8</v>
      </c>
      <c r="N9" s="10">
        <v>323</v>
      </c>
      <c r="O9" s="10">
        <v>2</v>
      </c>
      <c r="P9" s="10">
        <v>0</v>
      </c>
      <c r="Q9" s="10">
        <v>0</v>
      </c>
    </row>
    <row r="10" spans="1:17" x14ac:dyDescent="0.25">
      <c r="A10" s="8" t="s">
        <v>576</v>
      </c>
      <c r="B10" s="2" t="s">
        <v>587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10</v>
      </c>
      <c r="O10" s="10">
        <v>0</v>
      </c>
      <c r="P10" s="10">
        <v>0</v>
      </c>
      <c r="Q10" s="10">
        <v>0</v>
      </c>
    </row>
    <row r="11" spans="1:17" x14ac:dyDescent="0.25">
      <c r="A11" s="8" t="s">
        <v>90</v>
      </c>
      <c r="B11" s="2" t="s">
        <v>588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12</v>
      </c>
      <c r="O11" s="10">
        <v>0</v>
      </c>
      <c r="P11" s="10">
        <v>0</v>
      </c>
      <c r="Q11" s="10">
        <v>0</v>
      </c>
    </row>
    <row r="12" spans="1:17" x14ac:dyDescent="0.25">
      <c r="A12" s="8" t="s">
        <v>589</v>
      </c>
      <c r="B12" s="2" t="s">
        <v>590</v>
      </c>
      <c r="C12" s="10">
        <v>0</v>
      </c>
      <c r="D12" s="10">
        <v>0</v>
      </c>
      <c r="E12" s="10">
        <v>0</v>
      </c>
      <c r="F12" s="10">
        <v>15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60</v>
      </c>
      <c r="O12" s="10">
        <v>0</v>
      </c>
      <c r="P12" s="10">
        <v>0</v>
      </c>
      <c r="Q12" s="10">
        <v>0</v>
      </c>
    </row>
    <row r="13" spans="1:17" ht="30" x14ac:dyDescent="0.25">
      <c r="A13" s="8" t="s">
        <v>98</v>
      </c>
      <c r="B13" s="2" t="s">
        <v>591</v>
      </c>
      <c r="C13" s="10">
        <v>0</v>
      </c>
      <c r="D13" s="10">
        <v>0</v>
      </c>
      <c r="E13" s="10">
        <v>0</v>
      </c>
      <c r="F13" s="10">
        <v>22</v>
      </c>
      <c r="G13" s="10">
        <v>9</v>
      </c>
      <c r="H13" s="10">
        <v>0</v>
      </c>
      <c r="I13" s="10">
        <v>1</v>
      </c>
      <c r="J13" s="10">
        <v>1</v>
      </c>
      <c r="K13" s="10">
        <v>7</v>
      </c>
      <c r="L13" s="10">
        <v>0</v>
      </c>
      <c r="M13" s="10">
        <v>13</v>
      </c>
      <c r="N13" s="10">
        <v>129</v>
      </c>
      <c r="O13" s="10">
        <v>8</v>
      </c>
      <c r="P13" s="10">
        <v>0</v>
      </c>
      <c r="Q13" s="10">
        <v>0</v>
      </c>
    </row>
    <row r="14" spans="1:17" x14ac:dyDescent="0.25">
      <c r="A14" s="8" t="s">
        <v>114</v>
      </c>
      <c r="B14" s="2" t="s">
        <v>592</v>
      </c>
      <c r="C14" s="10">
        <v>0</v>
      </c>
      <c r="D14" s="10">
        <v>0</v>
      </c>
      <c r="E14" s="10">
        <v>0</v>
      </c>
      <c r="F14" s="10">
        <v>14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14</v>
      </c>
      <c r="O14" s="10">
        <v>0</v>
      </c>
      <c r="P14" s="10">
        <v>0</v>
      </c>
      <c r="Q14" s="10">
        <v>0</v>
      </c>
    </row>
    <row r="15" spans="1:17" ht="165" x14ac:dyDescent="0.25">
      <c r="A15" s="8" t="s">
        <v>105</v>
      </c>
      <c r="B15" s="2" t="s">
        <v>593</v>
      </c>
      <c r="C15" s="10">
        <v>0</v>
      </c>
      <c r="D15" s="10">
        <v>0</v>
      </c>
      <c r="E15" s="10">
        <v>0</v>
      </c>
      <c r="F15" s="10">
        <v>43</v>
      </c>
      <c r="G15" s="10">
        <v>10</v>
      </c>
      <c r="H15" s="10">
        <v>0</v>
      </c>
      <c r="I15" s="10">
        <v>0</v>
      </c>
      <c r="J15" s="10">
        <v>1</v>
      </c>
      <c r="K15" s="10">
        <v>0</v>
      </c>
      <c r="L15" s="10">
        <v>18</v>
      </c>
      <c r="M15" s="10">
        <v>12</v>
      </c>
      <c r="N15" s="10">
        <v>590</v>
      </c>
      <c r="O15" s="10">
        <v>0</v>
      </c>
      <c r="P15" s="10">
        <v>0</v>
      </c>
      <c r="Q15" s="10">
        <v>0</v>
      </c>
    </row>
    <row r="16" spans="1:17" ht="45" x14ac:dyDescent="0.25">
      <c r="A16" s="8" t="s">
        <v>594</v>
      </c>
      <c r="B16" s="2" t="s">
        <v>595</v>
      </c>
      <c r="C16" s="10">
        <v>50</v>
      </c>
      <c r="D16" s="10">
        <v>0</v>
      </c>
      <c r="E16" s="10">
        <v>0</v>
      </c>
      <c r="F16" s="10">
        <v>65</v>
      </c>
      <c r="G16" s="10">
        <v>3</v>
      </c>
      <c r="H16" s="10">
        <v>0</v>
      </c>
      <c r="I16" s="10">
        <v>0</v>
      </c>
      <c r="J16" s="10">
        <v>64</v>
      </c>
      <c r="K16" s="10">
        <v>20</v>
      </c>
      <c r="L16" s="10">
        <v>0</v>
      </c>
      <c r="M16" s="10">
        <v>70</v>
      </c>
      <c r="N16" s="10">
        <v>396</v>
      </c>
      <c r="O16" s="10">
        <v>0</v>
      </c>
      <c r="P16" s="10">
        <v>0</v>
      </c>
      <c r="Q16" s="10">
        <v>0</v>
      </c>
    </row>
    <row r="17" spans="1:17" x14ac:dyDescent="0.25">
      <c r="A17" s="8" t="s">
        <v>600</v>
      </c>
      <c r="B17" s="2" t="s">
        <v>602</v>
      </c>
      <c r="C17" s="10">
        <v>0</v>
      </c>
      <c r="D17" s="10">
        <v>0</v>
      </c>
      <c r="E17" s="10">
        <v>0</v>
      </c>
      <c r="F17" s="10">
        <v>3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10">
        <v>50</v>
      </c>
      <c r="O17" s="10">
        <v>0</v>
      </c>
      <c r="P17" s="10">
        <v>0</v>
      </c>
      <c r="Q17" s="10">
        <v>0</v>
      </c>
    </row>
    <row r="18" spans="1:17" x14ac:dyDescent="0.25">
      <c r="A18" s="8" t="s">
        <v>577</v>
      </c>
      <c r="B18" s="2" t="s">
        <v>138</v>
      </c>
      <c r="C18" s="10">
        <v>0</v>
      </c>
      <c r="D18" s="10">
        <v>0</v>
      </c>
      <c r="E18" s="10">
        <v>1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9</v>
      </c>
      <c r="O18" s="10">
        <v>0</v>
      </c>
      <c r="P18" s="10">
        <v>0</v>
      </c>
      <c r="Q18" s="10">
        <v>0</v>
      </c>
    </row>
    <row r="19" spans="1:17" x14ac:dyDescent="0.25">
      <c r="A19" s="8" t="s">
        <v>596</v>
      </c>
      <c r="B19" s="2" t="s">
        <v>149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2</v>
      </c>
      <c r="O19" s="10">
        <v>0</v>
      </c>
      <c r="P19" s="10">
        <v>0</v>
      </c>
      <c r="Q19" s="10">
        <v>0</v>
      </c>
    </row>
    <row r="20" spans="1:17" ht="90" x14ac:dyDescent="0.25">
      <c r="A20" s="8" t="s">
        <v>597</v>
      </c>
      <c r="B20" s="2" t="s">
        <v>598</v>
      </c>
      <c r="C20" s="10">
        <v>0</v>
      </c>
      <c r="D20" s="10">
        <v>0</v>
      </c>
      <c r="E20" s="10">
        <v>0</v>
      </c>
      <c r="F20" s="10">
        <v>45</v>
      </c>
      <c r="G20" s="10">
        <v>2</v>
      </c>
      <c r="H20" s="10">
        <v>0</v>
      </c>
      <c r="I20" s="10">
        <v>39</v>
      </c>
      <c r="J20" s="10">
        <v>14</v>
      </c>
      <c r="K20" s="10">
        <v>5</v>
      </c>
      <c r="L20" s="10">
        <v>0</v>
      </c>
      <c r="M20" s="10">
        <v>6</v>
      </c>
      <c r="N20" s="10">
        <v>956</v>
      </c>
      <c r="O20" s="10">
        <v>23</v>
      </c>
      <c r="P20" s="10">
        <v>0</v>
      </c>
      <c r="Q20" s="10">
        <v>0</v>
      </c>
    </row>
    <row r="21" spans="1:17" ht="30" x14ac:dyDescent="0.25">
      <c r="A21" s="8" t="s">
        <v>43</v>
      </c>
      <c r="B21" s="2" t="s">
        <v>599</v>
      </c>
      <c r="C21" s="10">
        <v>26</v>
      </c>
      <c r="D21" s="10">
        <v>0</v>
      </c>
      <c r="E21" s="10">
        <v>0</v>
      </c>
      <c r="F21" s="10">
        <v>12</v>
      </c>
      <c r="G21" s="10">
        <v>18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178</v>
      </c>
      <c r="O21" s="10">
        <v>0</v>
      </c>
      <c r="P21" s="10">
        <v>0</v>
      </c>
      <c r="Q21" s="10">
        <v>0</v>
      </c>
    </row>
    <row r="22" spans="1:17" ht="15.6" x14ac:dyDescent="0.3">
      <c r="A22" t="s">
        <v>263</v>
      </c>
      <c r="B22" s="13" t="s">
        <v>603</v>
      </c>
      <c r="C22" s="5">
        <f>SUBTOTAL(109,Table36[American Sign Language Total])</f>
        <v>100</v>
      </c>
      <c r="D22" s="5">
        <f>SUBTOTAL(109,Table36[Arabic Total])</f>
        <v>22</v>
      </c>
      <c r="E22" s="5">
        <f>SUBTOTAL(109,Table36[Cantonese Total])</f>
        <v>1</v>
      </c>
      <c r="F22" s="5">
        <f>SUBTOTAL(109,Table36[French Total])</f>
        <v>257</v>
      </c>
      <c r="G22" s="5">
        <f>SUBTOTAL(109,Table36[German Total])</f>
        <v>46</v>
      </c>
      <c r="H22" s="5">
        <f>SUBTOTAL(109,Table36[Hmong Total])</f>
        <v>0</v>
      </c>
      <c r="I22" s="5">
        <f>SUBTOTAL(109,Table36[Italian Total])</f>
        <v>40</v>
      </c>
      <c r="J22" s="5">
        <f>SUBTOTAL(109,Table36[Japanese Total])</f>
        <v>84</v>
      </c>
      <c r="K22" s="5">
        <f>SUBTOTAL(109,Table36[Korean Total])</f>
        <v>32</v>
      </c>
      <c r="L22" s="5">
        <f>SUBTOTAL(109,Table36[Latin Total])</f>
        <v>18</v>
      </c>
      <c r="M22" s="5">
        <f>SUBTOTAL(109,Table36[Mandarin Total])</f>
        <v>112</v>
      </c>
      <c r="N22" s="5">
        <f>SUBTOTAL(109,Table36[Spanish Total])</f>
        <v>3365</v>
      </c>
      <c r="O22" s="5">
        <f>SUBTOTAL(109,Table36[Tagalog (Filipino) Total])</f>
        <v>33</v>
      </c>
      <c r="P22" s="5">
        <f>SUBTOTAL(109,Table36[Vietnamese Total])</f>
        <v>0</v>
      </c>
      <c r="Q22" s="5">
        <f>SUBTOTAL(109,Table36[Other Total])</f>
        <v>0</v>
      </c>
    </row>
  </sheetData>
  <sortState xmlns:xlrd2="http://schemas.microsoft.com/office/spreadsheetml/2017/richdata2" ref="A2:BD39">
    <sortCondition ref="A2:A39"/>
  </sortState>
  <conditionalFormatting sqref="A1:B2">
    <cfRule type="duplicateValues" dxfId="18" priority="1"/>
  </conditionalFormatting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9.453125" customWidth="1"/>
    <col min="2" max="2" width="52.54296875" customWidth="1"/>
    <col min="3" max="3" width="16.6328125" customWidth="1"/>
    <col min="4" max="4" width="7.36328125" customWidth="1"/>
    <col min="5" max="5" width="10.08984375" customWidth="1"/>
    <col min="6" max="6" width="7.36328125" customWidth="1"/>
    <col min="7" max="7" width="7.81640625" customWidth="1"/>
    <col min="8" max="9" width="7.36328125" customWidth="1"/>
    <col min="10" max="10" width="9.36328125" customWidth="1"/>
    <col min="11" max="11" width="7.453125" customWidth="1"/>
    <col min="12" max="12" width="7.08984375" customWidth="1"/>
    <col min="13" max="13" width="9.08984375" customWidth="1"/>
    <col min="14" max="14" width="8" customWidth="1"/>
    <col min="15" max="15" width="8.81640625" customWidth="1"/>
    <col min="16" max="16" width="10.90625" customWidth="1"/>
    <col min="17" max="17" width="7.1796875" customWidth="1"/>
  </cols>
  <sheetData>
    <row r="1" spans="1:17" ht="18" thickBot="1" x14ac:dyDescent="0.35">
      <c r="A1" s="16" t="s">
        <v>78</v>
      </c>
    </row>
    <row r="2" spans="1:17" ht="45.6" thickTop="1" x14ac:dyDescent="0.25">
      <c r="A2" s="2" t="s">
        <v>207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105" x14ac:dyDescent="0.25">
      <c r="A3" s="8" t="s">
        <v>141</v>
      </c>
      <c r="B3" s="2" t="s">
        <v>604</v>
      </c>
      <c r="C3" s="8">
        <v>0</v>
      </c>
      <c r="D3" s="8">
        <v>0</v>
      </c>
      <c r="E3" s="8">
        <v>0</v>
      </c>
      <c r="F3" s="8">
        <v>16</v>
      </c>
      <c r="G3" s="8">
        <v>1</v>
      </c>
      <c r="H3" s="8">
        <v>0</v>
      </c>
      <c r="I3" s="8">
        <v>15</v>
      </c>
      <c r="J3" s="8">
        <v>7</v>
      </c>
      <c r="K3" s="8">
        <v>13</v>
      </c>
      <c r="L3" s="8">
        <v>7</v>
      </c>
      <c r="M3" s="8">
        <v>430</v>
      </c>
      <c r="N3" s="8">
        <v>274</v>
      </c>
      <c r="O3" s="8">
        <v>0</v>
      </c>
      <c r="P3" s="8">
        <v>0</v>
      </c>
      <c r="Q3" s="8">
        <v>0</v>
      </c>
    </row>
    <row r="4" spans="1:17" x14ac:dyDescent="0.25">
      <c r="A4" t="s">
        <v>210</v>
      </c>
      <c r="B4" s="13" t="s">
        <v>446</v>
      </c>
      <c r="C4">
        <f>SUBTOTAL(109,Table37[American Sign Language Total])</f>
        <v>0</v>
      </c>
      <c r="D4">
        <f>SUBTOTAL(109,Table37[Arabic Total])</f>
        <v>0</v>
      </c>
      <c r="E4">
        <f>SUBTOTAL(109,Table37[Cantonese Total])</f>
        <v>0</v>
      </c>
      <c r="F4">
        <f>SUBTOTAL(109,Table37[French Total])</f>
        <v>16</v>
      </c>
      <c r="G4">
        <f>SUBTOTAL(109,Table37[German Total])</f>
        <v>1</v>
      </c>
      <c r="H4">
        <f>SUBTOTAL(109,Table37[Hmong Total])</f>
        <v>0</v>
      </c>
      <c r="I4">
        <f>SUBTOTAL(109,Table37[Italian Total])</f>
        <v>15</v>
      </c>
      <c r="J4">
        <f>SUBTOTAL(109,Table37[Japanese Total])</f>
        <v>7</v>
      </c>
      <c r="K4">
        <f>SUBTOTAL(109,Table37[Korean Total])</f>
        <v>13</v>
      </c>
      <c r="L4">
        <f>SUBTOTAL(109,Table37[Latin Total])</f>
        <v>7</v>
      </c>
      <c r="M4">
        <f>SUBTOTAL(109,Table37[Mandarin Total])</f>
        <v>430</v>
      </c>
      <c r="N4">
        <f>SUBTOTAL(109,Table37[Spanish Total])</f>
        <v>274</v>
      </c>
      <c r="O4">
        <f>SUBTOTAL(109,Table37[Tagalog (Filipino) Total])</f>
        <v>0</v>
      </c>
      <c r="P4">
        <f>SUBTOTAL(109,Table37[Vietnamese Total])</f>
        <v>0</v>
      </c>
      <c r="Q4">
        <f>SUBTOTAL(109,Table37[Other Total])</f>
        <v>0</v>
      </c>
    </row>
  </sheetData>
  <conditionalFormatting sqref="A1:B2">
    <cfRule type="duplicateValues" dxfId="17" priority="1"/>
  </conditionalFormatting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1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8.6328125" customWidth="1"/>
    <col min="2" max="2" width="32.08984375" customWidth="1"/>
    <col min="3" max="3" width="16.6328125" customWidth="1"/>
    <col min="4" max="4" width="7.453125" customWidth="1"/>
    <col min="5" max="5" width="10.36328125" customWidth="1"/>
    <col min="6" max="6" width="7.36328125" customWidth="1"/>
    <col min="7" max="7" width="8.08984375" customWidth="1"/>
    <col min="8" max="8" width="7.6328125" customWidth="1"/>
    <col min="9" max="9" width="7.453125" customWidth="1"/>
    <col min="10" max="10" width="9.08984375" customWidth="1"/>
    <col min="11" max="11" width="7.36328125" customWidth="1"/>
    <col min="12" max="12" width="7.08984375" customWidth="1"/>
    <col min="13" max="13" width="9.54296875" customWidth="1"/>
    <col min="14" max="14" width="8.08984375" customWidth="1"/>
    <col min="15" max="15" width="9.6328125" customWidth="1"/>
    <col min="16" max="16" width="11.08984375" customWidth="1"/>
    <col min="17" max="17" width="7.08984375" customWidth="1"/>
  </cols>
  <sheetData>
    <row r="1" spans="1:17" ht="18" thickBot="1" x14ac:dyDescent="0.35">
      <c r="A1" s="16" t="s">
        <v>18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s="8" t="s">
        <v>605</v>
      </c>
      <c r="B3" s="2" t="s">
        <v>611</v>
      </c>
      <c r="C3" s="2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14</v>
      </c>
      <c r="O3" s="8">
        <v>0</v>
      </c>
      <c r="P3" s="8">
        <v>0</v>
      </c>
      <c r="Q3" s="8">
        <v>0</v>
      </c>
    </row>
    <row r="4" spans="1:17" x14ac:dyDescent="0.25">
      <c r="A4" s="2" t="s">
        <v>606</v>
      </c>
      <c r="B4" s="2" t="s">
        <v>612</v>
      </c>
      <c r="C4" s="2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1</v>
      </c>
      <c r="K4" s="8">
        <v>2</v>
      </c>
      <c r="L4" s="8">
        <v>0</v>
      </c>
      <c r="M4" s="8">
        <v>1</v>
      </c>
      <c r="N4" s="8">
        <v>16</v>
      </c>
      <c r="O4" s="8">
        <v>0</v>
      </c>
      <c r="P4" s="8">
        <v>0</v>
      </c>
      <c r="Q4" s="8">
        <v>0</v>
      </c>
    </row>
    <row r="5" spans="1:17" x14ac:dyDescent="0.25">
      <c r="A5" s="8" t="s">
        <v>607</v>
      </c>
      <c r="B5" s="2" t="s">
        <v>488</v>
      </c>
      <c r="C5" s="2">
        <v>0</v>
      </c>
      <c r="D5" s="8">
        <v>0</v>
      </c>
      <c r="E5" s="8">
        <v>0</v>
      </c>
      <c r="F5" s="8">
        <v>1</v>
      </c>
      <c r="G5" s="8">
        <v>0</v>
      </c>
      <c r="H5" s="8">
        <v>0</v>
      </c>
      <c r="I5" s="8">
        <v>8</v>
      </c>
      <c r="J5" s="8">
        <v>0</v>
      </c>
      <c r="K5" s="8">
        <v>0</v>
      </c>
      <c r="L5" s="8">
        <v>0</v>
      </c>
      <c r="M5" s="8">
        <v>0</v>
      </c>
      <c r="N5" s="8">
        <v>31</v>
      </c>
      <c r="O5" s="8">
        <v>0</v>
      </c>
      <c r="P5" s="8">
        <v>0</v>
      </c>
      <c r="Q5" s="8">
        <v>0</v>
      </c>
    </row>
    <row r="6" spans="1:17" x14ac:dyDescent="0.25">
      <c r="A6" s="8" t="s">
        <v>608</v>
      </c>
      <c r="B6" s="2" t="s">
        <v>613</v>
      </c>
      <c r="C6" s="2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11</v>
      </c>
      <c r="O6" s="8">
        <v>0</v>
      </c>
      <c r="P6" s="8">
        <v>0</v>
      </c>
      <c r="Q6" s="8">
        <v>0</v>
      </c>
    </row>
    <row r="7" spans="1:17" ht="45" x14ac:dyDescent="0.25">
      <c r="A7" s="8" t="s">
        <v>86</v>
      </c>
      <c r="B7" s="2" t="s">
        <v>614</v>
      </c>
      <c r="C7" s="2">
        <v>0</v>
      </c>
      <c r="D7" s="8">
        <v>0</v>
      </c>
      <c r="E7" s="8">
        <v>0</v>
      </c>
      <c r="F7" s="8">
        <v>28</v>
      </c>
      <c r="G7" s="8">
        <v>0</v>
      </c>
      <c r="H7" s="8">
        <v>0</v>
      </c>
      <c r="I7" s="8">
        <v>8</v>
      </c>
      <c r="J7" s="8">
        <v>3</v>
      </c>
      <c r="K7" s="8">
        <v>0</v>
      </c>
      <c r="L7" s="8">
        <v>0</v>
      </c>
      <c r="M7" s="8">
        <v>0</v>
      </c>
      <c r="N7" s="8">
        <v>117</v>
      </c>
      <c r="O7" s="8">
        <v>0</v>
      </c>
      <c r="P7" s="8">
        <v>0</v>
      </c>
      <c r="Q7" s="8">
        <v>0</v>
      </c>
    </row>
    <row r="8" spans="1:17" ht="45" x14ac:dyDescent="0.25">
      <c r="A8" s="8" t="s">
        <v>609</v>
      </c>
      <c r="B8" s="2" t="s">
        <v>615</v>
      </c>
      <c r="C8" s="2">
        <v>0</v>
      </c>
      <c r="D8" s="8">
        <v>0</v>
      </c>
      <c r="E8" s="8">
        <v>0</v>
      </c>
      <c r="F8" s="8">
        <v>9</v>
      </c>
      <c r="G8" s="8">
        <v>0</v>
      </c>
      <c r="H8" s="8">
        <v>0</v>
      </c>
      <c r="I8" s="8">
        <v>2</v>
      </c>
      <c r="J8" s="8">
        <v>0</v>
      </c>
      <c r="K8" s="8">
        <v>0</v>
      </c>
      <c r="L8" s="8">
        <v>0</v>
      </c>
      <c r="M8" s="8">
        <v>0</v>
      </c>
      <c r="N8" s="8">
        <v>93</v>
      </c>
      <c r="O8" s="8">
        <v>0</v>
      </c>
      <c r="P8" s="8">
        <v>0</v>
      </c>
      <c r="Q8" s="8">
        <v>0</v>
      </c>
    </row>
    <row r="9" spans="1:17" x14ac:dyDescent="0.25">
      <c r="A9" s="8" t="s">
        <v>68</v>
      </c>
      <c r="B9" s="2" t="s">
        <v>616</v>
      </c>
      <c r="C9" s="2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42</v>
      </c>
      <c r="O9" s="8">
        <v>0</v>
      </c>
      <c r="P9" s="8">
        <v>0</v>
      </c>
      <c r="Q9" s="8">
        <v>0</v>
      </c>
    </row>
    <row r="10" spans="1:17" ht="30" x14ac:dyDescent="0.25">
      <c r="A10" s="2" t="s">
        <v>19</v>
      </c>
      <c r="B10" s="2" t="s">
        <v>617</v>
      </c>
      <c r="C10" s="2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21</v>
      </c>
      <c r="O10" s="8">
        <v>0</v>
      </c>
      <c r="P10" s="8">
        <v>0</v>
      </c>
      <c r="Q10" s="8">
        <v>0</v>
      </c>
    </row>
    <row r="11" spans="1:17" ht="90" x14ac:dyDescent="0.25">
      <c r="A11" s="8" t="s">
        <v>610</v>
      </c>
      <c r="B11" s="2" t="s">
        <v>798</v>
      </c>
      <c r="C11" s="2">
        <v>0</v>
      </c>
      <c r="D11" s="8">
        <v>0</v>
      </c>
      <c r="E11" s="8">
        <v>1</v>
      </c>
      <c r="F11" s="8">
        <v>5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202</v>
      </c>
      <c r="O11" s="8">
        <v>0</v>
      </c>
      <c r="P11" s="8">
        <v>0</v>
      </c>
      <c r="Q11" s="8">
        <v>0</v>
      </c>
    </row>
    <row r="12" spans="1:17" x14ac:dyDescent="0.25">
      <c r="A12" s="8" t="s">
        <v>21</v>
      </c>
      <c r="B12" s="2" t="s">
        <v>618</v>
      </c>
      <c r="C12" s="2">
        <v>0</v>
      </c>
      <c r="D12" s="8">
        <v>0</v>
      </c>
      <c r="E12" s="8">
        <v>0</v>
      </c>
      <c r="F12" s="8">
        <v>16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124</v>
      </c>
      <c r="O12" s="8">
        <v>0</v>
      </c>
      <c r="P12" s="8">
        <v>0</v>
      </c>
      <c r="Q12" s="8">
        <v>0</v>
      </c>
    </row>
    <row r="13" spans="1:17" x14ac:dyDescent="0.25">
      <c r="A13" t="s">
        <v>723</v>
      </c>
      <c r="B13" s="13" t="s">
        <v>242</v>
      </c>
      <c r="C13">
        <f>SUBTOTAL(109,Table38[American Sign Language Total])</f>
        <v>0</v>
      </c>
      <c r="D13">
        <f>SUBTOTAL(109,Table38[Arabic Total])</f>
        <v>0</v>
      </c>
      <c r="E13">
        <f>SUBTOTAL(109,Table38[Cantonese Total])</f>
        <v>1</v>
      </c>
      <c r="F13">
        <f>SUBTOTAL(109,Table38[French Total])</f>
        <v>59</v>
      </c>
      <c r="G13">
        <f>SUBTOTAL(109,Table38[German Total])</f>
        <v>0</v>
      </c>
      <c r="H13">
        <f>SUBTOTAL(109,Table38[Hmong Total])</f>
        <v>0</v>
      </c>
      <c r="I13">
        <f>SUBTOTAL(109,Table38[Italian Total])</f>
        <v>18</v>
      </c>
      <c r="J13">
        <f>SUBTOTAL(109,Table38[Japanese Total])</f>
        <v>4</v>
      </c>
      <c r="K13">
        <f>SUBTOTAL(109,Table38[Korean Total])</f>
        <v>2</v>
      </c>
      <c r="L13">
        <f>SUBTOTAL(109,Table38[Latin Total])</f>
        <v>0</v>
      </c>
      <c r="M13">
        <f>SUBTOTAL(109,Table38[Mandarin Total])</f>
        <v>1</v>
      </c>
      <c r="N13">
        <f>SUBTOTAL(109,Table38[Spanish Total])</f>
        <v>671</v>
      </c>
      <c r="O13">
        <f>SUBTOTAL(109,Table38[Tagalog (Filipino) Total])</f>
        <v>0</v>
      </c>
      <c r="P13">
        <f>SUBTOTAL(109,Table38[Vietnamese Total])</f>
        <v>0</v>
      </c>
      <c r="Q13">
        <f>SUBTOTAL(109,Table38[Other Total])</f>
        <v>0</v>
      </c>
    </row>
  </sheetData>
  <sortState xmlns:xlrd2="http://schemas.microsoft.com/office/spreadsheetml/2017/richdata2" ref="A1:BD13">
    <sortCondition ref="A1:A13"/>
  </sortState>
  <conditionalFormatting sqref="A1:B2">
    <cfRule type="duplicateValues" dxfId="16" priority="1"/>
  </conditionalFormatting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8"/>
  <sheetViews>
    <sheetView workbookViewId="0"/>
  </sheetViews>
  <sheetFormatPr defaultRowHeight="15" x14ac:dyDescent="0.25"/>
  <cols>
    <col min="1" max="1" width="22.36328125" bestFit="1" customWidth="1"/>
    <col min="2" max="2" width="33.08984375" customWidth="1"/>
    <col min="3" max="3" width="16.6328125" customWidth="1"/>
    <col min="4" max="4" width="7.453125" customWidth="1"/>
    <col min="5" max="5" width="10.08984375" customWidth="1"/>
    <col min="6" max="6" width="7.453125" customWidth="1"/>
    <col min="7" max="7" width="8" customWidth="1"/>
    <col min="8" max="8" width="7.1796875" customWidth="1"/>
    <col min="9" max="9" width="7.36328125" customWidth="1"/>
    <col min="10" max="10" width="9.08984375" customWidth="1"/>
    <col min="11" max="12" width="7.36328125" customWidth="1"/>
    <col min="13" max="13" width="9.08984375" customWidth="1"/>
    <col min="14" max="14" width="8" customWidth="1"/>
    <col min="15" max="15" width="9.36328125" customWidth="1"/>
    <col min="16" max="16" width="10.90625" customWidth="1"/>
    <col min="17" max="17" width="7.54296875" customWidth="1"/>
  </cols>
  <sheetData>
    <row r="1" spans="1:17" ht="18" thickBot="1" x14ac:dyDescent="0.35">
      <c r="A1" s="16" t="s">
        <v>60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30" x14ac:dyDescent="0.25">
      <c r="A3" s="8" t="s">
        <v>620</v>
      </c>
      <c r="B3" s="2" t="s">
        <v>619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27</v>
      </c>
      <c r="O3" s="8">
        <v>0</v>
      </c>
      <c r="P3" s="8">
        <v>0</v>
      </c>
      <c r="Q3" s="8">
        <v>0</v>
      </c>
    </row>
    <row r="4" spans="1:17" x14ac:dyDescent="0.25">
      <c r="A4" s="8" t="s">
        <v>621</v>
      </c>
      <c r="B4" s="2" t="s">
        <v>625</v>
      </c>
      <c r="C4" s="8">
        <v>0</v>
      </c>
      <c r="D4" s="8">
        <v>0</v>
      </c>
      <c r="E4" s="8">
        <v>0</v>
      </c>
      <c r="F4" s="8">
        <v>1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4</v>
      </c>
      <c r="O4" s="8">
        <v>0</v>
      </c>
      <c r="P4" s="8">
        <v>0</v>
      </c>
      <c r="Q4" s="8">
        <v>0</v>
      </c>
    </row>
    <row r="5" spans="1:17" x14ac:dyDescent="0.25">
      <c r="A5" s="8" t="s">
        <v>622</v>
      </c>
      <c r="B5" s="2" t="s">
        <v>626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52</v>
      </c>
      <c r="O5" s="8">
        <v>0</v>
      </c>
      <c r="P5" s="8">
        <v>0</v>
      </c>
      <c r="Q5" s="8">
        <v>0</v>
      </c>
    </row>
    <row r="6" spans="1:17" x14ac:dyDescent="0.25">
      <c r="A6" s="8" t="s">
        <v>623</v>
      </c>
      <c r="B6" s="2" t="s">
        <v>627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52</v>
      </c>
      <c r="O6" s="8">
        <v>1</v>
      </c>
      <c r="P6" s="8">
        <v>0</v>
      </c>
      <c r="Q6" s="8">
        <v>0</v>
      </c>
    </row>
    <row r="7" spans="1:17" x14ac:dyDescent="0.25">
      <c r="A7" s="8" t="s">
        <v>624</v>
      </c>
      <c r="B7" s="2" t="s">
        <v>628</v>
      </c>
      <c r="C7" s="8">
        <v>0</v>
      </c>
      <c r="D7" s="8">
        <v>0</v>
      </c>
      <c r="E7" s="8">
        <v>0</v>
      </c>
      <c r="F7" s="8">
        <v>1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1</v>
      </c>
      <c r="M7" s="8">
        <v>0</v>
      </c>
      <c r="N7" s="8">
        <v>58</v>
      </c>
      <c r="O7" s="8">
        <v>0</v>
      </c>
      <c r="P7" s="8">
        <v>0</v>
      </c>
      <c r="Q7" s="8">
        <v>0</v>
      </c>
    </row>
    <row r="8" spans="1:17" x14ac:dyDescent="0.25">
      <c r="A8" t="s">
        <v>316</v>
      </c>
      <c r="B8" s="13" t="s">
        <v>681</v>
      </c>
      <c r="C8">
        <f>SUBTOTAL(109,Table39[American Sign Language Total])</f>
        <v>0</v>
      </c>
      <c r="D8">
        <f>SUBTOTAL(109,Table39[Arabic Total])</f>
        <v>0</v>
      </c>
      <c r="E8">
        <f>SUBTOTAL(109,Table39[Cantonese Total])</f>
        <v>0</v>
      </c>
      <c r="F8">
        <f>SUBTOTAL(109,Table39[French Total])</f>
        <v>2</v>
      </c>
      <c r="G8">
        <f>SUBTOTAL(109,Table39[German Total])</f>
        <v>0</v>
      </c>
      <c r="H8">
        <f>SUBTOTAL(109,Table39[Hmong Total])</f>
        <v>0</v>
      </c>
      <c r="I8">
        <f>SUBTOTAL(109,Table39[Italian Total])</f>
        <v>0</v>
      </c>
      <c r="J8">
        <f>SUBTOTAL(109,Table39[Japanese Total])</f>
        <v>0</v>
      </c>
      <c r="K8">
        <f>SUBTOTAL(109,Table39[Korean Total])</f>
        <v>0</v>
      </c>
      <c r="L8">
        <f>SUBTOTAL(109,Table39[Latin Total])</f>
        <v>1</v>
      </c>
      <c r="M8">
        <f>SUBTOTAL(109,Table39[Mandarin Total])</f>
        <v>0</v>
      </c>
      <c r="N8">
        <f>SUBTOTAL(109,Table39[Spanish Total])</f>
        <v>193</v>
      </c>
      <c r="O8">
        <f>SUBTOTAL(109,Table39[Tagalog (Filipino) Total])</f>
        <v>1</v>
      </c>
      <c r="P8">
        <f>SUBTOTAL(109,Table39[Vietnamese Total])</f>
        <v>0</v>
      </c>
      <c r="Q8">
        <f>SUBTOTAL(109,Table39[Other Total])</f>
        <v>0</v>
      </c>
    </row>
  </sheetData>
  <conditionalFormatting sqref="A1:B2">
    <cfRule type="duplicateValues" dxfId="15" priority="1"/>
  </conditionalFormatting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4.6328125" bestFit="1" customWidth="1"/>
    <col min="2" max="2" width="36.54296875" customWidth="1"/>
    <col min="3" max="3" width="16.81640625" customWidth="1"/>
    <col min="4" max="4" width="7.36328125" customWidth="1"/>
    <col min="5" max="5" width="10.36328125" customWidth="1"/>
    <col min="6" max="6" width="7.36328125" customWidth="1"/>
    <col min="7" max="7" width="7.81640625" customWidth="1"/>
    <col min="8" max="8" width="7.36328125" customWidth="1"/>
    <col min="9" max="9" width="7.08984375" customWidth="1"/>
    <col min="10" max="10" width="9.1796875" customWidth="1"/>
    <col min="11" max="11" width="7.453125" customWidth="1"/>
    <col min="12" max="12" width="7.08984375" customWidth="1"/>
    <col min="13" max="13" width="9.08984375" customWidth="1"/>
    <col min="14" max="14" width="8.36328125" customWidth="1"/>
    <col min="15" max="15" width="9.1796875" customWidth="1"/>
    <col min="16" max="16" width="11.1796875" customWidth="1"/>
    <col min="17" max="17" width="7.1796875" customWidth="1"/>
  </cols>
  <sheetData>
    <row r="1" spans="1:17" ht="18" thickBot="1" x14ac:dyDescent="0.35">
      <c r="A1" s="16" t="s">
        <v>42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s="8" t="s">
        <v>137</v>
      </c>
      <c r="B3" s="2" t="s">
        <v>634</v>
      </c>
      <c r="C3" s="2">
        <v>0</v>
      </c>
      <c r="D3" s="8">
        <v>0</v>
      </c>
      <c r="E3" s="8">
        <v>0</v>
      </c>
      <c r="F3" s="8">
        <v>1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31</v>
      </c>
      <c r="O3" s="8">
        <v>0</v>
      </c>
      <c r="P3" s="8">
        <v>0</v>
      </c>
      <c r="Q3" s="8">
        <v>0</v>
      </c>
    </row>
    <row r="4" spans="1:17" ht="45" x14ac:dyDescent="0.25">
      <c r="A4" s="8" t="s">
        <v>630</v>
      </c>
      <c r="B4" s="2" t="s">
        <v>637</v>
      </c>
      <c r="C4" s="2">
        <v>0</v>
      </c>
      <c r="D4" s="8">
        <v>0</v>
      </c>
      <c r="E4" s="8">
        <v>4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40</v>
      </c>
      <c r="O4" s="8">
        <v>1</v>
      </c>
      <c r="P4" s="8">
        <v>0</v>
      </c>
      <c r="Q4" s="8">
        <v>1</v>
      </c>
    </row>
    <row r="5" spans="1:17" x14ac:dyDescent="0.25">
      <c r="A5" s="8" t="s">
        <v>629</v>
      </c>
      <c r="B5" s="2" t="s">
        <v>635</v>
      </c>
      <c r="C5" s="2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2</v>
      </c>
      <c r="O5" s="8">
        <v>0</v>
      </c>
      <c r="P5" s="8">
        <v>0</v>
      </c>
      <c r="Q5" s="8">
        <v>0</v>
      </c>
    </row>
    <row r="6" spans="1:17" ht="45" x14ac:dyDescent="0.25">
      <c r="A6" s="8" t="s">
        <v>631</v>
      </c>
      <c r="B6" s="2" t="s">
        <v>636</v>
      </c>
      <c r="C6" s="2">
        <v>0</v>
      </c>
      <c r="D6" s="8">
        <v>0</v>
      </c>
      <c r="E6" s="8">
        <v>0</v>
      </c>
      <c r="F6" s="8">
        <v>20</v>
      </c>
      <c r="G6" s="8">
        <v>0</v>
      </c>
      <c r="H6" s="8">
        <v>0</v>
      </c>
      <c r="I6" s="8">
        <v>15</v>
      </c>
      <c r="J6" s="8">
        <v>34</v>
      </c>
      <c r="K6" s="8">
        <v>0</v>
      </c>
      <c r="L6" s="8">
        <v>0</v>
      </c>
      <c r="M6" s="8">
        <v>115</v>
      </c>
      <c r="N6" s="8">
        <v>456</v>
      </c>
      <c r="O6" s="8">
        <v>1</v>
      </c>
      <c r="P6" s="8">
        <v>0</v>
      </c>
      <c r="Q6" s="8">
        <v>0</v>
      </c>
    </row>
    <row r="7" spans="1:17" ht="60" x14ac:dyDescent="0.25">
      <c r="A7" s="8" t="s">
        <v>632</v>
      </c>
      <c r="B7" s="2" t="s">
        <v>638</v>
      </c>
      <c r="C7" s="2">
        <v>0</v>
      </c>
      <c r="D7" s="8">
        <v>0</v>
      </c>
      <c r="E7" s="8">
        <v>0</v>
      </c>
      <c r="F7" s="8">
        <v>105</v>
      </c>
      <c r="G7" s="8">
        <v>1</v>
      </c>
      <c r="H7" s="8">
        <v>0</v>
      </c>
      <c r="I7" s="8">
        <v>2</v>
      </c>
      <c r="J7" s="8">
        <v>3</v>
      </c>
      <c r="K7" s="8">
        <v>0</v>
      </c>
      <c r="L7" s="8">
        <v>32</v>
      </c>
      <c r="M7" s="8">
        <v>27</v>
      </c>
      <c r="N7" s="8">
        <v>440</v>
      </c>
      <c r="O7" s="8">
        <v>0</v>
      </c>
      <c r="P7" s="8">
        <v>0</v>
      </c>
      <c r="Q7" s="8">
        <v>1</v>
      </c>
    </row>
    <row r="8" spans="1:17" x14ac:dyDescent="0.25">
      <c r="A8" s="8" t="s">
        <v>633</v>
      </c>
      <c r="B8" s="2" t="s">
        <v>639</v>
      </c>
      <c r="C8" s="2">
        <v>0</v>
      </c>
      <c r="D8" s="8">
        <v>0</v>
      </c>
      <c r="E8" s="8">
        <v>0</v>
      </c>
      <c r="F8" s="8">
        <v>6</v>
      </c>
      <c r="G8" s="8">
        <v>0</v>
      </c>
      <c r="H8" s="8">
        <v>0</v>
      </c>
      <c r="I8" s="8">
        <v>5</v>
      </c>
      <c r="J8" s="8">
        <v>0</v>
      </c>
      <c r="K8" s="8">
        <v>0</v>
      </c>
      <c r="L8" s="8">
        <v>0</v>
      </c>
      <c r="M8" s="8">
        <v>1</v>
      </c>
      <c r="N8" s="8">
        <v>27</v>
      </c>
      <c r="O8" s="8">
        <v>0</v>
      </c>
      <c r="P8" s="8">
        <v>0</v>
      </c>
      <c r="Q8" s="8">
        <v>0</v>
      </c>
    </row>
    <row r="9" spans="1:17" x14ac:dyDescent="0.25">
      <c r="A9" s="8" t="s">
        <v>302</v>
      </c>
      <c r="B9" s="11" t="s">
        <v>640</v>
      </c>
      <c r="C9" s="8">
        <f>SUBTOTAL(109,Table40[American Sign Language Total])</f>
        <v>0</v>
      </c>
      <c r="D9" s="8">
        <f>SUBTOTAL(109,Table40[Arabic Total])</f>
        <v>0</v>
      </c>
      <c r="E9" s="8">
        <f>SUBTOTAL(109,Table40[Cantonese Total])</f>
        <v>4</v>
      </c>
      <c r="F9" s="8">
        <f>SUBTOTAL(109,Table40[French Total])</f>
        <v>132</v>
      </c>
      <c r="G9" s="8">
        <f>SUBTOTAL(109,Table40[German Total])</f>
        <v>1</v>
      </c>
      <c r="H9" s="8">
        <f>SUBTOTAL(109,Table40[Hmong Total])</f>
        <v>0</v>
      </c>
      <c r="I9" s="8">
        <f>SUBTOTAL(109,Table40[Italian Total])</f>
        <v>22</v>
      </c>
      <c r="J9" s="8">
        <f>SUBTOTAL(109,Table40[Japanese Total])</f>
        <v>37</v>
      </c>
      <c r="K9" s="8">
        <f>SUBTOTAL(109,Table40[Korean Total])</f>
        <v>0</v>
      </c>
      <c r="L9" s="8">
        <f>SUBTOTAL(109,Table40[Latin Total])</f>
        <v>32</v>
      </c>
      <c r="M9" s="8">
        <f>SUBTOTAL(109,Table40[Mandarin Total])</f>
        <v>143</v>
      </c>
      <c r="N9" s="8">
        <f>SUBTOTAL(109,Table40[Spanish Total])</f>
        <v>996</v>
      </c>
      <c r="O9" s="8">
        <f>SUBTOTAL(109,Table40[Tagalog (Filipino) Total])</f>
        <v>2</v>
      </c>
      <c r="P9" s="8">
        <f>SUBTOTAL(109,Table40[Vietnamese Total])</f>
        <v>0</v>
      </c>
      <c r="Q9" s="8">
        <f>SUBTOTAL(109,Table40[Other Total])</f>
        <v>2</v>
      </c>
    </row>
  </sheetData>
  <sortState xmlns:xlrd2="http://schemas.microsoft.com/office/spreadsheetml/2017/richdata2" ref="A2:BC11">
    <sortCondition ref="A2:A11"/>
  </sortState>
  <conditionalFormatting sqref="A1:B2">
    <cfRule type="duplicateValues" dxfId="1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5.1796875" bestFit="1" customWidth="1"/>
    <col min="2" max="2" width="37.90625" customWidth="1"/>
    <col min="3" max="3" width="16.90625" customWidth="1"/>
    <col min="4" max="4" width="7.36328125" customWidth="1"/>
    <col min="5" max="5" width="10.36328125" customWidth="1"/>
    <col min="6" max="8" width="7.6328125" customWidth="1"/>
    <col min="9" max="9" width="7.08984375" customWidth="1"/>
    <col min="10" max="10" width="9.1796875" customWidth="1"/>
    <col min="11" max="11" width="7.54296875" customWidth="1"/>
    <col min="12" max="12" width="7.36328125" customWidth="1"/>
    <col min="13" max="13" width="9.36328125" customWidth="1"/>
    <col min="14" max="14" width="8.36328125" customWidth="1"/>
    <col min="15" max="15" width="9.08984375" customWidth="1"/>
    <col min="16" max="16" width="10.90625" customWidth="1"/>
    <col min="17" max="17" width="7.1796875" customWidth="1"/>
  </cols>
  <sheetData>
    <row r="1" spans="1:17" ht="18" thickBot="1" x14ac:dyDescent="0.35">
      <c r="A1" s="16" t="s">
        <v>71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s="8" t="s">
        <v>641</v>
      </c>
      <c r="B3" s="2" t="s">
        <v>642</v>
      </c>
      <c r="C3" s="8">
        <v>1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</row>
    <row r="4" spans="1:17" x14ac:dyDescent="0.25">
      <c r="A4" s="8" t="s">
        <v>645</v>
      </c>
      <c r="B4" s="2" t="s">
        <v>649</v>
      </c>
      <c r="C4" s="8">
        <v>0</v>
      </c>
      <c r="D4" s="8">
        <v>0</v>
      </c>
      <c r="E4" s="8">
        <v>0</v>
      </c>
      <c r="F4" s="8">
        <v>1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26</v>
      </c>
      <c r="O4" s="8">
        <v>0</v>
      </c>
      <c r="P4" s="8">
        <v>0</v>
      </c>
      <c r="Q4" s="8">
        <v>0</v>
      </c>
    </row>
    <row r="5" spans="1:17" x14ac:dyDescent="0.25">
      <c r="A5" s="8" t="s">
        <v>646</v>
      </c>
      <c r="B5" s="2" t="s">
        <v>643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11</v>
      </c>
      <c r="O5" s="8">
        <v>0</v>
      </c>
      <c r="P5" s="8">
        <v>0</v>
      </c>
      <c r="Q5" s="8">
        <v>0</v>
      </c>
    </row>
    <row r="6" spans="1:17" ht="30" x14ac:dyDescent="0.25">
      <c r="A6" s="8" t="s">
        <v>647</v>
      </c>
      <c r="B6" s="2" t="s">
        <v>650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223</v>
      </c>
      <c r="O6" s="8">
        <v>0</v>
      </c>
      <c r="P6" s="8">
        <v>0</v>
      </c>
      <c r="Q6" s="8">
        <v>0</v>
      </c>
    </row>
    <row r="7" spans="1:17" ht="30" x14ac:dyDescent="0.25">
      <c r="A7" s="8" t="s">
        <v>648</v>
      </c>
      <c r="B7" s="2" t="s">
        <v>803</v>
      </c>
      <c r="C7" s="8">
        <v>0</v>
      </c>
      <c r="D7" s="8">
        <v>0</v>
      </c>
      <c r="E7" s="8">
        <v>0</v>
      </c>
      <c r="F7" s="8">
        <v>36</v>
      </c>
      <c r="G7" s="8">
        <v>0</v>
      </c>
      <c r="H7" s="8">
        <v>0</v>
      </c>
      <c r="I7" s="8">
        <v>0</v>
      </c>
      <c r="J7" s="8">
        <v>0</v>
      </c>
      <c r="K7" s="8">
        <v>1</v>
      </c>
      <c r="L7" s="8">
        <v>0</v>
      </c>
      <c r="M7" s="8">
        <v>0</v>
      </c>
      <c r="N7" s="8">
        <v>157</v>
      </c>
      <c r="O7" s="8">
        <v>3</v>
      </c>
      <c r="P7" s="8">
        <v>0</v>
      </c>
      <c r="Q7" s="8">
        <v>1</v>
      </c>
    </row>
    <row r="8" spans="1:17" x14ac:dyDescent="0.25">
      <c r="A8" t="s">
        <v>316</v>
      </c>
      <c r="B8" s="12" t="s">
        <v>644</v>
      </c>
      <c r="C8">
        <f>SUBTOTAL(109,Table41[American Sign Language Total])</f>
        <v>1</v>
      </c>
      <c r="D8">
        <f>SUBTOTAL(109,Table41[Arabic Total])</f>
        <v>0</v>
      </c>
      <c r="E8">
        <f>SUBTOTAL(109,Table41[Cantonese Total])</f>
        <v>0</v>
      </c>
      <c r="F8">
        <f>SUBTOTAL(109,Table41[French Total])</f>
        <v>37</v>
      </c>
      <c r="G8">
        <f>SUBTOTAL(109,Table41[German Total])</f>
        <v>0</v>
      </c>
      <c r="H8">
        <f>SUBTOTAL(109,Table41[Hmong Total])</f>
        <v>0</v>
      </c>
      <c r="I8">
        <f>SUBTOTAL(109,Table41[Italian Total])</f>
        <v>0</v>
      </c>
      <c r="J8">
        <f>SUBTOTAL(109,Table41[Japanese Total])</f>
        <v>0</v>
      </c>
      <c r="K8">
        <f>SUBTOTAL(109,Table41[Korean Total])</f>
        <v>1</v>
      </c>
      <c r="L8">
        <f>SUBTOTAL(109,Table41[Latin Total])</f>
        <v>0</v>
      </c>
      <c r="M8">
        <f>SUBTOTAL(109,Table41[Mandarin Total])</f>
        <v>0</v>
      </c>
      <c r="N8">
        <f>SUBTOTAL(109,Table41[Spanish Total])</f>
        <v>417</v>
      </c>
      <c r="O8">
        <f>SUBTOTAL(109,Table41[Tagalog (Filipino) Total])</f>
        <v>3</v>
      </c>
      <c r="P8">
        <f>SUBTOTAL(109,Table41[Vietnamese Total])</f>
        <v>0</v>
      </c>
      <c r="Q8">
        <f>SUBTOTAL(109,Table41[Other Total])</f>
        <v>1</v>
      </c>
    </row>
  </sheetData>
  <sortState xmlns:xlrd2="http://schemas.microsoft.com/office/spreadsheetml/2017/richdata2" ref="A2:BF7">
    <sortCondition ref="A2:A7"/>
  </sortState>
  <conditionalFormatting sqref="A1:B2">
    <cfRule type="duplicateValues" dxfId="13" priority="1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2" bestFit="1" customWidth="1"/>
    <col min="2" max="2" width="26.453125" customWidth="1"/>
    <col min="3" max="3" width="15.08984375" customWidth="1"/>
    <col min="4" max="4" width="6.6328125" customWidth="1"/>
    <col min="5" max="5" width="10.54296875" customWidth="1"/>
    <col min="6" max="6" width="7.08984375" customWidth="1"/>
    <col min="7" max="7" width="7.90625" customWidth="1"/>
    <col min="8" max="8" width="7.36328125" customWidth="1"/>
    <col min="9" max="9" width="6.36328125" customWidth="1"/>
    <col min="10" max="10" width="9.453125" customWidth="1"/>
    <col min="11" max="11" width="7.08984375" customWidth="1"/>
    <col min="12" max="12" width="5.1796875" customWidth="1"/>
    <col min="13" max="13" width="9.08984375" customWidth="1"/>
    <col min="14" max="14" width="8.1796875" customWidth="1"/>
    <col min="15" max="15" width="8.90625" customWidth="1"/>
    <col min="16" max="16" width="11.08984375" customWidth="1"/>
    <col min="17" max="17" width="5.90625" customWidth="1"/>
  </cols>
  <sheetData>
    <row r="1" spans="1:17" ht="18" thickBot="1" x14ac:dyDescent="0.35">
      <c r="A1" s="9" t="s">
        <v>63</v>
      </c>
    </row>
    <row r="2" spans="1:17" ht="45.6" thickTop="1" x14ac:dyDescent="0.25">
      <c r="A2" s="2" t="s">
        <v>186</v>
      </c>
      <c r="B2" s="8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45" x14ac:dyDescent="0.25">
      <c r="A3" s="8" t="s">
        <v>132</v>
      </c>
      <c r="B3" s="2" t="s">
        <v>218</v>
      </c>
      <c r="C3" s="8">
        <v>0</v>
      </c>
      <c r="D3" s="8">
        <v>0</v>
      </c>
      <c r="E3" s="8">
        <v>0</v>
      </c>
      <c r="F3" s="8">
        <v>7</v>
      </c>
      <c r="G3" s="8">
        <v>0</v>
      </c>
      <c r="H3" s="8">
        <v>0</v>
      </c>
      <c r="I3" s="8">
        <v>0</v>
      </c>
      <c r="J3" s="8">
        <v>9</v>
      </c>
      <c r="K3" s="8">
        <v>0</v>
      </c>
      <c r="L3" s="8">
        <v>0</v>
      </c>
      <c r="M3" s="8">
        <v>0</v>
      </c>
      <c r="N3" s="8">
        <v>135</v>
      </c>
      <c r="O3" s="8">
        <v>0</v>
      </c>
      <c r="P3" s="8">
        <v>0</v>
      </c>
      <c r="Q3" s="8">
        <v>0</v>
      </c>
    </row>
    <row r="4" spans="1:17" x14ac:dyDescent="0.25">
      <c r="A4" s="8" t="s">
        <v>213</v>
      </c>
      <c r="B4" s="2" t="s">
        <v>212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19</v>
      </c>
      <c r="O4" s="8">
        <v>0</v>
      </c>
      <c r="P4" s="8">
        <v>0</v>
      </c>
      <c r="Q4" s="8">
        <v>0</v>
      </c>
    </row>
    <row r="5" spans="1:17" x14ac:dyDescent="0.25">
      <c r="A5" t="s">
        <v>214</v>
      </c>
      <c r="B5" s="7" t="s">
        <v>216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8</v>
      </c>
      <c r="O5">
        <v>0</v>
      </c>
      <c r="P5">
        <v>0</v>
      </c>
      <c r="Q5">
        <v>0</v>
      </c>
    </row>
    <row r="6" spans="1:17" x14ac:dyDescent="0.25">
      <c r="A6" t="s">
        <v>215</v>
      </c>
      <c r="B6" s="12" t="s">
        <v>217</v>
      </c>
      <c r="C6">
        <f>SUBTOTAL(109,Table5[American Sign Language Total])</f>
        <v>0</v>
      </c>
      <c r="D6">
        <f>SUBTOTAL(109,Table5[Arabic Total])</f>
        <v>0</v>
      </c>
      <c r="E6">
        <f>SUBTOTAL(109,Table5[Cantonese Total])</f>
        <v>0</v>
      </c>
      <c r="F6">
        <f>SUBTOTAL(109,Table5[French Total])</f>
        <v>7</v>
      </c>
      <c r="G6">
        <f>SUBTOTAL(109,Table5[German Total])</f>
        <v>0</v>
      </c>
      <c r="H6">
        <f>SUBTOTAL(109,Table5[Hmong Total])</f>
        <v>0</v>
      </c>
      <c r="I6">
        <f>SUBTOTAL(109,Table5[Italian Total])</f>
        <v>0</v>
      </c>
      <c r="J6">
        <f>SUBTOTAL(109,Table5[Japanese Total])</f>
        <v>9</v>
      </c>
      <c r="K6">
        <f>SUBTOTAL(109,Table5[Korean Total])</f>
        <v>0</v>
      </c>
      <c r="L6">
        <f>SUBTOTAL(109,Table5[Latin Total])</f>
        <v>0</v>
      </c>
      <c r="M6">
        <f>SUBTOTAL(109,Table5[Mandarin Total])</f>
        <v>0</v>
      </c>
      <c r="N6">
        <f>SUBTOTAL(109,Table5[Spanish Total])</f>
        <v>162</v>
      </c>
      <c r="O6">
        <f>SUBTOTAL(109,Table5[Tagalog (Filipino) Total])</f>
        <v>0</v>
      </c>
      <c r="P6">
        <f>SUBTOTAL(109,Table5[Vietnamese Total])</f>
        <v>0</v>
      </c>
      <c r="Q6">
        <f>SUBTOTAL(109,Table5[Other Total])</f>
        <v>0</v>
      </c>
    </row>
  </sheetData>
  <pageMargins left="0.7" right="0.7" top="0.75" bottom="0.75" header="0.3" footer="0.3"/>
  <tableParts count="1">
    <tablePart r:id="rId1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Q1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8.6328125" customWidth="1"/>
    <col min="2" max="2" width="50.08984375" customWidth="1"/>
    <col min="3" max="3" width="17" customWidth="1"/>
    <col min="4" max="4" width="8.08984375" customWidth="1"/>
    <col min="5" max="5" width="11.08984375" customWidth="1"/>
    <col min="6" max="6" width="8.36328125" customWidth="1"/>
    <col min="7" max="7" width="8.54296875" customWidth="1"/>
    <col min="8" max="9" width="7.90625" customWidth="1"/>
    <col min="10" max="10" width="10" customWidth="1"/>
    <col min="11" max="11" width="8.08984375" customWidth="1"/>
    <col min="12" max="12" width="7.90625" customWidth="1"/>
    <col min="13" max="13" width="9.36328125" customWidth="1"/>
    <col min="14" max="14" width="8.36328125" customWidth="1"/>
    <col min="15" max="15" width="8.90625" customWidth="1"/>
    <col min="16" max="16" width="11.36328125" customWidth="1"/>
    <col min="17" max="17" width="7.6328125" customWidth="1"/>
  </cols>
  <sheetData>
    <row r="1" spans="1:17" ht="18" thickBot="1" x14ac:dyDescent="0.35">
      <c r="A1" s="16" t="s">
        <v>62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30" x14ac:dyDescent="0.25">
      <c r="A3" s="2" t="s">
        <v>653</v>
      </c>
      <c r="B3" s="2" t="s">
        <v>661</v>
      </c>
      <c r="C3" s="2">
        <v>0</v>
      </c>
      <c r="D3" s="8">
        <v>2</v>
      </c>
      <c r="E3" s="8">
        <v>0</v>
      </c>
      <c r="F3" s="8">
        <v>22</v>
      </c>
      <c r="G3" s="8">
        <v>0</v>
      </c>
      <c r="H3" s="8">
        <v>0</v>
      </c>
      <c r="I3" s="8">
        <v>0</v>
      </c>
      <c r="J3" s="8">
        <v>0</v>
      </c>
      <c r="K3" s="8">
        <v>4</v>
      </c>
      <c r="L3" s="8">
        <v>0</v>
      </c>
      <c r="M3" s="8">
        <v>37</v>
      </c>
      <c r="N3" s="8">
        <v>185</v>
      </c>
      <c r="O3" s="8">
        <v>0</v>
      </c>
      <c r="P3" s="8">
        <v>0</v>
      </c>
      <c r="Q3" s="8">
        <v>3</v>
      </c>
    </row>
    <row r="4" spans="1:17" ht="120" x14ac:dyDescent="0.25">
      <c r="A4" s="2" t="s">
        <v>654</v>
      </c>
      <c r="B4" s="2" t="s">
        <v>671</v>
      </c>
      <c r="C4" s="2">
        <v>35</v>
      </c>
      <c r="D4" s="8">
        <v>0</v>
      </c>
      <c r="E4" s="8">
        <v>0</v>
      </c>
      <c r="F4" s="8">
        <v>45</v>
      </c>
      <c r="G4" s="8">
        <v>41</v>
      </c>
      <c r="H4" s="8">
        <v>0</v>
      </c>
      <c r="I4" s="8">
        <v>0</v>
      </c>
      <c r="J4" s="8">
        <v>5</v>
      </c>
      <c r="K4" s="8">
        <v>3</v>
      </c>
      <c r="L4" s="8">
        <v>0</v>
      </c>
      <c r="M4" s="8">
        <v>67</v>
      </c>
      <c r="N4" s="8">
        <v>506</v>
      </c>
      <c r="O4" s="8">
        <v>1</v>
      </c>
      <c r="P4" s="8">
        <v>116</v>
      </c>
      <c r="Q4" s="8">
        <v>0</v>
      </c>
    </row>
    <row r="5" spans="1:17" ht="30" x14ac:dyDescent="0.25">
      <c r="A5" s="2" t="s">
        <v>655</v>
      </c>
      <c r="B5" s="2" t="s">
        <v>662</v>
      </c>
      <c r="C5" s="2">
        <v>0</v>
      </c>
      <c r="D5" s="8">
        <v>0</v>
      </c>
      <c r="E5" s="8">
        <v>0</v>
      </c>
      <c r="F5" s="8">
        <v>223</v>
      </c>
      <c r="G5" s="8">
        <v>5</v>
      </c>
      <c r="H5" s="8">
        <v>0</v>
      </c>
      <c r="I5" s="8">
        <v>2</v>
      </c>
      <c r="J5" s="8">
        <v>120</v>
      </c>
      <c r="K5" s="8">
        <v>10</v>
      </c>
      <c r="L5" s="8">
        <v>0</v>
      </c>
      <c r="M5" s="8">
        <v>389</v>
      </c>
      <c r="N5" s="8">
        <v>530</v>
      </c>
      <c r="O5" s="8">
        <v>0</v>
      </c>
      <c r="P5" s="8">
        <v>0</v>
      </c>
      <c r="Q5" s="8">
        <v>5</v>
      </c>
    </row>
    <row r="6" spans="1:17" ht="30" x14ac:dyDescent="0.25">
      <c r="A6" s="2" t="s">
        <v>142</v>
      </c>
      <c r="B6" s="2" t="s">
        <v>663</v>
      </c>
      <c r="C6" s="2">
        <v>0</v>
      </c>
      <c r="D6" s="8">
        <v>0</v>
      </c>
      <c r="E6" s="8">
        <v>0</v>
      </c>
      <c r="F6" s="8">
        <v>1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150</v>
      </c>
      <c r="O6" s="8">
        <v>0</v>
      </c>
      <c r="P6" s="8">
        <v>0</v>
      </c>
      <c r="Q6" s="8">
        <v>0</v>
      </c>
    </row>
    <row r="7" spans="1:17" ht="30" x14ac:dyDescent="0.25">
      <c r="A7" s="2" t="s">
        <v>656</v>
      </c>
      <c r="B7" s="2" t="s">
        <v>664</v>
      </c>
      <c r="C7" s="2">
        <v>0</v>
      </c>
      <c r="D7" s="8">
        <v>0</v>
      </c>
      <c r="E7" s="8">
        <v>0</v>
      </c>
      <c r="F7" s="8">
        <v>22</v>
      </c>
      <c r="G7" s="8">
        <v>1</v>
      </c>
      <c r="H7" s="8">
        <v>0</v>
      </c>
      <c r="I7" s="8">
        <v>7</v>
      </c>
      <c r="J7" s="8">
        <v>11</v>
      </c>
      <c r="K7" s="8">
        <v>1</v>
      </c>
      <c r="L7" s="8">
        <v>0</v>
      </c>
      <c r="M7" s="8">
        <v>15</v>
      </c>
      <c r="N7" s="8">
        <v>64</v>
      </c>
      <c r="O7" s="8">
        <v>0</v>
      </c>
      <c r="P7" s="8">
        <v>0</v>
      </c>
      <c r="Q7" s="8">
        <v>1</v>
      </c>
    </row>
    <row r="8" spans="1:17" x14ac:dyDescent="0.25">
      <c r="A8" s="2" t="s">
        <v>657</v>
      </c>
      <c r="B8" s="2" t="s">
        <v>665</v>
      </c>
      <c r="C8" s="2">
        <v>0</v>
      </c>
      <c r="D8" s="8">
        <v>0</v>
      </c>
      <c r="E8" s="8">
        <v>0</v>
      </c>
      <c r="F8" s="8">
        <v>2</v>
      </c>
      <c r="G8" s="8">
        <v>0</v>
      </c>
      <c r="H8" s="8">
        <v>0</v>
      </c>
      <c r="I8" s="8">
        <v>0</v>
      </c>
      <c r="J8" s="8">
        <v>0</v>
      </c>
      <c r="K8" s="8">
        <v>2</v>
      </c>
      <c r="L8" s="8">
        <v>0</v>
      </c>
      <c r="M8" s="8">
        <v>17</v>
      </c>
      <c r="N8" s="8">
        <v>23</v>
      </c>
      <c r="O8" s="8">
        <v>1</v>
      </c>
      <c r="P8" s="8">
        <v>4</v>
      </c>
      <c r="Q8" s="8">
        <v>1</v>
      </c>
    </row>
    <row r="9" spans="1:17" x14ac:dyDescent="0.25">
      <c r="A9" s="2" t="s">
        <v>658</v>
      </c>
      <c r="B9" s="2" t="s">
        <v>666</v>
      </c>
      <c r="C9" s="2">
        <v>0</v>
      </c>
      <c r="D9" s="8">
        <v>0</v>
      </c>
      <c r="E9" s="8">
        <v>0</v>
      </c>
      <c r="F9" s="8">
        <v>15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135</v>
      </c>
      <c r="O9" s="8">
        <v>0</v>
      </c>
      <c r="P9" s="8">
        <v>0</v>
      </c>
      <c r="Q9" s="8">
        <v>0</v>
      </c>
    </row>
    <row r="10" spans="1:17" ht="30" x14ac:dyDescent="0.25">
      <c r="A10" s="2" t="s">
        <v>80</v>
      </c>
      <c r="B10" s="2" t="s">
        <v>667</v>
      </c>
      <c r="C10" s="2">
        <v>1</v>
      </c>
      <c r="D10" s="8">
        <v>0</v>
      </c>
      <c r="E10" s="8">
        <v>0</v>
      </c>
      <c r="F10" s="8">
        <v>42</v>
      </c>
      <c r="G10" s="8">
        <v>2</v>
      </c>
      <c r="H10" s="8">
        <v>0</v>
      </c>
      <c r="I10" s="8">
        <v>1</v>
      </c>
      <c r="J10" s="8">
        <v>9</v>
      </c>
      <c r="K10" s="8">
        <v>2</v>
      </c>
      <c r="L10" s="8">
        <v>12</v>
      </c>
      <c r="M10" s="8">
        <v>86</v>
      </c>
      <c r="N10" s="8">
        <v>159</v>
      </c>
      <c r="O10" s="8">
        <v>0</v>
      </c>
      <c r="P10" s="8">
        <v>0</v>
      </c>
      <c r="Q10" s="8">
        <v>2</v>
      </c>
    </row>
    <row r="11" spans="1:17" x14ac:dyDescent="0.25">
      <c r="A11" s="2" t="s">
        <v>651</v>
      </c>
      <c r="B11" s="2" t="s">
        <v>668</v>
      </c>
      <c r="C11" s="2">
        <v>2</v>
      </c>
      <c r="D11" s="8">
        <v>0</v>
      </c>
      <c r="E11" s="8">
        <v>0</v>
      </c>
      <c r="F11" s="8">
        <v>50</v>
      </c>
      <c r="G11" s="8">
        <v>14</v>
      </c>
      <c r="H11" s="8">
        <v>0</v>
      </c>
      <c r="I11" s="8">
        <v>0</v>
      </c>
      <c r="J11" s="8">
        <v>14</v>
      </c>
      <c r="K11" s="8">
        <v>6</v>
      </c>
      <c r="L11" s="8">
        <v>0</v>
      </c>
      <c r="M11" s="8">
        <v>60</v>
      </c>
      <c r="N11" s="8">
        <v>129</v>
      </c>
      <c r="O11" s="8">
        <v>0</v>
      </c>
      <c r="P11" s="8">
        <v>0</v>
      </c>
      <c r="Q11" s="8">
        <v>0</v>
      </c>
    </row>
    <row r="12" spans="1:17" ht="45" x14ac:dyDescent="0.25">
      <c r="A12" s="2" t="s">
        <v>659</v>
      </c>
      <c r="B12" s="2" t="s">
        <v>669</v>
      </c>
      <c r="C12" s="2">
        <v>0</v>
      </c>
      <c r="D12" s="8">
        <v>0</v>
      </c>
      <c r="E12" s="8">
        <v>0</v>
      </c>
      <c r="F12" s="8">
        <v>27</v>
      </c>
      <c r="G12" s="8">
        <v>2</v>
      </c>
      <c r="H12" s="8">
        <v>0</v>
      </c>
      <c r="I12" s="8">
        <v>0</v>
      </c>
      <c r="J12" s="8">
        <v>6</v>
      </c>
      <c r="K12" s="8">
        <v>7</v>
      </c>
      <c r="L12" s="8">
        <v>0</v>
      </c>
      <c r="M12" s="8">
        <v>36</v>
      </c>
      <c r="N12" s="8">
        <v>278</v>
      </c>
      <c r="O12" s="8">
        <v>0</v>
      </c>
      <c r="P12" s="8">
        <v>0</v>
      </c>
      <c r="Q12" s="8">
        <v>16</v>
      </c>
    </row>
    <row r="13" spans="1:17" ht="30" x14ac:dyDescent="0.25">
      <c r="A13" s="2" t="s">
        <v>107</v>
      </c>
      <c r="B13" s="2" t="s">
        <v>652</v>
      </c>
      <c r="C13" s="2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44</v>
      </c>
      <c r="O13" s="8">
        <v>0</v>
      </c>
      <c r="P13" s="8">
        <v>4</v>
      </c>
      <c r="Q13" s="8">
        <v>1</v>
      </c>
    </row>
    <row r="14" spans="1:17" x14ac:dyDescent="0.25">
      <c r="A14" s="2" t="s">
        <v>660</v>
      </c>
      <c r="B14" s="2" t="s">
        <v>670</v>
      </c>
      <c r="C14" s="2">
        <v>0</v>
      </c>
      <c r="D14" s="8">
        <v>0</v>
      </c>
      <c r="E14" s="8">
        <v>0</v>
      </c>
      <c r="F14" s="8">
        <v>14</v>
      </c>
      <c r="G14" s="8">
        <v>0</v>
      </c>
      <c r="H14" s="8">
        <v>0</v>
      </c>
      <c r="I14" s="8">
        <v>0</v>
      </c>
      <c r="J14" s="8">
        <v>19</v>
      </c>
      <c r="K14" s="8">
        <v>1</v>
      </c>
      <c r="L14" s="8">
        <v>0</v>
      </c>
      <c r="M14" s="8">
        <v>4</v>
      </c>
      <c r="N14" s="8">
        <v>66</v>
      </c>
      <c r="O14" s="8">
        <v>0</v>
      </c>
      <c r="P14" s="8">
        <v>0</v>
      </c>
      <c r="Q14" s="8">
        <v>0</v>
      </c>
    </row>
    <row r="15" spans="1:17" ht="15.6" x14ac:dyDescent="0.3">
      <c r="A15" t="s">
        <v>673</v>
      </c>
      <c r="B15" s="13" t="s">
        <v>672</v>
      </c>
      <c r="C15">
        <f>SUBTOTAL(109,Table42[American Sign Language Total])</f>
        <v>38</v>
      </c>
      <c r="D15">
        <f>SUBTOTAL(109,Table42[Arabic Total])</f>
        <v>2</v>
      </c>
      <c r="E15">
        <f>SUBTOTAL(109,Table42[Cantonese Total])</f>
        <v>0</v>
      </c>
      <c r="F15">
        <f>SUBTOTAL(109,Table42[French Total])</f>
        <v>463</v>
      </c>
      <c r="G15">
        <f>SUBTOTAL(109,Table42[German Total])</f>
        <v>65</v>
      </c>
      <c r="H15">
        <f>SUBTOTAL(109,Table42[Hmong Total])</f>
        <v>0</v>
      </c>
      <c r="I15">
        <f>SUBTOTAL(109,Table42[Italian Total])</f>
        <v>10</v>
      </c>
      <c r="J15">
        <f>SUBTOTAL(109,Table42[Japanese Total])</f>
        <v>184</v>
      </c>
      <c r="K15">
        <f>SUBTOTAL(109,Table42[Korean Total])</f>
        <v>36</v>
      </c>
      <c r="L15">
        <f>SUBTOTAL(109,Table42[Latin Total])</f>
        <v>12</v>
      </c>
      <c r="M15">
        <f>SUBTOTAL(109,Table42[Mandarin Total])</f>
        <v>711</v>
      </c>
      <c r="N15">
        <f>SUBTOTAL(109,Table42[Spanish Total])</f>
        <v>2269</v>
      </c>
      <c r="O15">
        <f>SUBTOTAL(109,Table42[Tagalog (Filipino) Total])</f>
        <v>2</v>
      </c>
      <c r="P15">
        <f>SUBTOTAL(109,Table42[Vietnamese Total])</f>
        <v>124</v>
      </c>
      <c r="Q15">
        <f>SUBTOTAL(109,Table42[Other Total])</f>
        <v>29</v>
      </c>
    </row>
  </sheetData>
  <sortState xmlns:xlrd2="http://schemas.microsoft.com/office/spreadsheetml/2017/richdata2" ref="A2:AU21">
    <sortCondition ref="A2:A21"/>
  </sortState>
  <conditionalFormatting sqref="A1:B2">
    <cfRule type="duplicateValues" dxfId="12" priority="1"/>
  </conditionalFormatting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BC7"/>
  <sheetViews>
    <sheetView workbookViewId="0"/>
  </sheetViews>
  <sheetFormatPr defaultRowHeight="15" x14ac:dyDescent="0.25"/>
  <cols>
    <col min="1" max="1" width="24.36328125" bestFit="1" customWidth="1"/>
    <col min="2" max="2" width="25.54296875" customWidth="1"/>
    <col min="3" max="3" width="16.453125" customWidth="1"/>
    <col min="4" max="4" width="7.36328125" customWidth="1"/>
    <col min="5" max="5" width="10.36328125" customWidth="1"/>
    <col min="6" max="6" width="7.36328125" customWidth="1"/>
    <col min="7" max="7" width="7.81640625" customWidth="1"/>
    <col min="8" max="8" width="7.36328125" customWidth="1"/>
    <col min="9" max="9" width="7.08984375" customWidth="1"/>
    <col min="10" max="10" width="9.08984375" customWidth="1"/>
    <col min="11" max="11" width="7.6328125" customWidth="1"/>
    <col min="12" max="12" width="7" customWidth="1"/>
    <col min="13" max="13" width="9.08984375" customWidth="1"/>
    <col min="14" max="14" width="8.08984375" customWidth="1"/>
    <col min="15" max="15" width="9.08984375" customWidth="1"/>
    <col min="16" max="16" width="11.08984375" customWidth="1"/>
    <col min="17" max="17" width="7.6328125" customWidth="1"/>
  </cols>
  <sheetData>
    <row r="1" spans="1:55" ht="18" thickBot="1" x14ac:dyDescent="0.35">
      <c r="A1" s="16" t="s">
        <v>7</v>
      </c>
    </row>
    <row r="2" spans="1:55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55" s="23" customFormat="1" ht="45" x14ac:dyDescent="0.25">
      <c r="A3" s="8" t="s">
        <v>678</v>
      </c>
      <c r="B3" s="2" t="s">
        <v>674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140</v>
      </c>
      <c r="O3" s="8">
        <v>0</v>
      </c>
      <c r="P3" s="8">
        <v>0</v>
      </c>
      <c r="Q3" s="8">
        <v>0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</row>
    <row r="4" spans="1:55" s="23" customFormat="1" ht="30" x14ac:dyDescent="0.25">
      <c r="A4" s="8" t="s">
        <v>122</v>
      </c>
      <c r="B4" s="2" t="s">
        <v>675</v>
      </c>
      <c r="C4" s="8">
        <v>0</v>
      </c>
      <c r="D4" s="8">
        <v>0</v>
      </c>
      <c r="E4" s="8">
        <v>1</v>
      </c>
      <c r="F4" s="8">
        <v>5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19</v>
      </c>
      <c r="O4" s="8">
        <v>0</v>
      </c>
      <c r="P4" s="8">
        <v>0</v>
      </c>
      <c r="Q4" s="8">
        <v>1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</row>
    <row r="5" spans="1:55" ht="30" x14ac:dyDescent="0.25">
      <c r="A5" s="2" t="s">
        <v>676</v>
      </c>
      <c r="B5" s="2" t="s">
        <v>679</v>
      </c>
      <c r="C5" s="8">
        <v>0</v>
      </c>
      <c r="D5" s="8">
        <v>0</v>
      </c>
      <c r="E5" s="8">
        <v>0</v>
      </c>
      <c r="F5" s="8">
        <v>3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1</v>
      </c>
      <c r="M5" s="8">
        <v>4</v>
      </c>
      <c r="N5" s="8">
        <v>17</v>
      </c>
      <c r="O5" s="8">
        <v>0</v>
      </c>
      <c r="P5" s="8">
        <v>0</v>
      </c>
      <c r="Q5" s="8">
        <v>0</v>
      </c>
    </row>
    <row r="6" spans="1:55" x14ac:dyDescent="0.25">
      <c r="A6" s="8" t="s">
        <v>677</v>
      </c>
      <c r="B6" s="2" t="s">
        <v>680</v>
      </c>
      <c r="C6" s="8">
        <v>0</v>
      </c>
      <c r="D6" s="8">
        <v>0</v>
      </c>
      <c r="E6" s="8">
        <v>0</v>
      </c>
      <c r="F6" s="8">
        <v>3</v>
      </c>
      <c r="G6" s="8">
        <v>1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9</v>
      </c>
      <c r="O6" s="8">
        <v>0</v>
      </c>
      <c r="P6" s="8">
        <v>0</v>
      </c>
      <c r="Q6" s="8">
        <v>0</v>
      </c>
    </row>
    <row r="7" spans="1:55" x14ac:dyDescent="0.25">
      <c r="A7" t="s">
        <v>292</v>
      </c>
      <c r="B7" s="13" t="s">
        <v>681</v>
      </c>
      <c r="C7">
        <f>SUBTOTAL(109,Table1[American Sign Language Total])</f>
        <v>0</v>
      </c>
      <c r="D7">
        <f>SUBTOTAL(109,Table1[Arabic Total])</f>
        <v>0</v>
      </c>
      <c r="E7">
        <f>SUBTOTAL(109,Table1[Cantonese Total])</f>
        <v>1</v>
      </c>
      <c r="F7">
        <f>SUBTOTAL(109,Table1[French Total])</f>
        <v>11</v>
      </c>
      <c r="G7">
        <f>SUBTOTAL(109,Table1[German Total])</f>
        <v>1</v>
      </c>
      <c r="H7">
        <f>SUBTOTAL(109,Table1[Hmong Total])</f>
        <v>0</v>
      </c>
      <c r="I7">
        <f>SUBTOTAL(109,Table1[Italian Total])</f>
        <v>0</v>
      </c>
      <c r="J7">
        <f>SUBTOTAL(109,Table1[Japanese Total])</f>
        <v>0</v>
      </c>
      <c r="K7">
        <f>SUBTOTAL(109,Table1[Korean Total])</f>
        <v>0</v>
      </c>
      <c r="L7">
        <f>SUBTOTAL(109,Table1[Latin Total])</f>
        <v>1</v>
      </c>
      <c r="M7">
        <f>SUBTOTAL(109,Table1[Mandarin Total])</f>
        <v>4</v>
      </c>
      <c r="N7">
        <f>SUBTOTAL(109,Table1[Spanish Total])</f>
        <v>185</v>
      </c>
      <c r="O7">
        <f>SUBTOTAL(109,Table1[Tagalog (Filipino) Total])</f>
        <v>0</v>
      </c>
      <c r="P7">
        <f>SUBTOTAL(109,Table1[Vietnamese Total])</f>
        <v>0</v>
      </c>
      <c r="Q7">
        <f>SUBTOTAL(109,Table1[Other Total])</f>
        <v>1</v>
      </c>
    </row>
  </sheetData>
  <sortState xmlns:xlrd2="http://schemas.microsoft.com/office/spreadsheetml/2017/richdata2" ref="A2:BE9">
    <sortCondition ref="A2:A9"/>
  </sortState>
  <conditionalFormatting sqref="A1:B2">
    <cfRule type="duplicateValues" dxfId="11" priority="1"/>
  </conditionalFormatting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4"/>
  <sheetViews>
    <sheetView workbookViewId="0"/>
  </sheetViews>
  <sheetFormatPr defaultRowHeight="15" x14ac:dyDescent="0.25"/>
  <cols>
    <col min="1" max="1" width="16.1796875" customWidth="1"/>
    <col min="2" max="2" width="21.453125" customWidth="1"/>
    <col min="3" max="3" width="16.453125" customWidth="1"/>
    <col min="4" max="4" width="7.36328125" customWidth="1"/>
    <col min="5" max="5" width="10.36328125" customWidth="1"/>
    <col min="6" max="6" width="7.36328125" customWidth="1"/>
    <col min="7" max="7" width="8" customWidth="1"/>
    <col min="8" max="8" width="7.6328125" customWidth="1"/>
    <col min="9" max="9" width="7.08984375" customWidth="1"/>
    <col min="10" max="10" width="9.08984375" customWidth="1"/>
    <col min="11" max="11" width="7.81640625" customWidth="1"/>
    <col min="12" max="12" width="7.08984375" customWidth="1"/>
    <col min="13" max="13" width="9.36328125" customWidth="1"/>
    <col min="14" max="14" width="8" customWidth="1"/>
    <col min="15" max="15" width="8.90625" customWidth="1"/>
    <col min="16" max="16" width="11.08984375" customWidth="1"/>
    <col min="17" max="17" width="7.08984375" customWidth="1"/>
  </cols>
  <sheetData>
    <row r="1" spans="1:17" ht="18" thickBot="1" x14ac:dyDescent="0.35">
      <c r="A1" s="16" t="s">
        <v>115</v>
      </c>
    </row>
    <row r="2" spans="1:17" ht="45.6" thickTop="1" x14ac:dyDescent="0.25">
      <c r="A2" s="2" t="s">
        <v>207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30" x14ac:dyDescent="0.25">
      <c r="A3" s="8" t="s">
        <v>683</v>
      </c>
      <c r="B3" s="2" t="s">
        <v>682</v>
      </c>
      <c r="C3" s="8">
        <v>0</v>
      </c>
      <c r="D3" s="8">
        <v>0</v>
      </c>
      <c r="E3" s="8">
        <v>0</v>
      </c>
      <c r="F3" s="8">
        <v>3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10</v>
      </c>
      <c r="O3" s="8">
        <v>0</v>
      </c>
      <c r="P3" s="8">
        <v>0</v>
      </c>
      <c r="Q3" s="8">
        <v>0</v>
      </c>
    </row>
    <row r="4" spans="1:17" x14ac:dyDescent="0.25">
      <c r="A4" t="s">
        <v>210</v>
      </c>
      <c r="B4" s="12" t="s">
        <v>454</v>
      </c>
      <c r="C4">
        <f>SUBTOTAL(109,Table43[American Sign Language Total])</f>
        <v>0</v>
      </c>
      <c r="D4">
        <f>SUBTOTAL(109,Table43[Arabic Total])</f>
        <v>0</v>
      </c>
      <c r="E4">
        <f>SUBTOTAL(109,Table43[Cantonese Total])</f>
        <v>0</v>
      </c>
      <c r="F4">
        <f>SUBTOTAL(109,Table43[French Total])</f>
        <v>3</v>
      </c>
      <c r="G4">
        <f>SUBTOTAL(109,Table43[German Total])</f>
        <v>0</v>
      </c>
      <c r="H4">
        <f>SUBTOTAL(109,Table43[Hmong Total])</f>
        <v>0</v>
      </c>
      <c r="I4">
        <f>SUBTOTAL(109,Table43[Italian Total])</f>
        <v>0</v>
      </c>
      <c r="J4">
        <f>SUBTOTAL(109,Table43[Japanese Total])</f>
        <v>0</v>
      </c>
      <c r="K4">
        <f>SUBTOTAL(109,Table43[Korean Total])</f>
        <v>0</v>
      </c>
      <c r="L4">
        <f>SUBTOTAL(109,Table43[Latin Total])</f>
        <v>0</v>
      </c>
      <c r="M4">
        <f>SUBTOTAL(109,Table43[Mandarin Total])</f>
        <v>0</v>
      </c>
      <c r="N4">
        <f>SUBTOTAL(109,Table43[Spanish Total])</f>
        <v>10</v>
      </c>
      <c r="O4">
        <f>SUBTOTAL(109,Table43[Tagalog (Filipino) Total])</f>
        <v>0</v>
      </c>
      <c r="P4">
        <f>SUBTOTAL(109,Table43[Vietnamese Total])</f>
        <v>0</v>
      </c>
      <c r="Q4">
        <f>SUBTOTAL(109,Table43[Other Total])</f>
        <v>0</v>
      </c>
    </row>
  </sheetData>
  <conditionalFormatting sqref="A1:B2">
    <cfRule type="duplicateValues" dxfId="10" priority="1"/>
  </conditionalFormatting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4"/>
  <sheetViews>
    <sheetView workbookViewId="0"/>
  </sheetViews>
  <sheetFormatPr defaultRowHeight="15" x14ac:dyDescent="0.25"/>
  <cols>
    <col min="1" max="1" width="17.6328125" customWidth="1"/>
    <col min="2" max="2" width="14.36328125" customWidth="1"/>
    <col min="3" max="3" width="16.36328125" customWidth="1"/>
    <col min="4" max="4" width="7.1796875" customWidth="1"/>
    <col min="5" max="5" width="10.36328125" customWidth="1"/>
    <col min="6" max="6" width="7.1796875" customWidth="1"/>
    <col min="7" max="7" width="7.90625" customWidth="1"/>
    <col min="8" max="8" width="8.6328125" customWidth="1"/>
    <col min="9" max="9" width="7.08984375" customWidth="1"/>
    <col min="10" max="10" width="9.453125" customWidth="1"/>
    <col min="11" max="11" width="7.36328125" customWidth="1"/>
    <col min="12" max="12" width="7" customWidth="1"/>
    <col min="13" max="13" width="9.36328125" customWidth="1"/>
    <col min="14" max="14" width="8.36328125" customWidth="1"/>
    <col min="15" max="15" width="9" customWidth="1"/>
    <col min="16" max="16" width="10.90625" customWidth="1"/>
    <col min="17" max="17" width="7.08984375" customWidth="1"/>
  </cols>
  <sheetData>
    <row r="1" spans="1:17" ht="18" thickBot="1" x14ac:dyDescent="0.35">
      <c r="A1" s="16" t="s">
        <v>113</v>
      </c>
    </row>
    <row r="2" spans="1:17" ht="45.6" thickTop="1" x14ac:dyDescent="0.25">
      <c r="A2" s="2" t="s">
        <v>207</v>
      </c>
      <c r="B2" s="2" t="s">
        <v>219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t="s">
        <v>685</v>
      </c>
      <c r="B3" t="s">
        <v>684</v>
      </c>
      <c r="C3">
        <v>0</v>
      </c>
      <c r="D3">
        <v>0</v>
      </c>
      <c r="E3">
        <v>0</v>
      </c>
      <c r="F3">
        <v>0</v>
      </c>
      <c r="G3">
        <v>2</v>
      </c>
      <c r="H3">
        <v>0</v>
      </c>
      <c r="I3">
        <v>0</v>
      </c>
      <c r="J3">
        <v>1</v>
      </c>
      <c r="K3">
        <v>0</v>
      </c>
      <c r="L3">
        <v>0</v>
      </c>
      <c r="M3">
        <v>0</v>
      </c>
      <c r="N3">
        <v>14</v>
      </c>
      <c r="O3">
        <v>1</v>
      </c>
      <c r="P3">
        <v>0</v>
      </c>
      <c r="Q3">
        <v>1</v>
      </c>
    </row>
    <row r="4" spans="1:17" x14ac:dyDescent="0.25">
      <c r="A4" t="s">
        <v>210</v>
      </c>
      <c r="B4" s="12" t="s">
        <v>221</v>
      </c>
      <c r="C4">
        <f>SUBTOTAL(109,Table44[American Sign Language Total])</f>
        <v>0</v>
      </c>
      <c r="D4">
        <f>SUBTOTAL(109,Table44[Arabic Total])</f>
        <v>0</v>
      </c>
      <c r="E4">
        <f>SUBTOTAL(109,Table44[Cantonese Total])</f>
        <v>0</v>
      </c>
      <c r="F4">
        <f>SUBTOTAL(109,Table44[French Total])</f>
        <v>0</v>
      </c>
      <c r="G4">
        <f>SUBTOTAL(109,Table44[German Total])</f>
        <v>2</v>
      </c>
      <c r="H4">
        <f>SUBTOTAL(109,Table44[Hmong Total])</f>
        <v>0</v>
      </c>
      <c r="I4">
        <f>SUBTOTAL(109,Table44[Italian Total])</f>
        <v>0</v>
      </c>
      <c r="J4">
        <f>SUBTOTAL(109,Table44[Japanese Total])</f>
        <v>1</v>
      </c>
      <c r="K4">
        <f>SUBTOTAL(109,Table44[Korean Total])</f>
        <v>0</v>
      </c>
      <c r="L4">
        <f>SUBTOTAL(109,Table44[Latin Total])</f>
        <v>0</v>
      </c>
      <c r="M4">
        <f>SUBTOTAL(109,Table44[Mandarin Total])</f>
        <v>0</v>
      </c>
      <c r="N4">
        <f>SUBTOTAL(109,Table44[Spanish Total])</f>
        <v>14</v>
      </c>
      <c r="O4">
        <f>SUBTOTAL(109,Table44[Tagalog (Filipino) Total])</f>
        <v>1</v>
      </c>
      <c r="P4">
        <f>SUBTOTAL(109,Table44[Vietnamese Total])</f>
        <v>0</v>
      </c>
      <c r="Q4">
        <f>SUBTOTAL(109,Table44[Other Total])</f>
        <v>1</v>
      </c>
    </row>
  </sheetData>
  <conditionalFormatting sqref="A1:B2">
    <cfRule type="duplicateValues" dxfId="9" priority="1"/>
  </conditionalFormatting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Q6"/>
  <sheetViews>
    <sheetView workbookViewId="0"/>
  </sheetViews>
  <sheetFormatPr defaultRowHeight="15" x14ac:dyDescent="0.25"/>
  <cols>
    <col min="1" max="1" width="16.6328125" customWidth="1"/>
    <col min="2" max="2" width="24.81640625" customWidth="1"/>
    <col min="3" max="3" width="16.36328125" customWidth="1"/>
    <col min="4" max="4" width="7.08984375" customWidth="1"/>
    <col min="5" max="5" width="10.1796875" customWidth="1"/>
    <col min="6" max="6" width="7.08984375" customWidth="1"/>
    <col min="7" max="7" width="7.6328125" customWidth="1"/>
    <col min="8" max="8" width="7.1796875" customWidth="1"/>
    <col min="9" max="9" width="7.36328125" customWidth="1"/>
    <col min="10" max="10" width="9.1796875" customWidth="1"/>
    <col min="11" max="11" width="7.36328125" customWidth="1"/>
    <col min="12" max="12" width="7.1796875" customWidth="1"/>
    <col min="13" max="13" width="9.08984375" customWidth="1"/>
    <col min="14" max="14" width="8.08984375" customWidth="1"/>
    <col min="15" max="15" width="8.90625" customWidth="1"/>
    <col min="16" max="16" width="11" customWidth="1"/>
    <col min="17" max="17" width="7.36328125" customWidth="1"/>
  </cols>
  <sheetData>
    <row r="1" spans="1:17" ht="18" thickBot="1" x14ac:dyDescent="0.35">
      <c r="A1" s="16" t="s">
        <v>53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s="8" t="s">
        <v>688</v>
      </c>
      <c r="B3" s="2" t="s">
        <v>690</v>
      </c>
      <c r="C3" s="8">
        <v>0</v>
      </c>
      <c r="D3" s="8">
        <v>2</v>
      </c>
      <c r="E3" s="8">
        <v>1</v>
      </c>
      <c r="F3" s="8">
        <v>3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1</v>
      </c>
      <c r="N3" s="8">
        <v>23</v>
      </c>
      <c r="O3" s="8">
        <v>2</v>
      </c>
      <c r="P3" s="8">
        <v>1</v>
      </c>
      <c r="Q3" s="8">
        <v>3</v>
      </c>
    </row>
    <row r="4" spans="1:17" ht="30" x14ac:dyDescent="0.25">
      <c r="A4" s="8" t="s">
        <v>686</v>
      </c>
      <c r="B4" s="2" t="s">
        <v>689</v>
      </c>
      <c r="C4" s="8">
        <v>0</v>
      </c>
      <c r="D4" s="8">
        <v>0</v>
      </c>
      <c r="E4" s="8">
        <v>0</v>
      </c>
      <c r="F4" s="8">
        <v>10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7</v>
      </c>
      <c r="N4" s="8">
        <v>52</v>
      </c>
      <c r="O4" s="8">
        <v>10</v>
      </c>
      <c r="P4" s="8">
        <v>0</v>
      </c>
      <c r="Q4" s="8">
        <v>0</v>
      </c>
    </row>
    <row r="5" spans="1:17" ht="45" x14ac:dyDescent="0.25">
      <c r="A5" s="8" t="s">
        <v>687</v>
      </c>
      <c r="B5" s="2" t="s">
        <v>691</v>
      </c>
      <c r="C5" s="8">
        <v>0</v>
      </c>
      <c r="D5" s="8">
        <v>0</v>
      </c>
      <c r="E5" s="8">
        <v>0</v>
      </c>
      <c r="F5" s="8">
        <v>8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1</v>
      </c>
      <c r="N5" s="8">
        <v>66</v>
      </c>
      <c r="O5" s="8">
        <v>0</v>
      </c>
      <c r="P5" s="8">
        <v>0</v>
      </c>
      <c r="Q5" s="8">
        <v>0</v>
      </c>
    </row>
    <row r="6" spans="1:17" x14ac:dyDescent="0.25">
      <c r="A6" t="s">
        <v>215</v>
      </c>
      <c r="B6" s="12" t="s">
        <v>217</v>
      </c>
      <c r="C6">
        <f>SUBTOTAL(109,Table45[American Sign Language Total])</f>
        <v>0</v>
      </c>
      <c r="D6">
        <f>SUBTOTAL(109,Table45[Arabic Total])</f>
        <v>2</v>
      </c>
      <c r="E6">
        <f>SUBTOTAL(109,Table45[Cantonese Total])</f>
        <v>1</v>
      </c>
      <c r="F6">
        <f>SUBTOTAL(109,Table45[French Total])</f>
        <v>21</v>
      </c>
      <c r="G6">
        <f>SUBTOTAL(109,Table45[German Total])</f>
        <v>0</v>
      </c>
      <c r="H6">
        <f>SUBTOTAL(109,Table45[Hmong Total])</f>
        <v>0</v>
      </c>
      <c r="I6">
        <f>SUBTOTAL(109,Table45[Italian Total])</f>
        <v>0</v>
      </c>
      <c r="J6">
        <f>SUBTOTAL(109,Table45[Japanese Total])</f>
        <v>0</v>
      </c>
      <c r="K6">
        <f>SUBTOTAL(109,Table45[Korean Total])</f>
        <v>0</v>
      </c>
      <c r="L6">
        <f>SUBTOTAL(109,Table45[Latin Total])</f>
        <v>0</v>
      </c>
      <c r="M6">
        <f>SUBTOTAL(109,Table45[Mandarin Total])</f>
        <v>9</v>
      </c>
      <c r="N6">
        <f>SUBTOTAL(109,Table45[Spanish Total])</f>
        <v>141</v>
      </c>
      <c r="O6">
        <f>SUBTOTAL(109,Table45[Tagalog (Filipino) Total])</f>
        <v>12</v>
      </c>
      <c r="P6">
        <f>SUBTOTAL(109,Table45[Vietnamese Total])</f>
        <v>1</v>
      </c>
      <c r="Q6">
        <f>SUBTOTAL(109,Table45[Other Total])</f>
        <v>3</v>
      </c>
    </row>
  </sheetData>
  <conditionalFormatting sqref="A1:B2">
    <cfRule type="duplicateValues" dxfId="8" priority="1"/>
  </conditionalFormatting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1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9" bestFit="1" customWidth="1"/>
    <col min="2" max="2" width="29.90625" bestFit="1" customWidth="1"/>
    <col min="3" max="3" width="16.36328125" customWidth="1"/>
    <col min="4" max="4" width="7.1796875" customWidth="1"/>
    <col min="5" max="5" width="10.08984375" customWidth="1"/>
    <col min="6" max="6" width="7.08984375" customWidth="1"/>
    <col min="7" max="7" width="7.90625" customWidth="1"/>
    <col min="8" max="8" width="7.54296875" customWidth="1"/>
    <col min="9" max="9" width="7.08984375" customWidth="1"/>
    <col min="10" max="10" width="9.36328125" customWidth="1"/>
    <col min="11" max="11" width="7.08984375" customWidth="1"/>
    <col min="12" max="12" width="7.1796875" customWidth="1"/>
    <col min="13" max="13" width="9.08984375" customWidth="1"/>
    <col min="14" max="14" width="8.36328125" customWidth="1"/>
    <col min="15" max="15" width="9" customWidth="1"/>
    <col min="16" max="16" width="11" customWidth="1"/>
    <col min="17" max="17" width="7.08984375" customWidth="1"/>
  </cols>
  <sheetData>
    <row r="1" spans="1:17" ht="18" thickBot="1" x14ac:dyDescent="0.35">
      <c r="A1" s="16" t="s">
        <v>4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t="s">
        <v>694</v>
      </c>
      <c r="B3" t="s">
        <v>699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21</v>
      </c>
      <c r="O3">
        <v>0</v>
      </c>
      <c r="P3">
        <v>0</v>
      </c>
      <c r="Q3">
        <v>0</v>
      </c>
    </row>
    <row r="4" spans="1:17" x14ac:dyDescent="0.25">
      <c r="A4" t="s">
        <v>692</v>
      </c>
      <c r="B4" t="s">
        <v>700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4</v>
      </c>
      <c r="N4">
        <v>25</v>
      </c>
      <c r="O4">
        <v>0</v>
      </c>
      <c r="P4">
        <v>0</v>
      </c>
      <c r="Q4">
        <v>0</v>
      </c>
    </row>
    <row r="5" spans="1:17" x14ac:dyDescent="0.25">
      <c r="A5" t="s">
        <v>695</v>
      </c>
      <c r="B5" t="s">
        <v>701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1</v>
      </c>
      <c r="N5">
        <v>23</v>
      </c>
      <c r="O5">
        <v>0</v>
      </c>
      <c r="P5">
        <v>0</v>
      </c>
      <c r="Q5">
        <v>0</v>
      </c>
    </row>
    <row r="6" spans="1:17" x14ac:dyDescent="0.25">
      <c r="A6" t="s">
        <v>91</v>
      </c>
      <c r="B6" t="s">
        <v>693</v>
      </c>
      <c r="C6">
        <v>0</v>
      </c>
      <c r="D6">
        <v>0</v>
      </c>
      <c r="E6">
        <v>0</v>
      </c>
      <c r="F6">
        <v>13</v>
      </c>
      <c r="G6">
        <v>0</v>
      </c>
      <c r="H6">
        <v>0</v>
      </c>
      <c r="I6">
        <v>0</v>
      </c>
      <c r="J6">
        <v>1</v>
      </c>
      <c r="K6">
        <v>0</v>
      </c>
      <c r="L6">
        <v>0</v>
      </c>
      <c r="M6">
        <v>0</v>
      </c>
      <c r="N6">
        <v>74</v>
      </c>
      <c r="O6">
        <v>0</v>
      </c>
      <c r="P6">
        <v>0</v>
      </c>
      <c r="Q6">
        <v>0</v>
      </c>
    </row>
    <row r="7" spans="1:17" x14ac:dyDescent="0.25">
      <c r="A7" t="s">
        <v>47</v>
      </c>
      <c r="B7" t="s">
        <v>48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10</v>
      </c>
      <c r="O7">
        <v>0</v>
      </c>
      <c r="P7">
        <v>0</v>
      </c>
      <c r="Q7">
        <v>0</v>
      </c>
    </row>
    <row r="8" spans="1:17" ht="45" x14ac:dyDescent="0.25">
      <c r="A8" s="8" t="s">
        <v>800</v>
      </c>
      <c r="B8" s="2" t="s">
        <v>801</v>
      </c>
      <c r="C8" s="8">
        <v>0</v>
      </c>
      <c r="D8" s="8">
        <v>0</v>
      </c>
      <c r="E8" s="8">
        <v>0</v>
      </c>
      <c r="F8" s="8">
        <v>25</v>
      </c>
      <c r="G8" s="8">
        <v>0</v>
      </c>
      <c r="H8" s="8">
        <v>0</v>
      </c>
      <c r="I8" s="8">
        <v>1</v>
      </c>
      <c r="J8" s="8">
        <v>0</v>
      </c>
      <c r="K8" s="8">
        <v>0</v>
      </c>
      <c r="L8" s="8">
        <v>2</v>
      </c>
      <c r="M8" s="8">
        <v>4</v>
      </c>
      <c r="N8" s="8">
        <v>194</v>
      </c>
      <c r="O8" s="8">
        <v>0</v>
      </c>
      <c r="P8" s="8">
        <v>0</v>
      </c>
      <c r="Q8" s="8">
        <v>0</v>
      </c>
    </row>
    <row r="9" spans="1:17" x14ac:dyDescent="0.25">
      <c r="A9" t="s">
        <v>696</v>
      </c>
      <c r="B9" t="s">
        <v>136</v>
      </c>
      <c r="C9">
        <v>0</v>
      </c>
      <c r="D9">
        <v>0</v>
      </c>
      <c r="E9">
        <v>0</v>
      </c>
      <c r="F9">
        <v>4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38</v>
      </c>
      <c r="O9">
        <v>0</v>
      </c>
      <c r="P9">
        <v>0</v>
      </c>
      <c r="Q9">
        <v>0</v>
      </c>
    </row>
    <row r="10" spans="1:17" x14ac:dyDescent="0.25">
      <c r="A10" t="s">
        <v>697</v>
      </c>
      <c r="B10" t="s">
        <v>702</v>
      </c>
      <c r="C10">
        <v>0</v>
      </c>
      <c r="D10">
        <v>0</v>
      </c>
      <c r="E10">
        <v>0</v>
      </c>
      <c r="F10">
        <v>2</v>
      </c>
      <c r="G10">
        <v>0</v>
      </c>
      <c r="H10">
        <v>0</v>
      </c>
      <c r="I10">
        <v>0</v>
      </c>
      <c r="J10">
        <v>1</v>
      </c>
      <c r="K10">
        <v>0</v>
      </c>
      <c r="L10">
        <v>0</v>
      </c>
      <c r="M10">
        <v>0</v>
      </c>
      <c r="N10">
        <v>56</v>
      </c>
      <c r="O10">
        <v>0</v>
      </c>
      <c r="P10">
        <v>0</v>
      </c>
      <c r="Q10">
        <v>0</v>
      </c>
    </row>
    <row r="11" spans="1:17" x14ac:dyDescent="0.25">
      <c r="A11" t="s">
        <v>698</v>
      </c>
      <c r="B11" t="s">
        <v>703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60</v>
      </c>
      <c r="O11">
        <v>0</v>
      </c>
      <c r="P11">
        <v>0</v>
      </c>
      <c r="Q11">
        <v>0</v>
      </c>
    </row>
    <row r="12" spans="1:17" x14ac:dyDescent="0.25">
      <c r="A12" t="s">
        <v>243</v>
      </c>
      <c r="B12" s="12" t="s">
        <v>802</v>
      </c>
      <c r="C12">
        <f>SUBTOTAL(109,Table46[American Sign Language Total])</f>
        <v>0</v>
      </c>
      <c r="D12">
        <f>SUBTOTAL(109,Table46[Arabic Total])</f>
        <v>0</v>
      </c>
      <c r="E12">
        <f>SUBTOTAL(109,Table46[Cantonese Total])</f>
        <v>0</v>
      </c>
      <c r="F12">
        <f>SUBTOTAL(109,Table46[French Total])</f>
        <v>44</v>
      </c>
      <c r="G12">
        <f>SUBTOTAL(109,Table46[German Total])</f>
        <v>0</v>
      </c>
      <c r="H12">
        <f>SUBTOTAL(109,Table46[Hmong Total])</f>
        <v>0</v>
      </c>
      <c r="I12">
        <f>SUBTOTAL(109,Table46[Italian Total])</f>
        <v>1</v>
      </c>
      <c r="J12">
        <f>SUBTOTAL(109,Table46[Japanese Total])</f>
        <v>2</v>
      </c>
      <c r="K12">
        <f>SUBTOTAL(109,Table46[Korean Total])</f>
        <v>0</v>
      </c>
      <c r="L12">
        <f>SUBTOTAL(109,Table46[Latin Total])</f>
        <v>2</v>
      </c>
      <c r="M12">
        <f>SUBTOTAL(109,Table46[Mandarin Total])</f>
        <v>9</v>
      </c>
      <c r="N12">
        <f>SUBTOTAL(109,Table46[Spanish Total])</f>
        <v>501</v>
      </c>
      <c r="O12">
        <f>SUBTOTAL(109,Table46[Tagalog (Filipino) Total])</f>
        <v>0</v>
      </c>
      <c r="P12">
        <f>SUBTOTAL(109,Table46[Vietnamese Total])</f>
        <v>0</v>
      </c>
      <c r="Q12">
        <f>SUBTOTAL(109,Table46[Other Total])</f>
        <v>0</v>
      </c>
    </row>
  </sheetData>
  <conditionalFormatting sqref="A1:B2">
    <cfRule type="duplicateValues" dxfId="7" priority="1"/>
  </conditionalFormatting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Q13"/>
  <sheetViews>
    <sheetView workbookViewId="0"/>
  </sheetViews>
  <sheetFormatPr defaultRowHeight="15" x14ac:dyDescent="0.25"/>
  <cols>
    <col min="1" max="1" width="27.6328125" bestFit="1" customWidth="1"/>
    <col min="2" max="2" width="27.6328125" customWidth="1"/>
    <col min="3" max="3" width="16.36328125" customWidth="1"/>
    <col min="4" max="4" width="7.36328125" customWidth="1"/>
    <col min="5" max="5" width="10.54296875" customWidth="1"/>
    <col min="6" max="6" width="7.1796875" customWidth="1"/>
    <col min="7" max="7" width="8.08984375" customWidth="1"/>
    <col min="8" max="8" width="7.6328125" customWidth="1"/>
    <col min="9" max="9" width="7.36328125" customWidth="1"/>
    <col min="10" max="10" width="9.08984375" customWidth="1"/>
    <col min="11" max="11" width="7.1796875" customWidth="1"/>
    <col min="12" max="12" width="7.08984375" customWidth="1"/>
    <col min="13" max="13" width="9.1796875" customWidth="1"/>
    <col min="14" max="14" width="8.08984375" customWidth="1"/>
    <col min="15" max="15" width="8.90625" customWidth="1"/>
    <col min="16" max="16" width="10.90625" customWidth="1"/>
    <col min="17" max="17" width="7.1796875" customWidth="1"/>
  </cols>
  <sheetData>
    <row r="1" spans="1:17" ht="18" thickBot="1" x14ac:dyDescent="0.35">
      <c r="A1" s="16" t="s">
        <v>8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s="8" t="s">
        <v>714</v>
      </c>
      <c r="B3" s="2" t="s">
        <v>704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122</v>
      </c>
      <c r="O3" s="8">
        <v>0</v>
      </c>
      <c r="P3" s="8">
        <v>0</v>
      </c>
      <c r="Q3" s="8">
        <v>0</v>
      </c>
    </row>
    <row r="4" spans="1:17" x14ac:dyDescent="0.25">
      <c r="A4" s="8" t="s">
        <v>715</v>
      </c>
      <c r="B4" s="2" t="s">
        <v>705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6</v>
      </c>
      <c r="O4" s="8">
        <v>0</v>
      </c>
      <c r="P4" s="8">
        <v>0</v>
      </c>
      <c r="Q4" s="8">
        <v>0</v>
      </c>
    </row>
    <row r="5" spans="1:17" x14ac:dyDescent="0.25">
      <c r="A5" s="8" t="s">
        <v>716</v>
      </c>
      <c r="B5" s="2" t="s">
        <v>706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13</v>
      </c>
      <c r="O5" s="8">
        <v>0</v>
      </c>
      <c r="P5" s="8">
        <v>0</v>
      </c>
      <c r="Q5" s="8">
        <v>0</v>
      </c>
    </row>
    <row r="6" spans="1:17" ht="75" x14ac:dyDescent="0.25">
      <c r="A6" s="8" t="s">
        <v>82</v>
      </c>
      <c r="B6" s="2" t="s">
        <v>707</v>
      </c>
      <c r="C6" s="8">
        <v>0</v>
      </c>
      <c r="D6" s="8">
        <v>0</v>
      </c>
      <c r="E6" s="8">
        <v>0</v>
      </c>
      <c r="F6" s="8">
        <v>28</v>
      </c>
      <c r="G6" s="8">
        <v>7</v>
      </c>
      <c r="H6" s="8">
        <v>0</v>
      </c>
      <c r="I6" s="8">
        <v>0</v>
      </c>
      <c r="J6" s="8">
        <v>1</v>
      </c>
      <c r="K6" s="8">
        <v>0</v>
      </c>
      <c r="L6" s="8">
        <v>0</v>
      </c>
      <c r="M6" s="8">
        <v>0</v>
      </c>
      <c r="N6" s="8">
        <v>185</v>
      </c>
      <c r="O6" s="8">
        <v>0</v>
      </c>
      <c r="P6" s="8">
        <v>0</v>
      </c>
      <c r="Q6" s="8">
        <v>0</v>
      </c>
    </row>
    <row r="7" spans="1:17" x14ac:dyDescent="0.25">
      <c r="A7" s="8" t="s">
        <v>717</v>
      </c>
      <c r="B7" s="2" t="s">
        <v>708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25</v>
      </c>
      <c r="O7" s="8">
        <v>0</v>
      </c>
      <c r="P7" s="8">
        <v>0</v>
      </c>
      <c r="Q7" s="8">
        <v>0</v>
      </c>
    </row>
    <row r="8" spans="1:17" x14ac:dyDescent="0.25">
      <c r="A8" s="8" t="s">
        <v>718</v>
      </c>
      <c r="B8" s="2" t="s">
        <v>709</v>
      </c>
      <c r="C8" s="8">
        <v>0</v>
      </c>
      <c r="D8" s="8">
        <v>0</v>
      </c>
      <c r="E8" s="8">
        <v>0</v>
      </c>
      <c r="F8" s="8">
        <v>1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11</v>
      </c>
      <c r="O8" s="8">
        <v>0</v>
      </c>
      <c r="P8" s="8">
        <v>0</v>
      </c>
      <c r="Q8" s="8">
        <v>0</v>
      </c>
    </row>
    <row r="9" spans="1:17" x14ac:dyDescent="0.25">
      <c r="A9" s="8" t="s">
        <v>719</v>
      </c>
      <c r="B9" s="2" t="s">
        <v>710</v>
      </c>
      <c r="C9" s="8">
        <v>0</v>
      </c>
      <c r="D9" s="8">
        <v>0</v>
      </c>
      <c r="E9" s="8">
        <v>0</v>
      </c>
      <c r="F9" s="8">
        <v>2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28</v>
      </c>
      <c r="O9" s="8">
        <v>0</v>
      </c>
      <c r="P9" s="8">
        <v>0</v>
      </c>
      <c r="Q9" s="8">
        <v>0</v>
      </c>
    </row>
    <row r="10" spans="1:17" x14ac:dyDescent="0.25">
      <c r="A10" s="8" t="s">
        <v>720</v>
      </c>
      <c r="B10" s="2" t="s">
        <v>711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5</v>
      </c>
      <c r="O10" s="8">
        <v>0</v>
      </c>
      <c r="P10" s="8">
        <v>0</v>
      </c>
      <c r="Q10" s="8">
        <v>0</v>
      </c>
    </row>
    <row r="11" spans="1:17" ht="30" x14ac:dyDescent="0.25">
      <c r="A11" s="8" t="s">
        <v>721</v>
      </c>
      <c r="B11" s="2" t="s">
        <v>712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65</v>
      </c>
      <c r="O11" s="8">
        <v>1</v>
      </c>
      <c r="P11" s="8">
        <v>0</v>
      </c>
      <c r="Q11" s="8">
        <v>4</v>
      </c>
    </row>
    <row r="12" spans="1:17" x14ac:dyDescent="0.25">
      <c r="A12" s="8" t="s">
        <v>722</v>
      </c>
      <c r="B12" s="2" t="s">
        <v>713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22</v>
      </c>
      <c r="O12" s="8">
        <v>0</v>
      </c>
      <c r="P12" s="8">
        <v>0</v>
      </c>
      <c r="Q12" s="8">
        <v>0</v>
      </c>
    </row>
    <row r="13" spans="1:17" x14ac:dyDescent="0.25">
      <c r="A13" t="s">
        <v>723</v>
      </c>
      <c r="B13" s="19" t="s">
        <v>724</v>
      </c>
      <c r="C13">
        <f>SUBTOTAL(109,Table47[American Sign Language Total])</f>
        <v>0</v>
      </c>
      <c r="D13">
        <f>SUBTOTAL(109,Table47[Arabic Total])</f>
        <v>0</v>
      </c>
      <c r="E13">
        <f>SUBTOTAL(109,Table47[Cantonese Total])</f>
        <v>0</v>
      </c>
      <c r="F13">
        <f>SUBTOTAL(109,Table47[French Total])</f>
        <v>31</v>
      </c>
      <c r="G13">
        <f>SUBTOTAL(109,Table47[German Total])</f>
        <v>7</v>
      </c>
      <c r="H13">
        <f>SUBTOTAL(109,Table47[Hmong Total])</f>
        <v>0</v>
      </c>
      <c r="I13">
        <f>SUBTOTAL(109,Table47[Italian Total])</f>
        <v>0</v>
      </c>
      <c r="J13">
        <f>SUBTOTAL(109,Table47[Japanese Total])</f>
        <v>1</v>
      </c>
      <c r="K13">
        <f>SUBTOTAL(109,Table47[Korean Total])</f>
        <v>0</v>
      </c>
      <c r="L13">
        <f>SUBTOTAL(109,Table47[Latin Total])</f>
        <v>0</v>
      </c>
      <c r="M13">
        <f>SUBTOTAL(109,Table47[Mandarin Total])</f>
        <v>0</v>
      </c>
      <c r="N13">
        <f>SUBTOTAL(109,Table47[Spanish Total])</f>
        <v>482</v>
      </c>
      <c r="O13">
        <f>SUBTOTAL(109,Table47[Tagalog (Filipino) Total])</f>
        <v>1</v>
      </c>
      <c r="P13">
        <f>SUBTOTAL(109,Table47[Vietnamese Total])</f>
        <v>0</v>
      </c>
      <c r="Q13">
        <f>SUBTOTAL(109,Table47[Other Total])</f>
        <v>4</v>
      </c>
    </row>
  </sheetData>
  <sortState xmlns:xlrd2="http://schemas.microsoft.com/office/spreadsheetml/2017/richdata2" ref="A2:Y12">
    <sortCondition ref="A2:A12"/>
  </sortState>
  <conditionalFormatting sqref="A1:B2">
    <cfRule type="duplicateValues" dxfId="6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Q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8.90625" bestFit="1" customWidth="1"/>
    <col min="2" max="2" width="28.81640625" bestFit="1" customWidth="1"/>
    <col min="3" max="3" width="16.1796875" customWidth="1"/>
    <col min="4" max="4" width="7.453125" customWidth="1"/>
    <col min="5" max="5" width="10.08984375" customWidth="1"/>
    <col min="6" max="6" width="7.1796875" customWidth="1"/>
    <col min="7" max="7" width="7.6328125" customWidth="1"/>
    <col min="8" max="8" width="7.36328125" customWidth="1"/>
    <col min="9" max="9" width="7.08984375" customWidth="1"/>
    <col min="10" max="10" width="9.08984375" customWidth="1"/>
    <col min="11" max="12" width="7.08984375" customWidth="1"/>
    <col min="13" max="13" width="9.08984375" customWidth="1"/>
    <col min="14" max="14" width="8.08984375" customWidth="1"/>
    <col min="15" max="15" width="8.90625" customWidth="1"/>
    <col min="16" max="16" width="11" customWidth="1"/>
    <col min="17" max="17" width="7.1796875" customWidth="1"/>
  </cols>
  <sheetData>
    <row r="1" spans="1:17" ht="18" thickBot="1" x14ac:dyDescent="0.35">
      <c r="A1" s="16" t="s">
        <v>45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t="s">
        <v>46</v>
      </c>
      <c r="B3" t="s">
        <v>731</v>
      </c>
      <c r="C3">
        <v>0</v>
      </c>
      <c r="D3">
        <v>0</v>
      </c>
      <c r="E3">
        <v>0</v>
      </c>
      <c r="F3">
        <v>0</v>
      </c>
      <c r="G3">
        <v>6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11</v>
      </c>
      <c r="O3">
        <v>0</v>
      </c>
      <c r="P3">
        <v>0</v>
      </c>
      <c r="Q3">
        <v>0</v>
      </c>
    </row>
    <row r="4" spans="1:17" x14ac:dyDescent="0.25">
      <c r="A4" t="s">
        <v>728</v>
      </c>
      <c r="B4" t="s">
        <v>732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7</v>
      </c>
      <c r="O4">
        <v>0</v>
      </c>
      <c r="P4">
        <v>0</v>
      </c>
      <c r="Q4">
        <v>0</v>
      </c>
    </row>
    <row r="5" spans="1:17" x14ac:dyDescent="0.25">
      <c r="A5" t="s">
        <v>726</v>
      </c>
      <c r="B5" t="s">
        <v>725</v>
      </c>
      <c r="C5">
        <v>0</v>
      </c>
      <c r="D5">
        <v>0</v>
      </c>
      <c r="E5">
        <v>0</v>
      </c>
      <c r="F5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4</v>
      </c>
      <c r="O5">
        <v>0</v>
      </c>
      <c r="P5">
        <v>0</v>
      </c>
      <c r="Q5">
        <v>0</v>
      </c>
    </row>
    <row r="6" spans="1:17" x14ac:dyDescent="0.25">
      <c r="A6" t="s">
        <v>729</v>
      </c>
      <c r="B6" t="s">
        <v>730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54</v>
      </c>
      <c r="O6">
        <v>0</v>
      </c>
      <c r="P6">
        <v>0</v>
      </c>
      <c r="Q6">
        <v>0</v>
      </c>
    </row>
    <row r="7" spans="1:17" x14ac:dyDescent="0.25">
      <c r="A7" t="s">
        <v>97</v>
      </c>
      <c r="B7" t="s">
        <v>727</v>
      </c>
      <c r="C7">
        <v>0</v>
      </c>
      <c r="D7">
        <v>0</v>
      </c>
      <c r="E7">
        <v>0</v>
      </c>
      <c r="F7">
        <v>4</v>
      </c>
      <c r="G7">
        <v>7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67</v>
      </c>
      <c r="O7">
        <v>0</v>
      </c>
      <c r="P7">
        <v>0</v>
      </c>
      <c r="Q7">
        <v>3</v>
      </c>
    </row>
    <row r="8" spans="1:17" x14ac:dyDescent="0.25">
      <c r="A8" t="s">
        <v>316</v>
      </c>
      <c r="B8" s="12" t="s">
        <v>293</v>
      </c>
      <c r="C8">
        <f>SUBTOTAL(109,Table48[American Sign Language Total])</f>
        <v>0</v>
      </c>
      <c r="D8">
        <f>SUBTOTAL(109,Table48[Arabic Total])</f>
        <v>0</v>
      </c>
      <c r="E8">
        <f>SUBTOTAL(109,Table48[Cantonese Total])</f>
        <v>0</v>
      </c>
      <c r="F8">
        <f>SUBTOTAL(109,Table48[French Total])</f>
        <v>5</v>
      </c>
      <c r="G8">
        <f>SUBTOTAL(109,Table48[German Total])</f>
        <v>13</v>
      </c>
      <c r="H8">
        <f>SUBTOTAL(109,Table48[Hmong Total])</f>
        <v>0</v>
      </c>
      <c r="I8">
        <f>SUBTOTAL(109,Table48[Italian Total])</f>
        <v>0</v>
      </c>
      <c r="J8">
        <f>SUBTOTAL(109,Table48[Japanese Total])</f>
        <v>0</v>
      </c>
      <c r="K8">
        <f>SUBTOTAL(109,Table48[Korean Total])</f>
        <v>0</v>
      </c>
      <c r="L8">
        <f>SUBTOTAL(109,Table48[Latin Total])</f>
        <v>0</v>
      </c>
      <c r="M8">
        <f>SUBTOTAL(109,Table48[Mandarin Total])</f>
        <v>0</v>
      </c>
      <c r="N8">
        <f>SUBTOTAL(109,Table48[Spanish Total])</f>
        <v>143</v>
      </c>
      <c r="O8">
        <f>SUBTOTAL(109,Table48[Tagalog (Filipino) Total])</f>
        <v>0</v>
      </c>
      <c r="P8">
        <f>SUBTOTAL(109,Table48[Vietnamese Total])</f>
        <v>0</v>
      </c>
      <c r="Q8">
        <f>SUBTOTAL(109,Table48[Other Total])</f>
        <v>3</v>
      </c>
    </row>
  </sheetData>
  <conditionalFormatting sqref="A1:B2">
    <cfRule type="duplicateValues" dxfId="5" priority="1"/>
  </conditionalFormatting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Q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3.08984375" bestFit="1" customWidth="1"/>
    <col min="2" max="2" width="20.54296875" customWidth="1"/>
    <col min="3" max="3" width="16.54296875" customWidth="1"/>
    <col min="4" max="4" width="7.1796875" customWidth="1"/>
    <col min="5" max="5" width="10.1796875" customWidth="1"/>
    <col min="6" max="6" width="7.36328125" customWidth="1"/>
    <col min="7" max="7" width="7.81640625" customWidth="1"/>
    <col min="8" max="9" width="7.08984375" customWidth="1"/>
    <col min="10" max="10" width="9.1796875" customWidth="1"/>
    <col min="11" max="11" width="7.54296875" customWidth="1"/>
    <col min="12" max="12" width="7.08984375" customWidth="1"/>
    <col min="13" max="13" width="9" customWidth="1"/>
    <col min="14" max="14" width="8" customWidth="1"/>
    <col min="15" max="15" width="9.1796875" customWidth="1"/>
    <col min="16" max="16" width="10.90625" customWidth="1"/>
    <col min="17" max="17" width="7.36328125" customWidth="1"/>
  </cols>
  <sheetData>
    <row r="1" spans="1:17" ht="18" thickBot="1" x14ac:dyDescent="0.35">
      <c r="A1" s="16" t="s">
        <v>3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30" x14ac:dyDescent="0.25">
      <c r="A3" s="8" t="s">
        <v>733</v>
      </c>
      <c r="B3" s="2" t="s">
        <v>735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17</v>
      </c>
      <c r="O3" s="8">
        <v>0</v>
      </c>
      <c r="P3" s="8">
        <v>0</v>
      </c>
      <c r="Q3" s="8">
        <v>0</v>
      </c>
    </row>
    <row r="4" spans="1:17" x14ac:dyDescent="0.25">
      <c r="A4" s="8" t="s">
        <v>145</v>
      </c>
      <c r="B4" s="8" t="s">
        <v>736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1</v>
      </c>
      <c r="O4" s="8">
        <v>0</v>
      </c>
      <c r="P4" s="8">
        <v>0</v>
      </c>
      <c r="Q4" s="8">
        <v>0</v>
      </c>
    </row>
    <row r="5" spans="1:17" x14ac:dyDescent="0.25">
      <c r="A5" s="8" t="s">
        <v>734</v>
      </c>
      <c r="B5" s="8" t="s">
        <v>737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26</v>
      </c>
      <c r="O5" s="8">
        <v>0</v>
      </c>
      <c r="P5" s="8">
        <v>0</v>
      </c>
      <c r="Q5" s="8">
        <v>0</v>
      </c>
    </row>
    <row r="6" spans="1:17" x14ac:dyDescent="0.25">
      <c r="A6" t="s">
        <v>215</v>
      </c>
      <c r="B6" s="12" t="s">
        <v>399</v>
      </c>
      <c r="C6">
        <f>SUBTOTAL(109,Table49[American Sign Language Total])</f>
        <v>0</v>
      </c>
      <c r="D6">
        <f>SUBTOTAL(109,Table49[Arabic Total])</f>
        <v>0</v>
      </c>
      <c r="E6">
        <f>SUBTOTAL(109,Table49[Cantonese Total])</f>
        <v>0</v>
      </c>
      <c r="F6">
        <f>SUBTOTAL(109,Table49[French Total])</f>
        <v>0</v>
      </c>
      <c r="G6">
        <f>SUBTOTAL(109,Table49[German Total])</f>
        <v>0</v>
      </c>
      <c r="H6">
        <f>SUBTOTAL(109,Table49[Hmong Total])</f>
        <v>0</v>
      </c>
      <c r="I6">
        <f>SUBTOTAL(109,Table49[Italian Total])</f>
        <v>0</v>
      </c>
      <c r="J6">
        <f>SUBTOTAL(109,Table49[Japanese Total])</f>
        <v>0</v>
      </c>
      <c r="K6">
        <f>SUBTOTAL(109,Table49[Korean Total])</f>
        <v>0</v>
      </c>
      <c r="L6">
        <f>SUBTOTAL(109,Table49[Latin Total])</f>
        <v>0</v>
      </c>
      <c r="M6">
        <f>SUBTOTAL(109,Table49[Mandarin Total])</f>
        <v>0</v>
      </c>
      <c r="N6">
        <f>SUBTOTAL(109,Table49[Spanish Total])</f>
        <v>44</v>
      </c>
      <c r="O6">
        <f>SUBTOTAL(109,Table49[Tagalog (Filipino) Total])</f>
        <v>0</v>
      </c>
      <c r="P6">
        <f>SUBTOTAL(109,Table49[Vietnamese Total])</f>
        <v>0</v>
      </c>
      <c r="Q6">
        <f>SUBTOTAL(109,Table49[Other Total])</f>
        <v>0</v>
      </c>
    </row>
  </sheetData>
  <conditionalFormatting sqref="A1:B2">
    <cfRule type="duplicateValues" dxfId="4" priority="1"/>
  </conditionalFormatting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1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2" bestFit="1" customWidth="1"/>
    <col min="2" max="2" width="32" customWidth="1"/>
    <col min="3" max="3" width="16.36328125" customWidth="1"/>
    <col min="4" max="4" width="7.36328125" customWidth="1"/>
    <col min="5" max="5" width="10.36328125" customWidth="1"/>
    <col min="6" max="6" width="7.36328125" customWidth="1"/>
    <col min="7" max="7" width="7.6328125" customWidth="1"/>
    <col min="8" max="8" width="7.453125" customWidth="1"/>
    <col min="9" max="9" width="7.1796875" customWidth="1"/>
    <col min="10" max="10" width="9.08984375" customWidth="1"/>
    <col min="11" max="11" width="7.1796875" customWidth="1"/>
    <col min="12" max="12" width="7.08984375" customWidth="1"/>
    <col min="13" max="13" width="9.36328125" customWidth="1"/>
    <col min="14" max="14" width="8.08984375" customWidth="1"/>
    <col min="15" max="15" width="8.81640625" customWidth="1"/>
    <col min="16" max="16" width="10.90625" customWidth="1"/>
    <col min="17" max="17" width="7.36328125" customWidth="1"/>
  </cols>
  <sheetData>
    <row r="1" spans="1:17" ht="18" thickBot="1" x14ac:dyDescent="0.35">
      <c r="A1" s="16" t="s">
        <v>6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s="8" t="s">
        <v>738</v>
      </c>
      <c r="B3" s="2" t="s">
        <v>743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8</v>
      </c>
      <c r="O3" s="8">
        <v>0</v>
      </c>
      <c r="P3" s="8">
        <v>0</v>
      </c>
      <c r="Q3" s="8">
        <v>0</v>
      </c>
    </row>
    <row r="4" spans="1:17" x14ac:dyDescent="0.25">
      <c r="A4" s="8" t="s">
        <v>739</v>
      </c>
      <c r="B4" s="2" t="s">
        <v>744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17</v>
      </c>
      <c r="O4" s="8">
        <v>0</v>
      </c>
      <c r="P4" s="8">
        <v>0</v>
      </c>
      <c r="Q4" s="8">
        <v>0</v>
      </c>
    </row>
    <row r="5" spans="1:17" x14ac:dyDescent="0.25">
      <c r="A5" s="8" t="s">
        <v>740</v>
      </c>
      <c r="B5" s="2" t="s">
        <v>742</v>
      </c>
      <c r="C5" s="8">
        <v>0</v>
      </c>
      <c r="D5" s="8">
        <v>0</v>
      </c>
      <c r="E5" s="8">
        <v>0</v>
      </c>
      <c r="F5" s="8">
        <v>6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18</v>
      </c>
      <c r="O5" s="8">
        <v>0</v>
      </c>
      <c r="P5" s="8">
        <v>0</v>
      </c>
      <c r="Q5" s="8">
        <v>0</v>
      </c>
    </row>
    <row r="6" spans="1:17" x14ac:dyDescent="0.25">
      <c r="A6" s="8" t="s">
        <v>752</v>
      </c>
      <c r="B6" s="2" t="s">
        <v>745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20</v>
      </c>
      <c r="O6" s="8">
        <v>0</v>
      </c>
      <c r="P6" s="8">
        <v>0</v>
      </c>
      <c r="Q6" s="8">
        <v>0</v>
      </c>
    </row>
    <row r="7" spans="1:17" x14ac:dyDescent="0.25">
      <c r="A7" s="8" t="s">
        <v>753</v>
      </c>
      <c r="B7" s="2" t="s">
        <v>746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20</v>
      </c>
      <c r="O7" s="8">
        <v>0</v>
      </c>
      <c r="P7" s="8">
        <v>0</v>
      </c>
      <c r="Q7" s="8">
        <v>0</v>
      </c>
    </row>
    <row r="8" spans="1:17" x14ac:dyDescent="0.25">
      <c r="A8" s="8" t="s">
        <v>754</v>
      </c>
      <c r="B8" s="2" t="s">
        <v>747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20</v>
      </c>
      <c r="O8" s="8">
        <v>0</v>
      </c>
      <c r="P8" s="8">
        <v>0</v>
      </c>
      <c r="Q8" s="8">
        <v>0</v>
      </c>
    </row>
    <row r="9" spans="1:17" ht="45" x14ac:dyDescent="0.25">
      <c r="A9" s="8" t="s">
        <v>755</v>
      </c>
      <c r="B9" s="2" t="s">
        <v>748</v>
      </c>
      <c r="C9" s="8">
        <v>0</v>
      </c>
      <c r="D9" s="8">
        <v>0</v>
      </c>
      <c r="E9" s="8">
        <v>0</v>
      </c>
      <c r="F9" s="8">
        <v>14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172</v>
      </c>
      <c r="O9" s="8">
        <v>0</v>
      </c>
      <c r="P9" s="8">
        <v>0</v>
      </c>
      <c r="Q9" s="8">
        <v>0</v>
      </c>
    </row>
    <row r="10" spans="1:17" ht="30" x14ac:dyDescent="0.25">
      <c r="A10" s="8" t="s">
        <v>756</v>
      </c>
      <c r="B10" s="2" t="s">
        <v>749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147</v>
      </c>
      <c r="O10" s="8">
        <v>0</v>
      </c>
      <c r="P10" s="8">
        <v>0</v>
      </c>
      <c r="Q10" s="8">
        <v>30</v>
      </c>
    </row>
    <row r="11" spans="1:17" ht="30" x14ac:dyDescent="0.25">
      <c r="A11" s="8" t="s">
        <v>741</v>
      </c>
      <c r="B11" s="2" t="s">
        <v>750</v>
      </c>
      <c r="C11" s="8">
        <v>0</v>
      </c>
      <c r="D11" s="8">
        <v>0</v>
      </c>
      <c r="E11" s="8">
        <v>0</v>
      </c>
      <c r="F11" s="8">
        <v>11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127</v>
      </c>
      <c r="O11" s="8">
        <v>0</v>
      </c>
      <c r="P11" s="8">
        <v>0</v>
      </c>
      <c r="Q11" s="8">
        <v>0</v>
      </c>
    </row>
    <row r="12" spans="1:17" x14ac:dyDescent="0.25">
      <c r="A12" s="8" t="s">
        <v>757</v>
      </c>
      <c r="B12" s="2" t="s">
        <v>751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13</v>
      </c>
      <c r="O12" s="8">
        <v>0</v>
      </c>
      <c r="P12" s="8">
        <v>0</v>
      </c>
      <c r="Q12" s="8">
        <v>0</v>
      </c>
    </row>
    <row r="13" spans="1:17" x14ac:dyDescent="0.25">
      <c r="A13" t="s">
        <v>723</v>
      </c>
      <c r="B13" s="19" t="s">
        <v>724</v>
      </c>
      <c r="C13">
        <f>SUBTOTAL(109,Table50[American Sign Language Total])</f>
        <v>0</v>
      </c>
      <c r="D13">
        <f>SUBTOTAL(109,Table50[Arabic Total])</f>
        <v>0</v>
      </c>
      <c r="E13">
        <f>SUBTOTAL(109,Table50[Cantonese Total])</f>
        <v>0</v>
      </c>
      <c r="F13">
        <f>SUBTOTAL(109,Table50[French Total])</f>
        <v>31</v>
      </c>
      <c r="G13">
        <f>SUBTOTAL(109,Table50[German Total])</f>
        <v>0</v>
      </c>
      <c r="H13">
        <f>SUBTOTAL(109,Table50[Hmong Total])</f>
        <v>0</v>
      </c>
      <c r="I13">
        <f>SUBTOTAL(109,Table50[Italian Total])</f>
        <v>0</v>
      </c>
      <c r="J13">
        <f>SUBTOTAL(109,Table50[Japanese Total])</f>
        <v>0</v>
      </c>
      <c r="K13">
        <f>SUBTOTAL(109,Table50[Korean Total])</f>
        <v>0</v>
      </c>
      <c r="L13">
        <f>SUBTOTAL(109,Table50[Latin Total])</f>
        <v>0</v>
      </c>
      <c r="M13">
        <f>SUBTOTAL(109,Table50[Mandarin Total])</f>
        <v>0</v>
      </c>
      <c r="N13">
        <f>SUBTOTAL(109,Table50[Spanish Total])</f>
        <v>562</v>
      </c>
      <c r="O13">
        <f>SUBTOTAL(109,Table50[Tagalog (Filipino) Total])</f>
        <v>0</v>
      </c>
      <c r="P13">
        <f>SUBTOTAL(109,Table50[Vietnamese Total])</f>
        <v>0</v>
      </c>
      <c r="Q13">
        <f>SUBTOTAL(109,Table50[Other Total])</f>
        <v>30</v>
      </c>
    </row>
  </sheetData>
  <conditionalFormatting sqref="A1:B2">
    <cfRule type="duplicateValues" dxfId="3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9.6328125" customWidth="1"/>
    <col min="2" max="2" width="19.36328125" customWidth="1"/>
    <col min="3" max="3" width="16.453125" customWidth="1"/>
    <col min="4" max="4" width="7.08984375" customWidth="1"/>
    <col min="5" max="5" width="10.1796875" customWidth="1"/>
    <col min="6" max="6" width="7.1796875" customWidth="1"/>
    <col min="7" max="7" width="7.81640625" customWidth="1"/>
    <col min="8" max="8" width="7.1796875" customWidth="1"/>
    <col min="9" max="9" width="7.36328125" customWidth="1"/>
    <col min="10" max="10" width="9.08984375" customWidth="1"/>
    <col min="11" max="12" width="7.36328125" customWidth="1"/>
    <col min="13" max="13" width="9.08984375" customWidth="1"/>
    <col min="14" max="14" width="8.08984375" customWidth="1"/>
    <col min="15" max="15" width="8.90625" customWidth="1"/>
    <col min="16" max="16" width="10.90625" customWidth="1"/>
    <col min="17" max="17" width="7.08984375" customWidth="1"/>
  </cols>
  <sheetData>
    <row r="1" spans="1:17" ht="18" thickBot="1" x14ac:dyDescent="0.35">
      <c r="A1" s="9" t="s">
        <v>102</v>
      </c>
    </row>
    <row r="2" spans="1:17" ht="45.6" thickTop="1" x14ac:dyDescent="0.25">
      <c r="A2" s="2" t="s">
        <v>207</v>
      </c>
      <c r="B2" s="8" t="s">
        <v>219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t="s">
        <v>220</v>
      </c>
      <c r="B3" t="s">
        <v>220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10</v>
      </c>
      <c r="O3">
        <v>0</v>
      </c>
      <c r="P3">
        <v>0</v>
      </c>
      <c r="Q3">
        <v>0</v>
      </c>
    </row>
    <row r="4" spans="1:17" x14ac:dyDescent="0.25">
      <c r="A4" t="s">
        <v>210</v>
      </c>
      <c r="B4" s="12" t="s">
        <v>221</v>
      </c>
      <c r="C4">
        <f>SUBTOTAL(109,Table6[American Sign Language Total])</f>
        <v>0</v>
      </c>
      <c r="D4">
        <f>SUBTOTAL(109,Table6[Arabic Total])</f>
        <v>0</v>
      </c>
      <c r="E4">
        <f>SUBTOTAL(109,Table6[Cantonese Total])</f>
        <v>0</v>
      </c>
      <c r="F4">
        <f>SUBTOTAL(109,Table6[French Total])</f>
        <v>0</v>
      </c>
      <c r="G4">
        <f>SUBTOTAL(109,Table6[German Total])</f>
        <v>0</v>
      </c>
      <c r="H4">
        <f>SUBTOTAL(109,Table6[Hmong Total])</f>
        <v>0</v>
      </c>
      <c r="I4">
        <f>SUBTOTAL(109,Table6[Italian Total])</f>
        <v>0</v>
      </c>
      <c r="J4">
        <f>SUBTOTAL(109,Table6[Japanese Total])</f>
        <v>0</v>
      </c>
      <c r="K4">
        <f>SUBTOTAL(109,Table6[Korean Total])</f>
        <v>0</v>
      </c>
      <c r="L4">
        <f>SUBTOTAL(109,Table6[Latin Total])</f>
        <v>0</v>
      </c>
      <c r="M4">
        <f>SUBTOTAL(109,Table6[Mandarin Total])</f>
        <v>0</v>
      </c>
      <c r="N4">
        <f>SUBTOTAL(109,Table6[Spanish Total])</f>
        <v>10</v>
      </c>
      <c r="O4">
        <f>SUBTOTAL(109,Table6[Tagalog (Filipino) Total])</f>
        <v>0</v>
      </c>
      <c r="P4">
        <f>SUBTOTAL(109,Table6[Vietnamese Total])</f>
        <v>0</v>
      </c>
      <c r="Q4">
        <f>SUBTOTAL(109,Table6[Other Total])</f>
        <v>0</v>
      </c>
    </row>
  </sheetData>
  <pageMargins left="0.7" right="0.7" top="0.75" bottom="0.75" header="0.3" footer="0.3"/>
  <tableParts count="1">
    <tablePart r:id="rId1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Q1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8.54296875" customWidth="1"/>
    <col min="2" max="2" width="31.08984375" customWidth="1"/>
    <col min="3" max="3" width="16.81640625" customWidth="1"/>
    <col min="4" max="4" width="7.1796875" customWidth="1"/>
    <col min="5" max="5" width="10.36328125" customWidth="1"/>
    <col min="6" max="6" width="7.36328125" customWidth="1"/>
    <col min="7" max="7" width="8.08984375" customWidth="1"/>
    <col min="8" max="8" width="7.453125" customWidth="1"/>
    <col min="9" max="9" width="7.1796875" customWidth="1"/>
    <col min="10" max="10" width="9" customWidth="1"/>
    <col min="11" max="11" width="7.36328125" customWidth="1"/>
    <col min="12" max="12" width="7" customWidth="1"/>
    <col min="13" max="13" width="9.08984375" customWidth="1"/>
    <col min="14" max="14" width="8" customWidth="1"/>
    <col min="15" max="15" width="9.08984375" customWidth="1"/>
    <col min="16" max="16" width="11.08984375" customWidth="1"/>
    <col min="17" max="17" width="7.08984375" customWidth="1"/>
  </cols>
  <sheetData>
    <row r="1" spans="1:17" ht="18" thickBot="1" x14ac:dyDescent="0.35">
      <c r="A1" s="16" t="s">
        <v>92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30" x14ac:dyDescent="0.25">
      <c r="A3" s="8" t="s">
        <v>758</v>
      </c>
      <c r="B3" s="2" t="s">
        <v>766</v>
      </c>
      <c r="C3" s="10">
        <v>0</v>
      </c>
      <c r="D3" s="10">
        <v>0</v>
      </c>
      <c r="E3" s="10">
        <v>0</v>
      </c>
      <c r="F3" s="10">
        <v>43</v>
      </c>
      <c r="G3" s="10">
        <v>0</v>
      </c>
      <c r="H3" s="10">
        <v>0</v>
      </c>
      <c r="I3" s="10">
        <v>0</v>
      </c>
      <c r="J3" s="10">
        <v>1</v>
      </c>
      <c r="K3" s="10">
        <v>0</v>
      </c>
      <c r="L3" s="10">
        <v>0</v>
      </c>
      <c r="M3" s="10">
        <v>37</v>
      </c>
      <c r="N3" s="10">
        <v>234</v>
      </c>
      <c r="O3" s="10">
        <v>0</v>
      </c>
      <c r="P3" s="10">
        <v>0</v>
      </c>
      <c r="Q3" s="10">
        <v>0</v>
      </c>
    </row>
    <row r="4" spans="1:17" x14ac:dyDescent="0.25">
      <c r="A4" s="8" t="s">
        <v>759</v>
      </c>
      <c r="B4" s="2" t="s">
        <v>767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44</v>
      </c>
      <c r="O4" s="10">
        <v>0</v>
      </c>
      <c r="P4" s="10">
        <v>0</v>
      </c>
      <c r="Q4" s="10">
        <v>0</v>
      </c>
    </row>
    <row r="5" spans="1:17" x14ac:dyDescent="0.25">
      <c r="A5" s="8" t="s">
        <v>93</v>
      </c>
      <c r="B5" s="2" t="s">
        <v>768</v>
      </c>
      <c r="C5" s="10">
        <v>0</v>
      </c>
      <c r="D5" s="10">
        <v>0</v>
      </c>
      <c r="E5" s="10">
        <v>0</v>
      </c>
      <c r="F5" s="10">
        <v>11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14</v>
      </c>
      <c r="O5" s="10">
        <v>0</v>
      </c>
      <c r="P5" s="10">
        <v>0</v>
      </c>
      <c r="Q5" s="10">
        <v>0</v>
      </c>
    </row>
    <row r="6" spans="1:17" x14ac:dyDescent="0.25">
      <c r="A6" s="8" t="s">
        <v>760</v>
      </c>
      <c r="B6" s="2" t="s">
        <v>769</v>
      </c>
      <c r="C6" s="10">
        <v>0</v>
      </c>
      <c r="D6" s="10">
        <v>0</v>
      </c>
      <c r="E6" s="10">
        <v>0</v>
      </c>
      <c r="F6" s="10">
        <v>12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25</v>
      </c>
      <c r="O6" s="10">
        <v>0</v>
      </c>
      <c r="P6" s="10">
        <v>0</v>
      </c>
      <c r="Q6" s="10">
        <v>5</v>
      </c>
    </row>
    <row r="7" spans="1:17" ht="60" x14ac:dyDescent="0.25">
      <c r="A7" s="8" t="s">
        <v>761</v>
      </c>
      <c r="B7" s="2" t="s">
        <v>770</v>
      </c>
      <c r="C7" s="10">
        <v>0</v>
      </c>
      <c r="D7" s="10">
        <v>0</v>
      </c>
      <c r="E7" s="10">
        <v>0</v>
      </c>
      <c r="F7" s="10">
        <v>20</v>
      </c>
      <c r="G7" s="10">
        <v>10</v>
      </c>
      <c r="H7" s="10">
        <v>0</v>
      </c>
      <c r="I7" s="10">
        <v>0</v>
      </c>
      <c r="J7" s="10">
        <v>0</v>
      </c>
      <c r="K7" s="10">
        <v>2</v>
      </c>
      <c r="L7" s="10">
        <v>0</v>
      </c>
      <c r="M7" s="10">
        <v>0</v>
      </c>
      <c r="N7" s="10">
        <v>396</v>
      </c>
      <c r="O7" s="10">
        <v>0</v>
      </c>
      <c r="P7" s="10">
        <v>0</v>
      </c>
      <c r="Q7" s="10">
        <v>1</v>
      </c>
    </row>
    <row r="8" spans="1:17" x14ac:dyDescent="0.25">
      <c r="A8" s="8" t="s">
        <v>762</v>
      </c>
      <c r="B8" s="2" t="s">
        <v>771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21</v>
      </c>
      <c r="O8" s="10">
        <v>0</v>
      </c>
      <c r="P8" s="10">
        <v>0</v>
      </c>
      <c r="Q8" s="10">
        <v>0</v>
      </c>
    </row>
    <row r="9" spans="1:17" ht="30" x14ac:dyDescent="0.25">
      <c r="A9" s="8" t="s">
        <v>763</v>
      </c>
      <c r="B9" s="2" t="s">
        <v>772</v>
      </c>
      <c r="C9" s="10">
        <v>0</v>
      </c>
      <c r="D9" s="10">
        <v>0</v>
      </c>
      <c r="E9" s="10">
        <v>0</v>
      </c>
      <c r="F9" s="10">
        <v>11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91</v>
      </c>
      <c r="O9" s="10">
        <v>0</v>
      </c>
      <c r="P9" s="10">
        <v>0</v>
      </c>
      <c r="Q9" s="10">
        <v>0</v>
      </c>
    </row>
    <row r="10" spans="1:17" ht="30" x14ac:dyDescent="0.25">
      <c r="A10" s="8" t="s">
        <v>764</v>
      </c>
      <c r="B10" s="2" t="s">
        <v>773</v>
      </c>
      <c r="C10" s="10">
        <v>0</v>
      </c>
      <c r="D10" s="10">
        <v>0</v>
      </c>
      <c r="E10" s="10">
        <v>0</v>
      </c>
      <c r="F10" s="10">
        <v>11</v>
      </c>
      <c r="G10" s="10">
        <v>16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177</v>
      </c>
      <c r="O10" s="10">
        <v>0</v>
      </c>
      <c r="P10" s="10">
        <v>0</v>
      </c>
      <c r="Q10" s="10">
        <v>0</v>
      </c>
    </row>
    <row r="11" spans="1:17" x14ac:dyDescent="0.25">
      <c r="A11" t="s">
        <v>445</v>
      </c>
      <c r="B11" s="12" t="s">
        <v>765</v>
      </c>
      <c r="C11" s="5">
        <f>SUBTOTAL(109,Table51[American Sign Language Total])</f>
        <v>0</v>
      </c>
      <c r="D11" s="5">
        <f>SUBTOTAL(109,Table51[Arabic Total])</f>
        <v>0</v>
      </c>
      <c r="E11" s="5">
        <f>SUBTOTAL(109,Table51[Cantonese Total])</f>
        <v>0</v>
      </c>
      <c r="F11" s="5">
        <f>SUBTOTAL(109,Table51[French Total])</f>
        <v>108</v>
      </c>
      <c r="G11" s="5">
        <f>SUBTOTAL(109,Table51[German Total])</f>
        <v>26</v>
      </c>
      <c r="H11" s="5">
        <f>SUBTOTAL(109,Table51[Hmong Total])</f>
        <v>0</v>
      </c>
      <c r="I11" s="5">
        <f>SUBTOTAL(109,Table51[Italian Total])</f>
        <v>0</v>
      </c>
      <c r="J11" s="5">
        <f>SUBTOTAL(109,Table51[Japanese Total])</f>
        <v>1</v>
      </c>
      <c r="K11" s="5">
        <f>SUBTOTAL(109,Table51[Korean Total])</f>
        <v>2</v>
      </c>
      <c r="L11" s="5">
        <f>SUBTOTAL(109,Table51[Latin Total])</f>
        <v>0</v>
      </c>
      <c r="M11" s="5">
        <f>SUBTOTAL(109,Table51[Mandarin Total])</f>
        <v>37</v>
      </c>
      <c r="N11" s="5">
        <f>SUBTOTAL(109,Table51[Spanish Total])</f>
        <v>1002</v>
      </c>
      <c r="O11" s="5">
        <f>SUBTOTAL(109,Table51[Tagalog (Filipino) Total])</f>
        <v>0</v>
      </c>
      <c r="P11" s="5">
        <f>SUBTOTAL(109,Table51[Vietnamese Total])</f>
        <v>0</v>
      </c>
      <c r="Q11" s="5">
        <f>SUBTOTAL(109,Table51[Other Total])</f>
        <v>6</v>
      </c>
    </row>
  </sheetData>
  <conditionalFormatting sqref="A1:B2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Q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2" bestFit="1" customWidth="1"/>
    <col min="2" max="2" width="19.6328125" customWidth="1"/>
    <col min="3" max="3" width="16.54296875" customWidth="1"/>
    <col min="4" max="4" width="7.453125" customWidth="1"/>
    <col min="5" max="5" width="10.36328125" customWidth="1"/>
    <col min="6" max="6" width="7.453125" customWidth="1"/>
    <col min="7" max="7" width="7.90625" customWidth="1"/>
    <col min="8" max="8" width="7.36328125" customWidth="1"/>
    <col min="9" max="9" width="7.08984375" customWidth="1"/>
    <col min="10" max="10" width="9.1796875" customWidth="1"/>
    <col min="11" max="11" width="7.36328125" customWidth="1"/>
    <col min="12" max="12" width="7.1796875" customWidth="1"/>
    <col min="13" max="13" width="9.54296875" customWidth="1"/>
    <col min="14" max="14" width="8.08984375" customWidth="1"/>
    <col min="15" max="15" width="9" customWidth="1"/>
    <col min="16" max="16" width="11.08984375" customWidth="1"/>
    <col min="17" max="17" width="7.08984375" customWidth="1"/>
  </cols>
  <sheetData>
    <row r="1" spans="1:17" ht="18" thickBot="1" x14ac:dyDescent="0.35">
      <c r="A1" s="16" t="s">
        <v>74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30" x14ac:dyDescent="0.25">
      <c r="A3" s="8" t="s">
        <v>777</v>
      </c>
      <c r="B3" s="2" t="s">
        <v>775</v>
      </c>
      <c r="C3" s="8">
        <v>0</v>
      </c>
      <c r="D3" s="8">
        <v>0</v>
      </c>
      <c r="E3" s="8">
        <v>0</v>
      </c>
      <c r="F3" s="8">
        <v>16</v>
      </c>
      <c r="G3" s="8">
        <v>3</v>
      </c>
      <c r="H3" s="8">
        <v>0</v>
      </c>
      <c r="I3" s="8">
        <v>0</v>
      </c>
      <c r="J3" s="8">
        <v>5</v>
      </c>
      <c r="K3" s="8">
        <v>0</v>
      </c>
      <c r="L3" s="8">
        <v>0</v>
      </c>
      <c r="M3" s="8">
        <v>11</v>
      </c>
      <c r="N3" s="8">
        <v>131</v>
      </c>
      <c r="O3" s="8">
        <v>0</v>
      </c>
      <c r="P3" s="8">
        <v>0</v>
      </c>
      <c r="Q3" s="8">
        <v>2</v>
      </c>
    </row>
    <row r="4" spans="1:17" x14ac:dyDescent="0.25">
      <c r="A4" s="8" t="s">
        <v>778</v>
      </c>
      <c r="B4" s="8" t="s">
        <v>780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7</v>
      </c>
      <c r="O4" s="8">
        <v>0</v>
      </c>
      <c r="P4" s="8">
        <v>0</v>
      </c>
      <c r="Q4" s="8">
        <v>0</v>
      </c>
    </row>
    <row r="5" spans="1:17" x14ac:dyDescent="0.25">
      <c r="A5" s="8" t="s">
        <v>779</v>
      </c>
      <c r="B5" s="8" t="s">
        <v>781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26</v>
      </c>
      <c r="O5" s="8">
        <v>0</v>
      </c>
      <c r="P5" s="8">
        <v>0</v>
      </c>
      <c r="Q5" s="8">
        <v>0</v>
      </c>
    </row>
    <row r="6" spans="1:17" ht="30" x14ac:dyDescent="0.25">
      <c r="A6" s="8" t="s">
        <v>774</v>
      </c>
      <c r="B6" s="2" t="s">
        <v>776</v>
      </c>
      <c r="C6" s="8">
        <v>8</v>
      </c>
      <c r="D6" s="8">
        <v>0</v>
      </c>
      <c r="E6" s="8">
        <v>0</v>
      </c>
      <c r="F6" s="8">
        <v>1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106</v>
      </c>
      <c r="O6" s="8">
        <v>2</v>
      </c>
      <c r="P6" s="8">
        <v>1</v>
      </c>
      <c r="Q6" s="8">
        <v>2</v>
      </c>
    </row>
    <row r="7" spans="1:17" x14ac:dyDescent="0.25">
      <c r="A7" t="s">
        <v>292</v>
      </c>
      <c r="B7" s="12" t="s">
        <v>293</v>
      </c>
      <c r="C7">
        <f>SUBTOTAL(109,Table52[American Sign Language Total])</f>
        <v>8</v>
      </c>
      <c r="D7">
        <f>SUBTOTAL(109,Table52[Arabic Total])</f>
        <v>0</v>
      </c>
      <c r="E7">
        <f>SUBTOTAL(109,Table52[Cantonese Total])</f>
        <v>0</v>
      </c>
      <c r="F7">
        <f>SUBTOTAL(109,Table52[French Total])</f>
        <v>17</v>
      </c>
      <c r="G7">
        <f>SUBTOTAL(109,Table52[German Total])</f>
        <v>3</v>
      </c>
      <c r="H7">
        <f>SUBTOTAL(109,Table52[Hmong Total])</f>
        <v>0</v>
      </c>
      <c r="I7">
        <f>SUBTOTAL(109,Table52[Italian Total])</f>
        <v>0</v>
      </c>
      <c r="J7">
        <f>SUBTOTAL(109,Table52[Japanese Total])</f>
        <v>5</v>
      </c>
      <c r="K7">
        <f>SUBTOTAL(109,Table52[Korean Total])</f>
        <v>0</v>
      </c>
      <c r="L7">
        <f>SUBTOTAL(109,Table52[Latin Total])</f>
        <v>0</v>
      </c>
      <c r="M7">
        <f>SUBTOTAL(109,Table52[Mandarin Total])</f>
        <v>11</v>
      </c>
      <c r="N7">
        <f>SUBTOTAL(109,Table52[Spanish Total])</f>
        <v>270</v>
      </c>
      <c r="O7">
        <f>SUBTOTAL(109,Table52[Tagalog (Filipino) Total])</f>
        <v>2</v>
      </c>
      <c r="P7">
        <f>SUBTOTAL(109,Table52[Vietnamese Total])</f>
        <v>1</v>
      </c>
      <c r="Q7">
        <f>SUBTOTAL(109,Table52[Other Total])</f>
        <v>4</v>
      </c>
    </row>
  </sheetData>
  <conditionalFormatting sqref="A1:B2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9.90625" customWidth="1"/>
    <col min="2" max="2" width="25.453125" customWidth="1"/>
    <col min="3" max="3" width="16.54296875" customWidth="1"/>
    <col min="4" max="4" width="7.08984375" customWidth="1"/>
    <col min="5" max="5" width="10.08984375" customWidth="1"/>
    <col min="6" max="6" width="7.36328125" customWidth="1"/>
    <col min="7" max="7" width="7.6328125" customWidth="1"/>
    <col min="8" max="8" width="7.453125" customWidth="1"/>
    <col min="9" max="9" width="7.1796875" customWidth="1"/>
    <col min="10" max="10" width="9.08984375" customWidth="1"/>
    <col min="11" max="11" width="7.1796875" customWidth="1"/>
    <col min="12" max="12" width="6.90625" customWidth="1"/>
    <col min="13" max="13" width="9" customWidth="1"/>
    <col min="14" max="14" width="8.1796875" customWidth="1"/>
    <col min="15" max="15" width="9.08984375" customWidth="1"/>
    <col min="16" max="16" width="11.08984375" customWidth="1"/>
    <col min="17" max="17" width="7" customWidth="1"/>
  </cols>
  <sheetData>
    <row r="1" spans="1:17" ht="18" thickBot="1" x14ac:dyDescent="0.35">
      <c r="A1" s="16" t="s">
        <v>103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45" x14ac:dyDescent="0.25">
      <c r="A3" s="8" t="s">
        <v>785</v>
      </c>
      <c r="B3" s="2" t="s">
        <v>787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1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24</v>
      </c>
      <c r="O3" s="8">
        <v>0</v>
      </c>
      <c r="P3" s="8">
        <v>0</v>
      </c>
      <c r="Q3" s="8">
        <v>0</v>
      </c>
    </row>
    <row r="4" spans="1:17" x14ac:dyDescent="0.25">
      <c r="A4" s="8" t="s">
        <v>786</v>
      </c>
      <c r="B4" s="8" t="s">
        <v>786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2</v>
      </c>
      <c r="O4" s="8">
        <v>0</v>
      </c>
      <c r="P4" s="8">
        <v>0</v>
      </c>
      <c r="Q4" s="8">
        <v>0</v>
      </c>
    </row>
    <row r="5" spans="1:17" x14ac:dyDescent="0.25">
      <c r="A5" t="s">
        <v>226</v>
      </c>
      <c r="B5" s="12" t="s">
        <v>399</v>
      </c>
      <c r="C5">
        <f>SUBTOTAL(109,Table53[American Sign Language Total])</f>
        <v>0</v>
      </c>
      <c r="D5">
        <f>SUBTOTAL(109,Table53[Arabic Total])</f>
        <v>0</v>
      </c>
      <c r="E5">
        <f>SUBTOTAL(109,Table53[Cantonese Total])</f>
        <v>0</v>
      </c>
      <c r="F5">
        <f>SUBTOTAL(109,Table53[French Total])</f>
        <v>0</v>
      </c>
      <c r="G5">
        <f>SUBTOTAL(109,Table53[German Total])</f>
        <v>0</v>
      </c>
      <c r="H5">
        <f>SUBTOTAL(109,Table53[Hmong Total])</f>
        <v>1</v>
      </c>
      <c r="I5">
        <f>SUBTOTAL(109,Table53[Italian Total])</f>
        <v>0</v>
      </c>
      <c r="J5">
        <f>SUBTOTAL(109,Table53[Japanese Total])</f>
        <v>0</v>
      </c>
      <c r="K5">
        <f>SUBTOTAL(109,Table53[Korean Total])</f>
        <v>0</v>
      </c>
      <c r="L5">
        <f>SUBTOTAL(109,Table53[Latin Total])</f>
        <v>0</v>
      </c>
      <c r="M5">
        <f>SUBTOTAL(109,Table53[Mandarin Total])</f>
        <v>0</v>
      </c>
      <c r="N5">
        <f>SUBTOTAL(109,Table53[Spanish Total])</f>
        <v>26</v>
      </c>
      <c r="O5">
        <f>SUBTOTAL(109,Table53[Tagalog (Filipino) Total])</f>
        <v>0</v>
      </c>
      <c r="P5">
        <f>SUBTOTAL(109,Table53[Vietnamese Total])</f>
        <v>0</v>
      </c>
      <c r="Q5">
        <f>SUBTOTAL(109,Table53[Other Total])</f>
        <v>0</v>
      </c>
    </row>
  </sheetData>
  <conditionalFormatting sqref="A1:B2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4.54296875" customWidth="1"/>
    <col min="2" max="2" width="12" customWidth="1"/>
    <col min="3" max="3" width="16.453125" customWidth="1"/>
    <col min="4" max="4" width="7.08984375" customWidth="1"/>
    <col min="5" max="5" width="10.08984375" customWidth="1"/>
    <col min="6" max="6" width="7.6328125" customWidth="1"/>
    <col min="7" max="7" width="7.90625" customWidth="1"/>
    <col min="8" max="8" width="7.54296875" customWidth="1"/>
    <col min="9" max="9" width="7.08984375" customWidth="1"/>
    <col min="10" max="10" width="9.1796875" customWidth="1"/>
    <col min="11" max="11" width="7.1796875" customWidth="1"/>
    <col min="12" max="12" width="7.36328125" customWidth="1"/>
    <col min="13" max="13" width="9.36328125" customWidth="1"/>
    <col min="14" max="14" width="8.1796875" customWidth="1"/>
    <col min="15" max="15" width="9" customWidth="1"/>
    <col min="16" max="16" width="11.08984375" customWidth="1"/>
    <col min="17" max="17" width="7.08984375" customWidth="1"/>
  </cols>
  <sheetData>
    <row r="1" spans="1:17" ht="18" thickBot="1" x14ac:dyDescent="0.35">
      <c r="A1" s="9" t="s">
        <v>72</v>
      </c>
    </row>
    <row r="2" spans="1:17" ht="45.6" thickTop="1" x14ac:dyDescent="0.25">
      <c r="A2" s="2" t="s">
        <v>186</v>
      </c>
      <c r="B2" s="2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t="s">
        <v>223</v>
      </c>
      <c r="B3" t="s">
        <v>224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13</v>
      </c>
      <c r="O3">
        <v>0</v>
      </c>
      <c r="P3">
        <v>0</v>
      </c>
      <c r="Q3">
        <v>0</v>
      </c>
    </row>
    <row r="4" spans="1:17" x14ac:dyDescent="0.25">
      <c r="A4" t="s">
        <v>222</v>
      </c>
      <c r="B4" t="s">
        <v>225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3</v>
      </c>
      <c r="O4">
        <v>0</v>
      </c>
      <c r="P4">
        <v>0</v>
      </c>
      <c r="Q4">
        <v>0</v>
      </c>
    </row>
    <row r="5" spans="1:17" x14ac:dyDescent="0.25">
      <c r="A5" t="s">
        <v>226</v>
      </c>
      <c r="B5" s="12" t="s">
        <v>211</v>
      </c>
      <c r="C5">
        <f>SUBTOTAL(109,Table7[American Sign Language Total])</f>
        <v>0</v>
      </c>
      <c r="D5">
        <f>SUBTOTAL(109,Table7[Arabic Total])</f>
        <v>0</v>
      </c>
      <c r="E5">
        <f>SUBTOTAL(109,Table7[Cantonese Total])</f>
        <v>0</v>
      </c>
      <c r="F5">
        <f>SUBTOTAL(109,Table7[French Total])</f>
        <v>0</v>
      </c>
      <c r="G5">
        <f>SUBTOTAL(109,Table7[German Total])</f>
        <v>0</v>
      </c>
      <c r="H5">
        <f>SUBTOTAL(109,Table7[Hmong Total])</f>
        <v>0</v>
      </c>
      <c r="I5">
        <f>SUBTOTAL(109,Table7[Italian Total])</f>
        <v>0</v>
      </c>
      <c r="J5">
        <f>SUBTOTAL(109,Table7[Japanese Total])</f>
        <v>0</v>
      </c>
      <c r="K5">
        <f>SUBTOTAL(109,Table7[Korean Total])</f>
        <v>0</v>
      </c>
      <c r="L5">
        <f>SUBTOTAL(109,Table7[Latin Total])</f>
        <v>0</v>
      </c>
      <c r="M5">
        <f>SUBTOTAL(109,Table7[Mandarin Total])</f>
        <v>0</v>
      </c>
      <c r="N5">
        <f>SUBTOTAL(109,Table7[Spanish Total])</f>
        <v>16</v>
      </c>
      <c r="O5">
        <f>SUBTOTAL(109,Table7[Tagalog (Filipino) Total])</f>
        <v>0</v>
      </c>
      <c r="P5">
        <f>SUBTOTAL(109,Table7[Vietnamese Total])</f>
        <v>0</v>
      </c>
      <c r="Q5">
        <f>SUBTOTAL(109,Table7[Other Total])</f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8.1796875" customWidth="1"/>
    <col min="2" max="2" width="33.36328125" customWidth="1"/>
    <col min="3" max="3" width="16.54296875" customWidth="1"/>
    <col min="4" max="4" width="7.453125" customWidth="1"/>
    <col min="5" max="5" width="10.54296875" customWidth="1"/>
    <col min="6" max="6" width="7.54296875" customWidth="1"/>
    <col min="7" max="7" width="7.6328125" customWidth="1"/>
    <col min="8" max="8" width="7.08984375" customWidth="1"/>
    <col min="9" max="9" width="7.453125" customWidth="1"/>
    <col min="10" max="10" width="9.08984375" customWidth="1"/>
    <col min="11" max="11" width="7.36328125" customWidth="1"/>
    <col min="12" max="12" width="7.08984375" customWidth="1"/>
    <col min="13" max="13" width="9.1796875" customWidth="1"/>
    <col min="14" max="14" width="8.1796875" customWidth="1"/>
    <col min="15" max="15" width="9.08984375" customWidth="1"/>
    <col min="16" max="16" width="10.90625" customWidth="1"/>
    <col min="17" max="17" width="7.1796875" customWidth="1"/>
  </cols>
  <sheetData>
    <row r="1" spans="1:17" ht="18" thickBot="1" x14ac:dyDescent="0.35">
      <c r="A1" s="9" t="s">
        <v>79</v>
      </c>
    </row>
    <row r="2" spans="1:17" ht="45.6" thickTop="1" x14ac:dyDescent="0.25">
      <c r="A2" s="2" t="s">
        <v>186</v>
      </c>
      <c r="B2" s="8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30" x14ac:dyDescent="0.25">
      <c r="A3" s="8" t="s">
        <v>228</v>
      </c>
      <c r="B3" s="2" t="s">
        <v>238</v>
      </c>
      <c r="C3" s="8">
        <v>0</v>
      </c>
      <c r="D3" s="8">
        <v>0</v>
      </c>
      <c r="E3" s="8">
        <v>1</v>
      </c>
      <c r="F3" s="8">
        <v>4</v>
      </c>
      <c r="G3" s="8">
        <v>0</v>
      </c>
      <c r="H3" s="8">
        <v>0</v>
      </c>
      <c r="I3" s="8">
        <v>8</v>
      </c>
      <c r="J3" s="8">
        <v>0</v>
      </c>
      <c r="K3" s="8">
        <v>0</v>
      </c>
      <c r="L3" s="8">
        <v>0</v>
      </c>
      <c r="M3" s="8">
        <v>1</v>
      </c>
      <c r="N3" s="8">
        <v>70</v>
      </c>
      <c r="O3" s="8">
        <v>3</v>
      </c>
      <c r="P3" s="8">
        <v>0</v>
      </c>
      <c r="Q3" s="8">
        <v>5</v>
      </c>
    </row>
    <row r="4" spans="1:17" ht="30" x14ac:dyDescent="0.25">
      <c r="A4" s="2" t="s">
        <v>227</v>
      </c>
      <c r="B4" s="2" t="s">
        <v>239</v>
      </c>
      <c r="C4" s="8">
        <v>0</v>
      </c>
      <c r="D4" s="8">
        <v>0</v>
      </c>
      <c r="E4" s="8">
        <v>0</v>
      </c>
      <c r="F4" s="8">
        <v>2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21</v>
      </c>
      <c r="O4" s="8">
        <v>0</v>
      </c>
      <c r="P4" s="8">
        <v>0</v>
      </c>
      <c r="Q4" s="8">
        <v>0</v>
      </c>
    </row>
    <row r="5" spans="1:17" x14ac:dyDescent="0.25">
      <c r="A5" s="8" t="s">
        <v>229</v>
      </c>
      <c r="B5" s="2" t="s">
        <v>236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8</v>
      </c>
      <c r="O5" s="8">
        <v>0</v>
      </c>
      <c r="P5" s="8">
        <v>0</v>
      </c>
      <c r="Q5" s="8">
        <v>0</v>
      </c>
    </row>
    <row r="6" spans="1:17" ht="30" x14ac:dyDescent="0.25">
      <c r="A6" s="8" t="s">
        <v>230</v>
      </c>
      <c r="B6" s="2" t="s">
        <v>791</v>
      </c>
      <c r="C6" s="8">
        <v>0</v>
      </c>
      <c r="D6" s="8">
        <v>0</v>
      </c>
      <c r="E6" s="8">
        <v>0</v>
      </c>
      <c r="F6" s="8">
        <v>27</v>
      </c>
      <c r="G6" s="8">
        <v>10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215</v>
      </c>
      <c r="O6" s="8">
        <v>0</v>
      </c>
      <c r="P6" s="8">
        <v>0</v>
      </c>
      <c r="Q6" s="8">
        <v>0</v>
      </c>
    </row>
    <row r="7" spans="1:17" x14ac:dyDescent="0.25">
      <c r="A7" s="8" t="s">
        <v>231</v>
      </c>
      <c r="B7" s="2" t="s">
        <v>237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18</v>
      </c>
      <c r="O7" s="8">
        <v>0</v>
      </c>
      <c r="P7" s="8">
        <v>0</v>
      </c>
      <c r="Q7" s="8">
        <v>0</v>
      </c>
    </row>
    <row r="8" spans="1:17" ht="45" x14ac:dyDescent="0.25">
      <c r="A8" s="8" t="s">
        <v>232</v>
      </c>
      <c r="B8" s="2" t="s">
        <v>240</v>
      </c>
      <c r="C8" s="8">
        <v>1</v>
      </c>
      <c r="D8" s="8">
        <v>0</v>
      </c>
      <c r="E8" s="8">
        <v>0</v>
      </c>
      <c r="F8" s="8">
        <v>89</v>
      </c>
      <c r="G8" s="8">
        <v>20</v>
      </c>
      <c r="H8" s="8">
        <v>0</v>
      </c>
      <c r="I8" s="8">
        <v>0</v>
      </c>
      <c r="J8" s="8">
        <v>1</v>
      </c>
      <c r="K8" s="8">
        <v>1</v>
      </c>
      <c r="L8" s="8">
        <v>0</v>
      </c>
      <c r="M8" s="8">
        <v>1</v>
      </c>
      <c r="N8" s="8">
        <v>213</v>
      </c>
      <c r="O8" s="8">
        <v>4</v>
      </c>
      <c r="P8" s="8">
        <v>0</v>
      </c>
      <c r="Q8" s="8">
        <v>1</v>
      </c>
    </row>
    <row r="9" spans="1:17" x14ac:dyDescent="0.25">
      <c r="A9" s="8" t="s">
        <v>233</v>
      </c>
      <c r="B9" s="2" t="s">
        <v>73</v>
      </c>
      <c r="C9" s="8">
        <v>0</v>
      </c>
      <c r="D9" s="8">
        <v>0</v>
      </c>
      <c r="E9" s="8">
        <v>0</v>
      </c>
      <c r="F9" s="8">
        <v>9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85</v>
      </c>
      <c r="O9" s="8">
        <v>0</v>
      </c>
      <c r="P9" s="8">
        <v>0</v>
      </c>
      <c r="Q9" s="8">
        <v>0</v>
      </c>
    </row>
    <row r="10" spans="1:17" ht="45" x14ac:dyDescent="0.25">
      <c r="A10" s="2" t="s">
        <v>234</v>
      </c>
      <c r="B10" s="2" t="s">
        <v>792</v>
      </c>
      <c r="C10" s="8">
        <v>0</v>
      </c>
      <c r="D10" s="8">
        <v>0</v>
      </c>
      <c r="E10" s="8">
        <v>0</v>
      </c>
      <c r="F10" s="8">
        <v>137</v>
      </c>
      <c r="G10" s="8">
        <v>2</v>
      </c>
      <c r="H10" s="8">
        <v>0</v>
      </c>
      <c r="I10" s="8">
        <v>0</v>
      </c>
      <c r="J10" s="8">
        <v>13</v>
      </c>
      <c r="K10" s="8">
        <v>23</v>
      </c>
      <c r="L10" s="8">
        <v>0</v>
      </c>
      <c r="M10" s="8">
        <v>106</v>
      </c>
      <c r="N10" s="8">
        <v>550</v>
      </c>
      <c r="O10" s="8">
        <v>0</v>
      </c>
      <c r="P10" s="8">
        <v>0</v>
      </c>
      <c r="Q10" s="8">
        <v>0</v>
      </c>
    </row>
    <row r="11" spans="1:17" ht="60" x14ac:dyDescent="0.25">
      <c r="A11" s="2" t="s">
        <v>235</v>
      </c>
      <c r="B11" s="2" t="s">
        <v>241</v>
      </c>
      <c r="C11" s="8">
        <v>14</v>
      </c>
      <c r="D11" s="8">
        <v>0</v>
      </c>
      <c r="E11" s="8">
        <v>0</v>
      </c>
      <c r="F11" s="8">
        <v>14</v>
      </c>
      <c r="G11" s="8">
        <v>0</v>
      </c>
      <c r="H11" s="8">
        <v>0</v>
      </c>
      <c r="I11" s="8">
        <v>0</v>
      </c>
      <c r="J11" s="8">
        <v>15</v>
      </c>
      <c r="K11" s="8">
        <v>0</v>
      </c>
      <c r="L11" s="8">
        <v>0</v>
      </c>
      <c r="M11" s="8">
        <v>0</v>
      </c>
      <c r="N11" s="8">
        <v>171</v>
      </c>
      <c r="O11" s="8">
        <v>0</v>
      </c>
      <c r="P11" s="8">
        <v>0</v>
      </c>
      <c r="Q11" s="8">
        <v>0</v>
      </c>
    </row>
    <row r="12" spans="1:17" x14ac:dyDescent="0.25">
      <c r="A12" t="s">
        <v>243</v>
      </c>
      <c r="B12" s="13" t="s">
        <v>242</v>
      </c>
      <c r="C12" s="5">
        <f>SUBTOTAL(109,Table8[American Sign Language Total])</f>
        <v>15</v>
      </c>
      <c r="D12" s="5">
        <f>SUBTOTAL(109,Table8[Arabic Total])</f>
        <v>0</v>
      </c>
      <c r="E12" s="5">
        <f>SUBTOTAL(109,Table8[Cantonese Total])</f>
        <v>1</v>
      </c>
      <c r="F12" s="5">
        <f>SUBTOTAL(109,Table8[French Total])</f>
        <v>282</v>
      </c>
      <c r="G12" s="5">
        <f>SUBTOTAL(109,Table8[German Total])</f>
        <v>32</v>
      </c>
      <c r="H12" s="5">
        <f>SUBTOTAL(109,Table8[Hmong Total])</f>
        <v>0</v>
      </c>
      <c r="I12" s="5">
        <f>SUBTOTAL(109,Table8[Italian Total])</f>
        <v>8</v>
      </c>
      <c r="J12" s="5">
        <f>SUBTOTAL(109,Table8[Japanese Total])</f>
        <v>29</v>
      </c>
      <c r="K12" s="5">
        <f>SUBTOTAL(109,Table8[Korean Total])</f>
        <v>24</v>
      </c>
      <c r="L12" s="5">
        <f>SUBTOTAL(109,Table8[Latin Total])</f>
        <v>0</v>
      </c>
      <c r="M12" s="5">
        <f>SUBTOTAL(109,Table8[Mandarin Total])</f>
        <v>108</v>
      </c>
      <c r="N12" s="5">
        <f>SUBTOTAL(109,Table8[Spanish Total])</f>
        <v>1351</v>
      </c>
      <c r="O12" s="5">
        <f>SUBTOTAL(109,Table8[Tagalog (Filipino) Total])</f>
        <v>7</v>
      </c>
      <c r="P12" s="5">
        <f>SUBTOTAL(109,Table8[Vietnamese Total])</f>
        <v>0</v>
      </c>
      <c r="Q12" s="5">
        <f>SUBTOTAL(109,Table8[Other Total])</f>
        <v>6</v>
      </c>
    </row>
  </sheetData>
  <sortState xmlns:xlrd2="http://schemas.microsoft.com/office/spreadsheetml/2017/richdata2" ref="A2:BD11">
    <sortCondition ref="A2:A11"/>
  </sortState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5.6328125" customWidth="1"/>
    <col min="2" max="2" width="13.1796875" customWidth="1"/>
    <col min="3" max="3" width="16.453125" customWidth="1"/>
    <col min="4" max="4" width="7.08984375" customWidth="1"/>
    <col min="5" max="5" width="10.08984375" customWidth="1"/>
    <col min="6" max="6" width="7.36328125" customWidth="1"/>
    <col min="7" max="7" width="7.90625" customWidth="1"/>
    <col min="8" max="8" width="7.54296875" customWidth="1"/>
    <col min="9" max="9" width="7.36328125" customWidth="1"/>
    <col min="10" max="10" width="9.36328125" customWidth="1"/>
    <col min="11" max="11" width="7.453125" customWidth="1"/>
    <col min="12" max="12" width="7.08984375" customWidth="1"/>
    <col min="13" max="13" width="9" customWidth="1"/>
    <col min="14" max="14" width="8.36328125" customWidth="1"/>
    <col min="15" max="15" width="9.08984375" customWidth="1"/>
    <col min="16" max="16" width="10.90625" customWidth="1"/>
    <col min="17" max="17" width="7.36328125" customWidth="1"/>
  </cols>
  <sheetData>
    <row r="1" spans="1:17" ht="18" thickBot="1" x14ac:dyDescent="0.35">
      <c r="A1" s="9" t="s">
        <v>69</v>
      </c>
    </row>
    <row r="2" spans="1:17" ht="45.6" thickTop="1" x14ac:dyDescent="0.25">
      <c r="A2" s="2" t="s">
        <v>207</v>
      </c>
      <c r="B2" s="2" t="s">
        <v>219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x14ac:dyDescent="0.25">
      <c r="A3" t="s">
        <v>244</v>
      </c>
      <c r="B3" t="s">
        <v>245</v>
      </c>
      <c r="C3">
        <v>0</v>
      </c>
      <c r="D3">
        <v>0</v>
      </c>
      <c r="E3">
        <v>0</v>
      </c>
      <c r="F3">
        <v>0</v>
      </c>
      <c r="G3">
        <v>0</v>
      </c>
      <c r="H3">
        <v>3</v>
      </c>
      <c r="I3">
        <v>0</v>
      </c>
      <c r="J3">
        <v>0</v>
      </c>
      <c r="K3">
        <v>0</v>
      </c>
      <c r="L3">
        <v>0</v>
      </c>
      <c r="M3">
        <v>0</v>
      </c>
      <c r="N3">
        <v>11</v>
      </c>
      <c r="O3">
        <v>0</v>
      </c>
      <c r="P3">
        <v>0</v>
      </c>
      <c r="Q3">
        <v>3</v>
      </c>
    </row>
    <row r="4" spans="1:17" x14ac:dyDescent="0.25">
      <c r="A4" t="s">
        <v>210</v>
      </c>
      <c r="B4" s="12" t="s">
        <v>221</v>
      </c>
      <c r="C4">
        <f>SUBTOTAL(109,Table9[American Sign Language Total])</f>
        <v>0</v>
      </c>
      <c r="D4">
        <f>SUBTOTAL(109,Table9[Arabic Total])</f>
        <v>0</v>
      </c>
      <c r="E4">
        <f>SUBTOTAL(109,Table9[Cantonese Total])</f>
        <v>0</v>
      </c>
      <c r="F4">
        <f>SUBTOTAL(109,Table9[French Total])</f>
        <v>0</v>
      </c>
      <c r="G4">
        <f>SUBTOTAL(109,Table9[German Total])</f>
        <v>0</v>
      </c>
      <c r="H4">
        <f>SUBTOTAL(109,Table9[Hmong Total])</f>
        <v>3</v>
      </c>
      <c r="I4">
        <f>SUBTOTAL(109,Table9[Italian Total])</f>
        <v>0</v>
      </c>
      <c r="J4">
        <f>SUBTOTAL(109,Table9[Japanese Total])</f>
        <v>0</v>
      </c>
      <c r="K4">
        <f>SUBTOTAL(109,Table9[Korean Total])</f>
        <v>0</v>
      </c>
      <c r="L4">
        <f>SUBTOTAL(109,Table9[Latin Total])</f>
        <v>0</v>
      </c>
      <c r="M4">
        <f>SUBTOTAL(109,Table9[Mandarin Total])</f>
        <v>0</v>
      </c>
      <c r="N4">
        <f>SUBTOTAL(109,Table9[Spanish Total])</f>
        <v>11</v>
      </c>
      <c r="O4">
        <f>SUBTOTAL(109,Table9[Tagalog (Filipino) Total])</f>
        <v>0</v>
      </c>
      <c r="P4">
        <f>SUBTOTAL(109,Table9[Vietnamese Total])</f>
        <v>0</v>
      </c>
      <c r="Q4">
        <f>SUBTOTAL(109,Table9[Other Total])</f>
        <v>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2" bestFit="1" customWidth="1"/>
    <col min="2" max="2" width="20.1796875" customWidth="1"/>
    <col min="3" max="3" width="16.6328125" customWidth="1"/>
    <col min="4" max="4" width="7.1796875" customWidth="1"/>
    <col min="5" max="5" width="10.453125" customWidth="1"/>
    <col min="6" max="6" width="7.36328125" customWidth="1"/>
    <col min="7" max="7" width="7.90625" customWidth="1"/>
    <col min="8" max="8" width="7.6328125" customWidth="1"/>
    <col min="9" max="9" width="7.08984375" customWidth="1"/>
    <col min="10" max="10" width="9.36328125" customWidth="1"/>
    <col min="11" max="11" width="7.1796875" customWidth="1"/>
    <col min="12" max="12" width="7" customWidth="1"/>
    <col min="13" max="13" width="9.08984375" customWidth="1"/>
    <col min="14" max="14" width="8.1796875" customWidth="1"/>
    <col min="15" max="15" width="8.90625" customWidth="1"/>
    <col min="16" max="16" width="11.08984375" customWidth="1"/>
    <col min="17" max="17" width="7.1796875" customWidth="1"/>
  </cols>
  <sheetData>
    <row r="1" spans="1:17" ht="18" thickBot="1" x14ac:dyDescent="0.35">
      <c r="A1" s="9" t="s">
        <v>99</v>
      </c>
    </row>
    <row r="2" spans="1:17" ht="45.6" thickTop="1" x14ac:dyDescent="0.25">
      <c r="A2" s="2" t="s">
        <v>186</v>
      </c>
      <c r="B2" s="8" t="s">
        <v>187</v>
      </c>
      <c r="C2" s="2" t="s">
        <v>158</v>
      </c>
      <c r="D2" s="2" t="s">
        <v>173</v>
      </c>
      <c r="E2" s="2" t="s">
        <v>159</v>
      </c>
      <c r="F2" s="2" t="s">
        <v>160</v>
      </c>
      <c r="G2" s="2" t="s">
        <v>161</v>
      </c>
      <c r="H2" s="2" t="s">
        <v>188</v>
      </c>
      <c r="I2" s="2" t="s">
        <v>174</v>
      </c>
      <c r="J2" s="2" t="s">
        <v>189</v>
      </c>
      <c r="K2" s="2" t="s">
        <v>163</v>
      </c>
      <c r="L2" s="2" t="s">
        <v>164</v>
      </c>
      <c r="M2" s="2" t="s">
        <v>165</v>
      </c>
      <c r="N2" s="2" t="s">
        <v>166</v>
      </c>
      <c r="O2" s="2" t="s">
        <v>797</v>
      </c>
      <c r="P2" s="2" t="s">
        <v>167</v>
      </c>
      <c r="Q2" s="2" t="s">
        <v>168</v>
      </c>
    </row>
    <row r="3" spans="1:17" ht="45" x14ac:dyDescent="0.25">
      <c r="A3" s="8" t="s">
        <v>246</v>
      </c>
      <c r="B3" s="2" t="s">
        <v>247</v>
      </c>
      <c r="C3" s="8">
        <v>0</v>
      </c>
      <c r="D3" s="8">
        <v>0</v>
      </c>
      <c r="E3" s="8">
        <v>0</v>
      </c>
      <c r="F3" s="8">
        <v>29</v>
      </c>
      <c r="G3" s="8">
        <v>3</v>
      </c>
      <c r="H3" s="8">
        <v>0</v>
      </c>
      <c r="I3" s="8">
        <v>11</v>
      </c>
      <c r="J3" s="8">
        <v>29</v>
      </c>
      <c r="K3" s="8">
        <v>0</v>
      </c>
      <c r="L3" s="8">
        <v>0</v>
      </c>
      <c r="M3" s="8">
        <v>0</v>
      </c>
      <c r="N3" s="8">
        <v>168</v>
      </c>
      <c r="O3" s="8">
        <v>0</v>
      </c>
      <c r="P3" s="8">
        <v>0</v>
      </c>
      <c r="Q3" s="8">
        <v>0</v>
      </c>
    </row>
    <row r="4" spans="1:17" x14ac:dyDescent="0.25">
      <c r="A4" s="8" t="s">
        <v>100</v>
      </c>
      <c r="B4" s="8" t="s">
        <v>248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25</v>
      </c>
      <c r="O4" s="8">
        <v>0</v>
      </c>
      <c r="P4" s="8">
        <v>0</v>
      </c>
      <c r="Q4" s="8">
        <v>2</v>
      </c>
    </row>
    <row r="5" spans="1:17" x14ac:dyDescent="0.25">
      <c r="A5" t="s">
        <v>226</v>
      </c>
      <c r="B5" s="12" t="s">
        <v>249</v>
      </c>
      <c r="C5">
        <f>SUBTOTAL(109,Table10[American Sign Language Total])</f>
        <v>0</v>
      </c>
      <c r="D5">
        <f>SUBTOTAL(109,Table10[Arabic Total])</f>
        <v>0</v>
      </c>
      <c r="E5">
        <f>SUBTOTAL(109,Table10[Cantonese Total])</f>
        <v>0</v>
      </c>
      <c r="F5">
        <f>SUBTOTAL(109,Table10[French Total])</f>
        <v>29</v>
      </c>
      <c r="G5">
        <f>SUBTOTAL(109,Table10[German Total])</f>
        <v>3</v>
      </c>
      <c r="H5">
        <f>SUBTOTAL(109,Table10[Hmong Total])</f>
        <v>0</v>
      </c>
      <c r="I5">
        <f>SUBTOTAL(109,Table10[Italian Total])</f>
        <v>11</v>
      </c>
      <c r="J5">
        <f>SUBTOTAL(109,Table10[Japanese Total])</f>
        <v>29</v>
      </c>
      <c r="K5">
        <f>SUBTOTAL(109,Table10[Korean Total])</f>
        <v>0</v>
      </c>
      <c r="L5">
        <f>SUBTOTAL(109,Table10[Latin Total])</f>
        <v>0</v>
      </c>
      <c r="M5">
        <f>SUBTOTAL(109,Table10[Mandarin Total])</f>
        <v>0</v>
      </c>
      <c r="N5">
        <f>SUBTOTAL(109,Table10[Spanish Total])</f>
        <v>193</v>
      </c>
      <c r="O5">
        <f>SUBTOTAL(109,Table10[Tagalog (Filipino) Total])</f>
        <v>0</v>
      </c>
      <c r="P5">
        <f>SUBTOTAL(109,Table10[Vietnamese Total])</f>
        <v>0</v>
      </c>
      <c r="Q5">
        <f>SUBTOTAL(109,Table10[Other Total])</f>
        <v>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52</vt:i4>
      </vt:variant>
    </vt:vector>
  </HeadingPairs>
  <TitlesOfParts>
    <vt:vector size="52" baseType="lpstr">
      <vt:lpstr>County Totals</vt:lpstr>
      <vt:lpstr>Alameda</vt:lpstr>
      <vt:lpstr>Amador</vt:lpstr>
      <vt:lpstr>Butte</vt:lpstr>
      <vt:lpstr>Calaveras</vt:lpstr>
      <vt:lpstr>Colusa</vt:lpstr>
      <vt:lpstr>Contra Costa</vt:lpstr>
      <vt:lpstr>Del Norte</vt:lpstr>
      <vt:lpstr>El Dorado</vt:lpstr>
      <vt:lpstr>Fresno</vt:lpstr>
      <vt:lpstr>Glenn</vt:lpstr>
      <vt:lpstr>Humboldt</vt:lpstr>
      <vt:lpstr>Imperial</vt:lpstr>
      <vt:lpstr>Kern</vt:lpstr>
      <vt:lpstr>Kings</vt:lpstr>
      <vt:lpstr>Lake</vt:lpstr>
      <vt:lpstr>Lassen</vt:lpstr>
      <vt:lpstr>Los Angeles</vt:lpstr>
      <vt:lpstr>Madera</vt:lpstr>
      <vt:lpstr>Marin</vt:lpstr>
      <vt:lpstr>Mendocino</vt:lpstr>
      <vt:lpstr>Merced</vt:lpstr>
      <vt:lpstr>Mono</vt:lpstr>
      <vt:lpstr>Monterey</vt:lpstr>
      <vt:lpstr>Napa</vt:lpstr>
      <vt:lpstr>Nevada</vt:lpstr>
      <vt:lpstr>Orange</vt:lpstr>
      <vt:lpstr>Placer</vt:lpstr>
      <vt:lpstr>Plumas</vt:lpstr>
      <vt:lpstr>Riverside</vt:lpstr>
      <vt:lpstr>Sacramento</vt:lpstr>
      <vt:lpstr>San Benito</vt:lpstr>
      <vt:lpstr>San Bernardino</vt:lpstr>
      <vt:lpstr>San Diego</vt:lpstr>
      <vt:lpstr>San Francisco</vt:lpstr>
      <vt:lpstr>San Joaquin</vt:lpstr>
      <vt:lpstr>San Luis Obispo</vt:lpstr>
      <vt:lpstr>San Mateo</vt:lpstr>
      <vt:lpstr>Santa Barbara</vt:lpstr>
      <vt:lpstr>Santa Clara</vt:lpstr>
      <vt:lpstr>Santa Cruz</vt:lpstr>
      <vt:lpstr>Shasta</vt:lpstr>
      <vt:lpstr>Siskiyou</vt:lpstr>
      <vt:lpstr>Solano</vt:lpstr>
      <vt:lpstr>Sonoma</vt:lpstr>
      <vt:lpstr>Stanislaus</vt:lpstr>
      <vt:lpstr>Sutter</vt:lpstr>
      <vt:lpstr>Tehama</vt:lpstr>
      <vt:lpstr>Tulare</vt:lpstr>
      <vt:lpstr>Ventura</vt:lpstr>
      <vt:lpstr>Yolo</vt:lpstr>
      <vt:lpstr>Yuba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SSB Participation Data 2018-19 - Multilingual Learners (CA Dept of Education)</dc:title>
  <dc:subject>This spreadsheet provides county, district, and school participation information and language totals for the 2018-19 California State Seal of Biliteracy program.</dc:subject>
  <dc:creator>Niki Niknia</dc:creator>
  <cp:lastModifiedBy>Jennifer Cordova</cp:lastModifiedBy>
  <dcterms:created xsi:type="dcterms:W3CDTF">2019-08-12T22:55:56Z</dcterms:created>
  <dcterms:modified xsi:type="dcterms:W3CDTF">2024-06-04T22:48:49Z</dcterms:modified>
</cp:coreProperties>
</file>