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921942A8-C599-4769-9010-A2CFFCE7567E}" xr6:coauthVersionLast="47" xr6:coauthVersionMax="47" xr10:uidLastSave="{00000000-0000-0000-0000-000000000000}"/>
  <bookViews>
    <workbookView xWindow="29070" yWindow="-15435" windowWidth="28650" windowHeight="13860" tabRatio="767" xr2:uid="{00000000-000D-0000-FFFF-FFFF00000000}"/>
  </bookViews>
  <sheets>
    <sheet name="County Totals" sheetId="97" r:id="rId1"/>
    <sheet name="Alameda" sheetId="13" r:id="rId2"/>
    <sheet name="Amador" sheetId="14" r:id="rId3"/>
    <sheet name="Butte" sheetId="15" r:id="rId4"/>
    <sheet name="Calaveras" sheetId="16" r:id="rId5"/>
    <sheet name="Colusa" sheetId="17" r:id="rId6"/>
    <sheet name="Contra Costa" sheetId="18" r:id="rId7"/>
    <sheet name="Del Norte" sheetId="19" r:id="rId8"/>
    <sheet name="El Dorado" sheetId="20" r:id="rId9"/>
    <sheet name="Fresno" sheetId="21" r:id="rId10"/>
    <sheet name="Glenn" sheetId="22" r:id="rId11"/>
    <sheet name="Humboldt" sheetId="23" r:id="rId12"/>
    <sheet name="Imperial" sheetId="24" r:id="rId13"/>
    <sheet name="Inyo" sheetId="67" r:id="rId14"/>
    <sheet name="Kern" sheetId="25" r:id="rId15"/>
    <sheet name="Kings" sheetId="26" r:id="rId16"/>
    <sheet name="Lake" sheetId="27" r:id="rId17"/>
    <sheet name="Lassen" sheetId="28" r:id="rId18"/>
    <sheet name="Los Angeles" sheetId="29" r:id="rId19"/>
    <sheet name="Los Angeles Unified" sheetId="96" r:id="rId20"/>
    <sheet name="Madera" sheetId="30" r:id="rId21"/>
    <sheet name="Marin" sheetId="31" r:id="rId22"/>
    <sheet name="Mendocino" sheetId="32" r:id="rId23"/>
    <sheet name="Merced" sheetId="33" r:id="rId24"/>
    <sheet name="Mono" sheetId="34" r:id="rId25"/>
    <sheet name="Monterey" sheetId="35" r:id="rId26"/>
    <sheet name="Napa" sheetId="36" r:id="rId27"/>
    <sheet name="Nevada" sheetId="37" r:id="rId28"/>
    <sheet name="Orange" sheetId="38" r:id="rId29"/>
    <sheet name="Placer" sheetId="94" r:id="rId30"/>
    <sheet name="Plumas" sheetId="41" r:id="rId31"/>
    <sheet name="Riverside" sheetId="70" r:id="rId32"/>
    <sheet name="Sacramento" sheetId="71" r:id="rId33"/>
    <sheet name="San Benito" sheetId="72" r:id="rId34"/>
    <sheet name="San Bernardino" sheetId="73" r:id="rId35"/>
    <sheet name="San Diego" sheetId="74" r:id="rId36"/>
    <sheet name="San Francisco" sheetId="75" r:id="rId37"/>
    <sheet name="San Joaquin" sheetId="76" r:id="rId38"/>
    <sheet name="San Luis Obispo" sheetId="77" r:id="rId39"/>
    <sheet name="San Mateo" sheetId="78" r:id="rId40"/>
    <sheet name="Santa Barbara" sheetId="79" r:id="rId41"/>
    <sheet name="Santa Clara" sheetId="80" r:id="rId42"/>
    <sheet name="Santa Cruz" sheetId="81" r:id="rId43"/>
    <sheet name="Shasta" sheetId="85" r:id="rId44"/>
    <sheet name="Sierra" sheetId="84" r:id="rId45"/>
    <sheet name="Siskiyou" sheetId="83" r:id="rId46"/>
    <sheet name="Solano" sheetId="82" r:id="rId47"/>
    <sheet name="Sonoma" sheetId="86" r:id="rId48"/>
    <sheet name="Stanislaus" sheetId="87" r:id="rId49"/>
    <sheet name="Sutter" sheetId="88" r:id="rId50"/>
    <sheet name="Tehama" sheetId="89" r:id="rId51"/>
    <sheet name="Trinity" sheetId="101" r:id="rId52"/>
    <sheet name="Tulare" sheetId="90" r:id="rId53"/>
    <sheet name="Tuolumne" sheetId="99" r:id="rId54"/>
    <sheet name="Ventura" sheetId="91" r:id="rId55"/>
    <sheet name="Yolo" sheetId="92" r:id="rId56"/>
    <sheet name="Yuba" sheetId="93" r:id="rId57"/>
  </sheets>
  <definedNames>
    <definedName name="Alameda" localSheetId="0">Table2[#Data]</definedName>
    <definedName name="Alameda" localSheetId="29">Table2[]</definedName>
    <definedName name="Alameda" localSheetId="51">Table2[]</definedName>
    <definedName name="Alameda" localSheetId="53">Table2[]</definedName>
    <definedName name="Alameda">Table2[]</definedName>
    <definedName name="Placer" localSheetId="0">Placer1[#Data]</definedName>
    <definedName name="Placer" localSheetId="51">Placer1[]</definedName>
    <definedName name="Placer" localSheetId="53">Placer1[]</definedName>
    <definedName name="Placer">Placer1[]</definedName>
    <definedName name="TableAlameda" localSheetId="0">Table2[#Data]</definedName>
    <definedName name="TableAlameda" localSheetId="29">Table2[]</definedName>
    <definedName name="TableAlameda" localSheetId="51">Table2[]</definedName>
    <definedName name="TableAlameda" localSheetId="53">Table2[]</definedName>
    <definedName name="TableAlameda">Table2[]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97" l="1"/>
  <c r="F45" i="97"/>
  <c r="G45" i="97"/>
  <c r="H45" i="97"/>
  <c r="I45" i="97"/>
  <c r="J45" i="97"/>
  <c r="K45" i="97"/>
  <c r="L45" i="97"/>
  <c r="M45" i="97"/>
  <c r="N45" i="97"/>
  <c r="O45" i="97"/>
  <c r="P45" i="97"/>
  <c r="Q45" i="97"/>
  <c r="R45" i="97"/>
  <c r="S45" i="97"/>
  <c r="T45" i="97"/>
  <c r="U45" i="97"/>
  <c r="V45" i="97"/>
  <c r="W45" i="97"/>
  <c r="X45" i="97"/>
  <c r="Y45" i="97"/>
  <c r="Z45" i="97"/>
  <c r="AA45" i="97"/>
  <c r="D45" i="97"/>
  <c r="E46" i="97"/>
  <c r="F46" i="97"/>
  <c r="G46" i="97"/>
  <c r="H46" i="97"/>
  <c r="I46" i="97"/>
  <c r="J46" i="97"/>
  <c r="K46" i="97"/>
  <c r="L46" i="97"/>
  <c r="M46" i="97"/>
  <c r="N46" i="97"/>
  <c r="O46" i="97"/>
  <c r="P46" i="97"/>
  <c r="Q46" i="97"/>
  <c r="R46" i="97"/>
  <c r="S46" i="97"/>
  <c r="T46" i="97"/>
  <c r="U46" i="97"/>
  <c r="V46" i="97"/>
  <c r="W46" i="97"/>
  <c r="X46" i="97"/>
  <c r="Y46" i="97"/>
  <c r="Z46" i="97"/>
  <c r="AA46" i="97"/>
  <c r="E47" i="97"/>
  <c r="F47" i="97"/>
  <c r="G47" i="97"/>
  <c r="H47" i="97"/>
  <c r="I47" i="97"/>
  <c r="J47" i="97"/>
  <c r="K47" i="97"/>
  <c r="L47" i="97"/>
  <c r="M47" i="97"/>
  <c r="N47" i="97"/>
  <c r="O47" i="97"/>
  <c r="P47" i="97"/>
  <c r="Q47" i="97"/>
  <c r="R47" i="97"/>
  <c r="S47" i="97"/>
  <c r="T47" i="97"/>
  <c r="U47" i="97"/>
  <c r="V47" i="97"/>
  <c r="W47" i="97"/>
  <c r="X47" i="97"/>
  <c r="Y47" i="97"/>
  <c r="Z47" i="97"/>
  <c r="AA47" i="97"/>
  <c r="E48" i="97"/>
  <c r="F48" i="97"/>
  <c r="G48" i="97"/>
  <c r="H48" i="97"/>
  <c r="I48" i="97"/>
  <c r="J48" i="97"/>
  <c r="K48" i="97"/>
  <c r="L48" i="97"/>
  <c r="M48" i="97"/>
  <c r="N48" i="97"/>
  <c r="O48" i="97"/>
  <c r="P48" i="97"/>
  <c r="Q48" i="97"/>
  <c r="R48" i="97"/>
  <c r="S48" i="97"/>
  <c r="T48" i="97"/>
  <c r="U48" i="97"/>
  <c r="V48" i="97"/>
  <c r="W48" i="97"/>
  <c r="X48" i="97"/>
  <c r="Y48" i="97"/>
  <c r="Z48" i="97"/>
  <c r="AA48" i="97"/>
  <c r="E49" i="97"/>
  <c r="F49" i="97"/>
  <c r="G49" i="97"/>
  <c r="H49" i="97"/>
  <c r="I49" i="97"/>
  <c r="J49" i="97"/>
  <c r="K49" i="97"/>
  <c r="L49" i="97"/>
  <c r="M49" i="97"/>
  <c r="N49" i="97"/>
  <c r="O49" i="97"/>
  <c r="P49" i="97"/>
  <c r="Q49" i="97"/>
  <c r="R49" i="97"/>
  <c r="S49" i="97"/>
  <c r="T49" i="97"/>
  <c r="U49" i="97"/>
  <c r="V49" i="97"/>
  <c r="W49" i="97"/>
  <c r="X49" i="97"/>
  <c r="Y49" i="97"/>
  <c r="Z49" i="97"/>
  <c r="AA49" i="97"/>
  <c r="E50" i="97"/>
  <c r="F50" i="97"/>
  <c r="G50" i="97"/>
  <c r="H50" i="97"/>
  <c r="I50" i="97"/>
  <c r="J50" i="97"/>
  <c r="K50" i="97"/>
  <c r="L50" i="97"/>
  <c r="M50" i="97"/>
  <c r="N50" i="97"/>
  <c r="O50" i="97"/>
  <c r="P50" i="97"/>
  <c r="Q50" i="97"/>
  <c r="R50" i="97"/>
  <c r="S50" i="97"/>
  <c r="T50" i="97"/>
  <c r="U50" i="97"/>
  <c r="V50" i="97"/>
  <c r="W50" i="97"/>
  <c r="X50" i="97"/>
  <c r="Y50" i="97"/>
  <c r="Z50" i="97"/>
  <c r="AA50" i="97"/>
  <c r="E51" i="97"/>
  <c r="F51" i="97"/>
  <c r="G51" i="97"/>
  <c r="H51" i="97"/>
  <c r="I51" i="97"/>
  <c r="J51" i="97"/>
  <c r="K51" i="97"/>
  <c r="L51" i="97"/>
  <c r="M51" i="97"/>
  <c r="N51" i="97"/>
  <c r="O51" i="97"/>
  <c r="P51" i="97"/>
  <c r="Q51" i="97"/>
  <c r="R51" i="97"/>
  <c r="S51" i="97"/>
  <c r="T51" i="97"/>
  <c r="U51" i="97"/>
  <c r="V51" i="97"/>
  <c r="W51" i="97"/>
  <c r="X51" i="97"/>
  <c r="Y51" i="97"/>
  <c r="Z51" i="97"/>
  <c r="AA51" i="97"/>
  <c r="E52" i="97"/>
  <c r="F52" i="97"/>
  <c r="G52" i="97"/>
  <c r="H52" i="97"/>
  <c r="I52" i="97"/>
  <c r="J52" i="97"/>
  <c r="K52" i="97"/>
  <c r="L52" i="97"/>
  <c r="M52" i="97"/>
  <c r="N52" i="97"/>
  <c r="O52" i="97"/>
  <c r="P52" i="97"/>
  <c r="Q52" i="97"/>
  <c r="R52" i="97"/>
  <c r="S52" i="97"/>
  <c r="T52" i="97"/>
  <c r="U52" i="97"/>
  <c r="V52" i="97"/>
  <c r="W52" i="97"/>
  <c r="X52" i="97"/>
  <c r="Y52" i="97"/>
  <c r="Z52" i="97"/>
  <c r="AA52" i="97"/>
  <c r="E53" i="97"/>
  <c r="F53" i="97"/>
  <c r="G53" i="97"/>
  <c r="H53" i="97"/>
  <c r="I53" i="97"/>
  <c r="J53" i="97"/>
  <c r="K53" i="97"/>
  <c r="L53" i="97"/>
  <c r="M53" i="97"/>
  <c r="N53" i="97"/>
  <c r="O53" i="97"/>
  <c r="P53" i="97"/>
  <c r="Q53" i="97"/>
  <c r="R53" i="97"/>
  <c r="S53" i="97"/>
  <c r="T53" i="97"/>
  <c r="U53" i="97"/>
  <c r="V53" i="97"/>
  <c r="W53" i="97"/>
  <c r="X53" i="97"/>
  <c r="Y53" i="97"/>
  <c r="Z53" i="97"/>
  <c r="AA53" i="97"/>
  <c r="E54" i="97"/>
  <c r="F54" i="97"/>
  <c r="G54" i="97"/>
  <c r="H54" i="97"/>
  <c r="I54" i="97"/>
  <c r="J54" i="97"/>
  <c r="K54" i="97"/>
  <c r="L54" i="97"/>
  <c r="M54" i="97"/>
  <c r="N54" i="97"/>
  <c r="O54" i="97"/>
  <c r="P54" i="97"/>
  <c r="Q54" i="97"/>
  <c r="R54" i="97"/>
  <c r="S54" i="97"/>
  <c r="T54" i="97"/>
  <c r="U54" i="97"/>
  <c r="V54" i="97"/>
  <c r="W54" i="97"/>
  <c r="X54" i="97"/>
  <c r="Y54" i="97"/>
  <c r="Z54" i="97"/>
  <c r="AA54" i="97"/>
  <c r="E55" i="97"/>
  <c r="F55" i="97"/>
  <c r="G55" i="97"/>
  <c r="H55" i="97"/>
  <c r="I55" i="97"/>
  <c r="J55" i="97"/>
  <c r="K55" i="97"/>
  <c r="L55" i="97"/>
  <c r="M55" i="97"/>
  <c r="N55" i="97"/>
  <c r="O55" i="97"/>
  <c r="P55" i="97"/>
  <c r="Q55" i="97"/>
  <c r="R55" i="97"/>
  <c r="S55" i="97"/>
  <c r="T55" i="97"/>
  <c r="U55" i="97"/>
  <c r="V55" i="97"/>
  <c r="W55" i="97"/>
  <c r="X55" i="97"/>
  <c r="Y55" i="97"/>
  <c r="Z55" i="97"/>
  <c r="AA55" i="97"/>
  <c r="E56" i="97"/>
  <c r="F56" i="97"/>
  <c r="G56" i="97"/>
  <c r="H56" i="97"/>
  <c r="I56" i="97"/>
  <c r="J56" i="97"/>
  <c r="K56" i="97"/>
  <c r="L56" i="97"/>
  <c r="M56" i="97"/>
  <c r="N56" i="97"/>
  <c r="O56" i="97"/>
  <c r="P56" i="97"/>
  <c r="Q56" i="97"/>
  <c r="R56" i="97"/>
  <c r="S56" i="97"/>
  <c r="T56" i="97"/>
  <c r="U56" i="97"/>
  <c r="V56" i="97"/>
  <c r="W56" i="97"/>
  <c r="X56" i="97"/>
  <c r="Y56" i="97"/>
  <c r="Z56" i="97"/>
  <c r="AA56" i="97"/>
  <c r="D56" i="97"/>
  <c r="E57" i="97"/>
  <c r="F57" i="97"/>
  <c r="G57" i="97"/>
  <c r="H57" i="97"/>
  <c r="I57" i="97"/>
  <c r="J57" i="97"/>
  <c r="K57" i="97"/>
  <c r="L57" i="97"/>
  <c r="M57" i="97"/>
  <c r="N57" i="97"/>
  <c r="O57" i="97"/>
  <c r="P57" i="97"/>
  <c r="Q57" i="97"/>
  <c r="R57" i="97"/>
  <c r="S57" i="97"/>
  <c r="T57" i="97"/>
  <c r="U57" i="97"/>
  <c r="V57" i="97"/>
  <c r="W57" i="97"/>
  <c r="X57" i="97"/>
  <c r="Y57" i="97"/>
  <c r="Z57" i="97"/>
  <c r="AA57" i="97"/>
  <c r="E58" i="97"/>
  <c r="F58" i="97"/>
  <c r="G58" i="97"/>
  <c r="H58" i="97"/>
  <c r="I58" i="97"/>
  <c r="J58" i="97"/>
  <c r="K58" i="97"/>
  <c r="L58" i="97"/>
  <c r="M58" i="97"/>
  <c r="N58" i="97"/>
  <c r="O58" i="97"/>
  <c r="P58" i="97"/>
  <c r="Q58" i="97"/>
  <c r="R58" i="97"/>
  <c r="S58" i="97"/>
  <c r="T58" i="97"/>
  <c r="U58" i="97"/>
  <c r="V58" i="97"/>
  <c r="W58" i="97"/>
  <c r="X58" i="97"/>
  <c r="Y58" i="97"/>
  <c r="Z58" i="97"/>
  <c r="AA58" i="97"/>
  <c r="E59" i="97"/>
  <c r="F59" i="97"/>
  <c r="G59" i="97"/>
  <c r="H59" i="97"/>
  <c r="I59" i="97"/>
  <c r="J59" i="97"/>
  <c r="K59" i="97"/>
  <c r="L59" i="97"/>
  <c r="M59" i="97"/>
  <c r="N59" i="97"/>
  <c r="O59" i="97"/>
  <c r="P59" i="97"/>
  <c r="Q59" i="97"/>
  <c r="R59" i="97"/>
  <c r="S59" i="97"/>
  <c r="T59" i="97"/>
  <c r="U59" i="97"/>
  <c r="V59" i="97"/>
  <c r="W59" i="97"/>
  <c r="X59" i="97"/>
  <c r="Y59" i="97"/>
  <c r="Z59" i="97"/>
  <c r="AA59" i="97"/>
  <c r="B56" i="97"/>
  <c r="D54" i="97"/>
  <c r="D58" i="97"/>
  <c r="D57" i="97"/>
  <c r="D53" i="97"/>
  <c r="D52" i="97"/>
  <c r="D51" i="97"/>
  <c r="D50" i="97"/>
  <c r="D49" i="97"/>
  <c r="D48" i="97"/>
  <c r="D47" i="97"/>
  <c r="D44" i="97"/>
  <c r="D43" i="97"/>
  <c r="D42" i="97"/>
  <c r="D41" i="97"/>
  <c r="D40" i="97"/>
  <c r="D39" i="97"/>
  <c r="D37" i="97"/>
  <c r="D38" i="97"/>
  <c r="D36" i="97"/>
  <c r="D35" i="97"/>
  <c r="D33" i="97"/>
  <c r="D46" i="97"/>
  <c r="AA34" i="97" l="1"/>
  <c r="Z34" i="97"/>
  <c r="Y34" i="97"/>
  <c r="X34" i="97"/>
  <c r="W34" i="97"/>
  <c r="V34" i="97"/>
  <c r="U34" i="97"/>
  <c r="T34" i="97"/>
  <c r="S34" i="97"/>
  <c r="R34" i="97"/>
  <c r="Q34" i="97"/>
  <c r="P34" i="97"/>
  <c r="O34" i="97"/>
  <c r="N34" i="97"/>
  <c r="M34" i="97"/>
  <c r="L34" i="97"/>
  <c r="K34" i="97"/>
  <c r="J34" i="97"/>
  <c r="I34" i="97"/>
  <c r="H34" i="97"/>
  <c r="G34" i="97"/>
  <c r="F34" i="97"/>
  <c r="E34" i="97"/>
  <c r="D34" i="97"/>
  <c r="D55" i="97"/>
  <c r="D59" i="97"/>
  <c r="E13" i="97"/>
  <c r="F13" i="97"/>
  <c r="G13" i="97"/>
  <c r="H13" i="97"/>
  <c r="I13" i="97"/>
  <c r="J13" i="97"/>
  <c r="K13" i="97"/>
  <c r="L13" i="97"/>
  <c r="M13" i="97"/>
  <c r="N13" i="97"/>
  <c r="O13" i="97"/>
  <c r="P13" i="97"/>
  <c r="Q13" i="97"/>
  <c r="R13" i="97"/>
  <c r="S13" i="97"/>
  <c r="T13" i="97"/>
  <c r="U13" i="97"/>
  <c r="V13" i="97"/>
  <c r="W13" i="97"/>
  <c r="X13" i="97"/>
  <c r="Y13" i="97"/>
  <c r="Z13" i="97"/>
  <c r="AA13" i="97"/>
  <c r="E12" i="97" l="1"/>
  <c r="F12" i="97"/>
  <c r="G12" i="97"/>
  <c r="H12" i="97"/>
  <c r="I12" i="97"/>
  <c r="J12" i="97"/>
  <c r="K12" i="97"/>
  <c r="L12" i="97"/>
  <c r="M12" i="97"/>
  <c r="N12" i="97"/>
  <c r="O12" i="97"/>
  <c r="P12" i="97"/>
  <c r="Q12" i="97"/>
  <c r="R12" i="97"/>
  <c r="S12" i="97"/>
  <c r="T12" i="97"/>
  <c r="U12" i="97"/>
  <c r="V12" i="97"/>
  <c r="W12" i="97"/>
  <c r="X12" i="97"/>
  <c r="Y12" i="97"/>
  <c r="Z12" i="97"/>
  <c r="AA12" i="97"/>
  <c r="E15" i="97"/>
  <c r="F15" i="97"/>
  <c r="G15" i="97"/>
  <c r="H15" i="97"/>
  <c r="I15" i="97"/>
  <c r="J15" i="97"/>
  <c r="K15" i="97"/>
  <c r="L15" i="97"/>
  <c r="M15" i="97"/>
  <c r="N15" i="97"/>
  <c r="O15" i="97"/>
  <c r="P15" i="97"/>
  <c r="Q15" i="97"/>
  <c r="R15" i="97"/>
  <c r="S15" i="97"/>
  <c r="T15" i="97"/>
  <c r="U15" i="97"/>
  <c r="V15" i="97"/>
  <c r="W15" i="97"/>
  <c r="X15" i="97"/>
  <c r="Y15" i="97"/>
  <c r="Z15" i="97"/>
  <c r="AA15" i="97"/>
  <c r="E16" i="97"/>
  <c r="F16" i="97"/>
  <c r="G16" i="97"/>
  <c r="H16" i="97"/>
  <c r="I16" i="97"/>
  <c r="J16" i="97"/>
  <c r="K16" i="97"/>
  <c r="L16" i="97"/>
  <c r="M16" i="97"/>
  <c r="N16" i="97"/>
  <c r="O16" i="97"/>
  <c r="P16" i="97"/>
  <c r="Q16" i="97"/>
  <c r="R16" i="97"/>
  <c r="S16" i="97"/>
  <c r="T16" i="97"/>
  <c r="U16" i="97"/>
  <c r="V16" i="97"/>
  <c r="W16" i="97"/>
  <c r="X16" i="97"/>
  <c r="Y16" i="97"/>
  <c r="Z16" i="97"/>
  <c r="AA16" i="97"/>
  <c r="E17" i="97"/>
  <c r="F17" i="97"/>
  <c r="G17" i="97"/>
  <c r="H17" i="97"/>
  <c r="I17" i="97"/>
  <c r="J17" i="97"/>
  <c r="K17" i="97"/>
  <c r="L17" i="97"/>
  <c r="M17" i="97"/>
  <c r="N17" i="97"/>
  <c r="O17" i="97"/>
  <c r="P17" i="97"/>
  <c r="Q17" i="97"/>
  <c r="R17" i="97"/>
  <c r="S17" i="97"/>
  <c r="T17" i="97"/>
  <c r="U17" i="97"/>
  <c r="V17" i="97"/>
  <c r="W17" i="97"/>
  <c r="X17" i="97"/>
  <c r="Y17" i="97"/>
  <c r="Z17" i="97"/>
  <c r="AA17" i="97"/>
  <c r="E18" i="97"/>
  <c r="F18" i="97"/>
  <c r="G18" i="97"/>
  <c r="H18" i="97"/>
  <c r="I18" i="97"/>
  <c r="J18" i="97"/>
  <c r="K18" i="97"/>
  <c r="L18" i="97"/>
  <c r="M18" i="97"/>
  <c r="N18" i="97"/>
  <c r="O18" i="97"/>
  <c r="P18" i="97"/>
  <c r="Q18" i="97"/>
  <c r="R18" i="97"/>
  <c r="S18" i="97"/>
  <c r="T18" i="97"/>
  <c r="U18" i="97"/>
  <c r="V18" i="97"/>
  <c r="W18" i="97"/>
  <c r="X18" i="97"/>
  <c r="Y18" i="97"/>
  <c r="Z18" i="97"/>
  <c r="AA18" i="97"/>
  <c r="E19" i="97"/>
  <c r="F19" i="97"/>
  <c r="G19" i="97"/>
  <c r="H19" i="97"/>
  <c r="I19" i="97"/>
  <c r="J19" i="97"/>
  <c r="K19" i="97"/>
  <c r="L19" i="97"/>
  <c r="M19" i="97"/>
  <c r="N19" i="97"/>
  <c r="O19" i="97"/>
  <c r="P19" i="97"/>
  <c r="Q19" i="97"/>
  <c r="R19" i="97"/>
  <c r="S19" i="97"/>
  <c r="T19" i="97"/>
  <c r="U19" i="97"/>
  <c r="V19" i="97"/>
  <c r="W19" i="97"/>
  <c r="X19" i="97"/>
  <c r="Y19" i="97"/>
  <c r="Z19" i="97"/>
  <c r="AA19" i="97"/>
  <c r="E20" i="97"/>
  <c r="F20" i="97"/>
  <c r="G20" i="97"/>
  <c r="H20" i="97"/>
  <c r="I20" i="97"/>
  <c r="J20" i="97"/>
  <c r="K20" i="97"/>
  <c r="L20" i="97"/>
  <c r="M20" i="97"/>
  <c r="N20" i="97"/>
  <c r="O20" i="97"/>
  <c r="P20" i="97"/>
  <c r="Q20" i="97"/>
  <c r="R20" i="97"/>
  <c r="S20" i="97"/>
  <c r="T20" i="97"/>
  <c r="U20" i="97"/>
  <c r="V20" i="97"/>
  <c r="W20" i="97"/>
  <c r="X20" i="97"/>
  <c r="Y20" i="97"/>
  <c r="Z20" i="97"/>
  <c r="AA20" i="97"/>
  <c r="E21" i="97"/>
  <c r="F21" i="97"/>
  <c r="G21" i="97"/>
  <c r="H21" i="97"/>
  <c r="I21" i="97"/>
  <c r="J21" i="97"/>
  <c r="K21" i="97"/>
  <c r="L21" i="97"/>
  <c r="M21" i="97"/>
  <c r="N21" i="97"/>
  <c r="O21" i="97"/>
  <c r="P21" i="97"/>
  <c r="Q21" i="97"/>
  <c r="R21" i="97"/>
  <c r="S21" i="97"/>
  <c r="T21" i="97"/>
  <c r="U21" i="97"/>
  <c r="V21" i="97"/>
  <c r="W21" i="97"/>
  <c r="X21" i="97"/>
  <c r="Y21" i="97"/>
  <c r="Z21" i="97"/>
  <c r="AA21" i="97"/>
  <c r="E22" i="97"/>
  <c r="F22" i="97"/>
  <c r="G22" i="97"/>
  <c r="H22" i="97"/>
  <c r="I22" i="97"/>
  <c r="J22" i="97"/>
  <c r="K22" i="97"/>
  <c r="L22" i="97"/>
  <c r="M22" i="97"/>
  <c r="N22" i="97"/>
  <c r="O22" i="97"/>
  <c r="P22" i="97"/>
  <c r="Q22" i="97"/>
  <c r="R22" i="97"/>
  <c r="S22" i="97"/>
  <c r="T22" i="97"/>
  <c r="U22" i="97"/>
  <c r="V22" i="97"/>
  <c r="W22" i="97"/>
  <c r="X22" i="97"/>
  <c r="Y22" i="97"/>
  <c r="Z22" i="97"/>
  <c r="AA22" i="97"/>
  <c r="E23" i="97"/>
  <c r="F23" i="97"/>
  <c r="G23" i="97"/>
  <c r="H23" i="97"/>
  <c r="I23" i="97"/>
  <c r="J23" i="97"/>
  <c r="K23" i="97"/>
  <c r="L23" i="97"/>
  <c r="M23" i="97"/>
  <c r="N23" i="97"/>
  <c r="O23" i="97"/>
  <c r="P23" i="97"/>
  <c r="Q23" i="97"/>
  <c r="R23" i="97"/>
  <c r="S23" i="97"/>
  <c r="T23" i="97"/>
  <c r="U23" i="97"/>
  <c r="V23" i="97"/>
  <c r="W23" i="97"/>
  <c r="X23" i="97"/>
  <c r="Y23" i="97"/>
  <c r="Z23" i="97"/>
  <c r="AA23" i="97"/>
  <c r="E24" i="97"/>
  <c r="F24" i="97"/>
  <c r="G24" i="97"/>
  <c r="H24" i="97"/>
  <c r="I24" i="97"/>
  <c r="J24" i="97"/>
  <c r="K24" i="97"/>
  <c r="L24" i="97"/>
  <c r="M24" i="97"/>
  <c r="N24" i="97"/>
  <c r="O24" i="97"/>
  <c r="P24" i="97"/>
  <c r="Q24" i="97"/>
  <c r="R24" i="97"/>
  <c r="S24" i="97"/>
  <c r="T24" i="97"/>
  <c r="U24" i="97"/>
  <c r="V24" i="97"/>
  <c r="W24" i="97"/>
  <c r="X24" i="97"/>
  <c r="Y24" i="97"/>
  <c r="Z24" i="97"/>
  <c r="AA24" i="97"/>
  <c r="E25" i="97"/>
  <c r="F25" i="97"/>
  <c r="G25" i="97"/>
  <c r="H25" i="97"/>
  <c r="I25" i="97"/>
  <c r="J25" i="97"/>
  <c r="K25" i="97"/>
  <c r="L25" i="97"/>
  <c r="M25" i="97"/>
  <c r="N25" i="97"/>
  <c r="O25" i="97"/>
  <c r="P25" i="97"/>
  <c r="Q25" i="97"/>
  <c r="R25" i="97"/>
  <c r="S25" i="97"/>
  <c r="T25" i="97"/>
  <c r="U25" i="97"/>
  <c r="V25" i="97"/>
  <c r="W25" i="97"/>
  <c r="X25" i="97"/>
  <c r="Y25" i="97"/>
  <c r="Z25" i="97"/>
  <c r="AA25" i="97"/>
  <c r="E26" i="97"/>
  <c r="F26" i="97"/>
  <c r="G26" i="97"/>
  <c r="H26" i="97"/>
  <c r="I26" i="97"/>
  <c r="J26" i="97"/>
  <c r="K26" i="97"/>
  <c r="L26" i="97"/>
  <c r="M26" i="97"/>
  <c r="N26" i="97"/>
  <c r="O26" i="97"/>
  <c r="P26" i="97"/>
  <c r="Q26" i="97"/>
  <c r="R26" i="97"/>
  <c r="S26" i="97"/>
  <c r="T26" i="97"/>
  <c r="U26" i="97"/>
  <c r="V26" i="97"/>
  <c r="W26" i="97"/>
  <c r="X26" i="97"/>
  <c r="Y26" i="97"/>
  <c r="Z26" i="97"/>
  <c r="AA26" i="97"/>
  <c r="E27" i="97"/>
  <c r="F27" i="97"/>
  <c r="G27" i="97"/>
  <c r="H27" i="97"/>
  <c r="I27" i="97"/>
  <c r="J27" i="97"/>
  <c r="K27" i="97"/>
  <c r="L27" i="97"/>
  <c r="M27" i="97"/>
  <c r="N27" i="97"/>
  <c r="O27" i="97"/>
  <c r="P27" i="97"/>
  <c r="Q27" i="97"/>
  <c r="R27" i="97"/>
  <c r="S27" i="97"/>
  <c r="T27" i="97"/>
  <c r="U27" i="97"/>
  <c r="V27" i="97"/>
  <c r="W27" i="97"/>
  <c r="X27" i="97"/>
  <c r="Y27" i="97"/>
  <c r="Z27" i="97"/>
  <c r="AA27" i="97"/>
  <c r="E28" i="97"/>
  <c r="F28" i="97"/>
  <c r="G28" i="97"/>
  <c r="H28" i="97"/>
  <c r="I28" i="97"/>
  <c r="J28" i="97"/>
  <c r="K28" i="97"/>
  <c r="L28" i="97"/>
  <c r="M28" i="97"/>
  <c r="N28" i="97"/>
  <c r="O28" i="97"/>
  <c r="P28" i="97"/>
  <c r="Q28" i="97"/>
  <c r="R28" i="97"/>
  <c r="S28" i="97"/>
  <c r="T28" i="97"/>
  <c r="U28" i="97"/>
  <c r="V28" i="97"/>
  <c r="W28" i="97"/>
  <c r="X28" i="97"/>
  <c r="Y28" i="97"/>
  <c r="Z28" i="97"/>
  <c r="AA28" i="97"/>
  <c r="E29" i="97"/>
  <c r="F29" i="97"/>
  <c r="G29" i="97"/>
  <c r="H29" i="97"/>
  <c r="I29" i="97"/>
  <c r="J29" i="97"/>
  <c r="K29" i="97"/>
  <c r="L29" i="97"/>
  <c r="M29" i="97"/>
  <c r="N29" i="97"/>
  <c r="O29" i="97"/>
  <c r="P29" i="97"/>
  <c r="Q29" i="97"/>
  <c r="R29" i="97"/>
  <c r="S29" i="97"/>
  <c r="T29" i="97"/>
  <c r="U29" i="97"/>
  <c r="V29" i="97"/>
  <c r="W29" i="97"/>
  <c r="X29" i="97"/>
  <c r="Y29" i="97"/>
  <c r="Z29" i="97"/>
  <c r="AA29" i="97"/>
  <c r="E30" i="97"/>
  <c r="F30" i="97"/>
  <c r="G30" i="97"/>
  <c r="H30" i="97"/>
  <c r="I30" i="97"/>
  <c r="J30" i="97"/>
  <c r="K30" i="97"/>
  <c r="L30" i="97"/>
  <c r="M30" i="97"/>
  <c r="N30" i="97"/>
  <c r="O30" i="97"/>
  <c r="P30" i="97"/>
  <c r="Q30" i="97"/>
  <c r="R30" i="97"/>
  <c r="S30" i="97"/>
  <c r="T30" i="97"/>
  <c r="U30" i="97"/>
  <c r="V30" i="97"/>
  <c r="W30" i="97"/>
  <c r="X30" i="97"/>
  <c r="Y30" i="97"/>
  <c r="Z30" i="97"/>
  <c r="AA30" i="97"/>
  <c r="E31" i="97"/>
  <c r="F31" i="97"/>
  <c r="G31" i="97"/>
  <c r="H31" i="97"/>
  <c r="I31" i="97"/>
  <c r="J31" i="97"/>
  <c r="K31" i="97"/>
  <c r="L31" i="97"/>
  <c r="M31" i="97"/>
  <c r="N31" i="97"/>
  <c r="O31" i="97"/>
  <c r="P31" i="97"/>
  <c r="Q31" i="97"/>
  <c r="R31" i="97"/>
  <c r="S31" i="97"/>
  <c r="T31" i="97"/>
  <c r="U31" i="97"/>
  <c r="V31" i="97"/>
  <c r="W31" i="97"/>
  <c r="X31" i="97"/>
  <c r="Y31" i="97"/>
  <c r="Z31" i="97"/>
  <c r="AA31" i="97"/>
  <c r="E32" i="97"/>
  <c r="F32" i="97"/>
  <c r="G32" i="97"/>
  <c r="H32" i="97"/>
  <c r="I32" i="97"/>
  <c r="J32" i="97"/>
  <c r="K32" i="97"/>
  <c r="L32" i="97"/>
  <c r="M32" i="97"/>
  <c r="N32" i="97"/>
  <c r="O32" i="97"/>
  <c r="P32" i="97"/>
  <c r="Q32" i="97"/>
  <c r="R32" i="97"/>
  <c r="S32" i="97"/>
  <c r="T32" i="97"/>
  <c r="U32" i="97"/>
  <c r="V32" i="97"/>
  <c r="W32" i="97"/>
  <c r="X32" i="97"/>
  <c r="Y32" i="97"/>
  <c r="Z32" i="97"/>
  <c r="AA32" i="97"/>
  <c r="D32" i="97"/>
  <c r="D31" i="97"/>
  <c r="D30" i="97"/>
  <c r="D29" i="97"/>
  <c r="D28" i="97"/>
  <c r="D27" i="97"/>
  <c r="D26" i="97"/>
  <c r="D25" i="97"/>
  <c r="D24" i="97"/>
  <c r="D23" i="97"/>
  <c r="D22" i="97"/>
  <c r="D21" i="97"/>
  <c r="D20" i="97"/>
  <c r="D19" i="97"/>
  <c r="D18" i="97"/>
  <c r="D17" i="97"/>
  <c r="D16" i="97"/>
  <c r="D15" i="97"/>
  <c r="D14" i="97"/>
  <c r="D13" i="97"/>
  <c r="D12" i="97"/>
  <c r="D11" i="97"/>
  <c r="E10" i="97"/>
  <c r="F10" i="97"/>
  <c r="G10" i="97"/>
  <c r="H10" i="97"/>
  <c r="I10" i="97"/>
  <c r="J10" i="97"/>
  <c r="K10" i="97"/>
  <c r="L10" i="97"/>
  <c r="M10" i="97"/>
  <c r="N10" i="97"/>
  <c r="O10" i="97"/>
  <c r="P10" i="97"/>
  <c r="Q10" i="97"/>
  <c r="R10" i="97"/>
  <c r="S10" i="97"/>
  <c r="T10" i="97"/>
  <c r="U10" i="97"/>
  <c r="V10" i="97"/>
  <c r="W10" i="97"/>
  <c r="X10" i="97"/>
  <c r="Y10" i="97"/>
  <c r="Z10" i="97"/>
  <c r="AA10" i="97"/>
  <c r="D10" i="97"/>
  <c r="E9" i="97"/>
  <c r="F9" i="97"/>
  <c r="G9" i="97"/>
  <c r="H9" i="97"/>
  <c r="I9" i="97"/>
  <c r="J9" i="97"/>
  <c r="K9" i="97"/>
  <c r="L9" i="97"/>
  <c r="M9" i="97"/>
  <c r="N9" i="97"/>
  <c r="O9" i="97"/>
  <c r="P9" i="97"/>
  <c r="Q9" i="97"/>
  <c r="R9" i="97"/>
  <c r="S9" i="97"/>
  <c r="T9" i="97"/>
  <c r="U9" i="97"/>
  <c r="V9" i="97"/>
  <c r="W9" i="97"/>
  <c r="X9" i="97"/>
  <c r="Y9" i="97"/>
  <c r="Z9" i="97"/>
  <c r="AA9" i="97"/>
  <c r="D9" i="97"/>
  <c r="E8" i="97"/>
  <c r="F8" i="97"/>
  <c r="G8" i="97"/>
  <c r="H8" i="97"/>
  <c r="I8" i="97"/>
  <c r="J8" i="97"/>
  <c r="K8" i="97"/>
  <c r="L8" i="97"/>
  <c r="M8" i="97"/>
  <c r="N8" i="97"/>
  <c r="O8" i="97"/>
  <c r="P8" i="97"/>
  <c r="Q8" i="97"/>
  <c r="R8" i="97"/>
  <c r="S8" i="97"/>
  <c r="T8" i="97"/>
  <c r="U8" i="97"/>
  <c r="V8" i="97"/>
  <c r="W8" i="97"/>
  <c r="X8" i="97"/>
  <c r="Y8" i="97"/>
  <c r="Z8" i="97"/>
  <c r="AA8" i="97"/>
  <c r="E7" i="97"/>
  <c r="F7" i="97"/>
  <c r="G7" i="97"/>
  <c r="H7" i="97"/>
  <c r="I7" i="97"/>
  <c r="J7" i="97"/>
  <c r="K7" i="97"/>
  <c r="L7" i="97"/>
  <c r="M7" i="97"/>
  <c r="N7" i="97"/>
  <c r="O7" i="97"/>
  <c r="P7" i="97"/>
  <c r="Q7" i="97"/>
  <c r="R7" i="97"/>
  <c r="S7" i="97"/>
  <c r="T7" i="97"/>
  <c r="U7" i="97"/>
  <c r="V7" i="97"/>
  <c r="W7" i="97"/>
  <c r="X7" i="97"/>
  <c r="Y7" i="97"/>
  <c r="Z7" i="97"/>
  <c r="AA7" i="97"/>
  <c r="D8" i="97"/>
  <c r="D7" i="97"/>
  <c r="E6" i="97" a="1"/>
  <c r="F6" i="97" a="1"/>
  <c r="G6" i="97" a="1"/>
  <c r="H6" i="97" a="1"/>
  <c r="I6" i="97" a="1"/>
  <c r="J6" i="97" a="1"/>
  <c r="K6" i="97" a="1"/>
  <c r="L6" i="97" a="1"/>
  <c r="M6" i="97" a="1"/>
  <c r="N6" i="97" a="1"/>
  <c r="O6" i="97" a="1"/>
  <c r="P6" i="97" a="1"/>
  <c r="Q6" i="97" a="1"/>
  <c r="R6" i="97" a="1"/>
  <c r="S6" i="97" a="1"/>
  <c r="T6" i="97" a="1"/>
  <c r="U6" i="97" a="1"/>
  <c r="V6" i="97" a="1"/>
  <c r="W6" i="97" a="1"/>
  <c r="X6" i="97" a="1"/>
  <c r="Y6" i="97" a="1"/>
  <c r="Z6" i="97" a="1"/>
  <c r="AA6" i="97" a="1"/>
  <c r="D6" i="97" a="1"/>
  <c r="E5" i="97"/>
  <c r="F5" i="97"/>
  <c r="G5" i="97"/>
  <c r="H5" i="97"/>
  <c r="I5" i="97"/>
  <c r="J5" i="97"/>
  <c r="K5" i="97"/>
  <c r="L5" i="97"/>
  <c r="M5" i="97"/>
  <c r="N5" i="97"/>
  <c r="O5" i="97"/>
  <c r="P5" i="97"/>
  <c r="Q5" i="97"/>
  <c r="R5" i="97"/>
  <c r="S5" i="97"/>
  <c r="T5" i="97"/>
  <c r="U5" i="97"/>
  <c r="V5" i="97"/>
  <c r="W5" i="97"/>
  <c r="X5" i="97"/>
  <c r="Y5" i="97"/>
  <c r="Z5" i="97"/>
  <c r="AA5" i="97"/>
  <c r="D5" i="97"/>
  <c r="AA38" i="97"/>
  <c r="Z38" i="97"/>
  <c r="Y38" i="97"/>
  <c r="X38" i="97"/>
  <c r="W38" i="97"/>
  <c r="V38" i="97"/>
  <c r="U38" i="97"/>
  <c r="T38" i="97"/>
  <c r="S38" i="97"/>
  <c r="R38" i="97"/>
  <c r="Q38" i="97"/>
  <c r="P38" i="97"/>
  <c r="O38" i="97"/>
  <c r="N38" i="97"/>
  <c r="M38" i="97"/>
  <c r="L38" i="97"/>
  <c r="K38" i="97"/>
  <c r="J38" i="97"/>
  <c r="I38" i="97"/>
  <c r="H38" i="97"/>
  <c r="G38" i="97"/>
  <c r="F38" i="97"/>
  <c r="E38" i="97"/>
  <c r="C49" i="74"/>
  <c r="D49" i="74"/>
  <c r="E49" i="74"/>
  <c r="F49" i="74"/>
  <c r="G49" i="74"/>
  <c r="H49" i="74"/>
  <c r="I49" i="74"/>
  <c r="J49" i="74"/>
  <c r="K49" i="74"/>
  <c r="L49" i="74"/>
  <c r="M49" i="74"/>
  <c r="N49" i="74"/>
  <c r="O49" i="74"/>
  <c r="P49" i="74"/>
  <c r="Q49" i="74"/>
  <c r="R49" i="74"/>
  <c r="S49" i="74"/>
  <c r="T49" i="74"/>
  <c r="U49" i="74"/>
  <c r="V49" i="74"/>
  <c r="W49" i="74"/>
  <c r="X49" i="74"/>
  <c r="Y49" i="74"/>
  <c r="Z14" i="74"/>
  <c r="Z49" i="74" s="1"/>
  <c r="Z25" i="13"/>
  <c r="C100" i="29"/>
  <c r="D100" i="29"/>
  <c r="E100" i="29"/>
  <c r="F100" i="29"/>
  <c r="G100" i="29"/>
  <c r="H100" i="29"/>
  <c r="I100" i="29"/>
  <c r="J100" i="29"/>
  <c r="K100" i="29"/>
  <c r="L100" i="29"/>
  <c r="M100" i="29"/>
  <c r="N100" i="29"/>
  <c r="O100" i="29"/>
  <c r="P100" i="29"/>
  <c r="Q100" i="29"/>
  <c r="R100" i="29"/>
  <c r="S100" i="29"/>
  <c r="T100" i="29"/>
  <c r="U100" i="29"/>
  <c r="V100" i="29"/>
  <c r="W100" i="29"/>
  <c r="X100" i="29"/>
  <c r="Y100" i="29"/>
  <c r="Z13" i="90"/>
  <c r="Z14" i="90"/>
  <c r="Z15" i="90"/>
  <c r="Y5" i="101"/>
  <c r="X5" i="101"/>
  <c r="W5" i="101"/>
  <c r="V5" i="101"/>
  <c r="U5" i="101"/>
  <c r="T5" i="101"/>
  <c r="S5" i="101"/>
  <c r="R5" i="101"/>
  <c r="Q5" i="101"/>
  <c r="P5" i="101"/>
  <c r="O5" i="101"/>
  <c r="N5" i="101"/>
  <c r="M5" i="101"/>
  <c r="L5" i="101"/>
  <c r="K5" i="101"/>
  <c r="J5" i="101"/>
  <c r="I5" i="101"/>
  <c r="H5" i="101"/>
  <c r="G5" i="101"/>
  <c r="F5" i="101"/>
  <c r="E5" i="101"/>
  <c r="D5" i="101"/>
  <c r="C5" i="101"/>
  <c r="Z4" i="101"/>
  <c r="Z3" i="101"/>
  <c r="C4" i="83"/>
  <c r="Z7" i="79"/>
  <c r="Z8" i="79"/>
  <c r="Z9" i="79"/>
  <c r="C7" i="77"/>
  <c r="Z17" i="76"/>
  <c r="Z38" i="74"/>
  <c r="Z39" i="74"/>
  <c r="Z40" i="74"/>
  <c r="Z41" i="74"/>
  <c r="Z42" i="74"/>
  <c r="Z44" i="74"/>
  <c r="Z45" i="74"/>
  <c r="Z46" i="74"/>
  <c r="Z47" i="74"/>
  <c r="Z48" i="74"/>
  <c r="Z33" i="73"/>
  <c r="Z34" i="73"/>
  <c r="Z35" i="73"/>
  <c r="Z36" i="73"/>
  <c r="Z37" i="73"/>
  <c r="Z3" i="72"/>
  <c r="Z4" i="72"/>
  <c r="Z5" i="72" s="1"/>
  <c r="Z23" i="70"/>
  <c r="Z24" i="70"/>
  <c r="Z25" i="70"/>
  <c r="Z26" i="70"/>
  <c r="C12" i="94"/>
  <c r="D12" i="94"/>
  <c r="E12" i="94"/>
  <c r="F12" i="94"/>
  <c r="G12" i="94"/>
  <c r="H12" i="94"/>
  <c r="I12" i="94"/>
  <c r="J12" i="94"/>
  <c r="K12" i="94"/>
  <c r="L12" i="94"/>
  <c r="M12" i="94"/>
  <c r="N12" i="94"/>
  <c r="O12" i="94"/>
  <c r="P12" i="94"/>
  <c r="Q12" i="94"/>
  <c r="R12" i="94"/>
  <c r="S12" i="94"/>
  <c r="T12" i="94"/>
  <c r="U12" i="94"/>
  <c r="V12" i="94"/>
  <c r="W12" i="94"/>
  <c r="X12" i="94"/>
  <c r="Y12" i="94"/>
  <c r="Z10" i="94"/>
  <c r="Z11" i="94"/>
  <c r="Z26" i="38"/>
  <c r="Z4" i="34"/>
  <c r="C12" i="33"/>
  <c r="Z11" i="33"/>
  <c r="Z7" i="32"/>
  <c r="C9" i="31"/>
  <c r="Z7" i="31"/>
  <c r="Z8" i="31"/>
  <c r="C5" i="26"/>
  <c r="C14" i="25"/>
  <c r="D14" i="25"/>
  <c r="E14" i="25"/>
  <c r="F14" i="25"/>
  <c r="G14" i="25"/>
  <c r="H14" i="25"/>
  <c r="I14" i="25"/>
  <c r="J14" i="25"/>
  <c r="K14" i="25"/>
  <c r="L14" i="25"/>
  <c r="M14" i="25"/>
  <c r="N14" i="25"/>
  <c r="O14" i="25"/>
  <c r="P14" i="25"/>
  <c r="Q14" i="25"/>
  <c r="R14" i="25"/>
  <c r="S14" i="25"/>
  <c r="T14" i="25"/>
  <c r="U14" i="25"/>
  <c r="V14" i="25"/>
  <c r="W14" i="25"/>
  <c r="X14" i="25"/>
  <c r="Y14" i="25"/>
  <c r="Z13" i="25"/>
  <c r="C7" i="24"/>
  <c r="C8" i="23"/>
  <c r="Z3" i="23"/>
  <c r="Z4" i="23"/>
  <c r="Z5" i="23"/>
  <c r="Z6" i="23"/>
  <c r="Z7" i="23"/>
  <c r="Z14" i="97"/>
  <c r="Y14" i="97"/>
  <c r="X14" i="97"/>
  <c r="W14" i="97"/>
  <c r="V14" i="97"/>
  <c r="U14" i="97"/>
  <c r="T14" i="97"/>
  <c r="S14" i="97"/>
  <c r="R14" i="97"/>
  <c r="Q14" i="97"/>
  <c r="P14" i="97"/>
  <c r="O14" i="97"/>
  <c r="N14" i="97"/>
  <c r="M14" i="97"/>
  <c r="L14" i="97"/>
  <c r="K14" i="97"/>
  <c r="J14" i="97"/>
  <c r="I14" i="97"/>
  <c r="H14" i="97"/>
  <c r="G14" i="97"/>
  <c r="F14" i="97"/>
  <c r="E14" i="97"/>
  <c r="Z4" i="22"/>
  <c r="Z5" i="22"/>
  <c r="Z18" i="21"/>
  <c r="Z5" i="20"/>
  <c r="Z7" i="20"/>
  <c r="C4" i="19"/>
  <c r="D4" i="19"/>
  <c r="E4" i="19"/>
  <c r="F4" i="19"/>
  <c r="G4" i="19"/>
  <c r="H4" i="19"/>
  <c r="I4" i="19"/>
  <c r="J4" i="19"/>
  <c r="K4" i="19"/>
  <c r="L4" i="19"/>
  <c r="M4" i="19"/>
  <c r="N4" i="19"/>
  <c r="O4" i="19"/>
  <c r="P4" i="19"/>
  <c r="Q4" i="19"/>
  <c r="R4" i="19"/>
  <c r="S4" i="19"/>
  <c r="T4" i="19"/>
  <c r="U4" i="19"/>
  <c r="V4" i="19"/>
  <c r="W4" i="19"/>
  <c r="X4" i="19"/>
  <c r="Y4" i="19"/>
  <c r="D14" i="18"/>
  <c r="E14" i="18"/>
  <c r="F14" i="18"/>
  <c r="G14" i="18"/>
  <c r="H14" i="18"/>
  <c r="I14" i="18"/>
  <c r="J14" i="18"/>
  <c r="K14" i="18"/>
  <c r="L14" i="18"/>
  <c r="M14" i="18"/>
  <c r="N14" i="18"/>
  <c r="O14" i="18"/>
  <c r="P14" i="18"/>
  <c r="Q14" i="18"/>
  <c r="R14" i="18"/>
  <c r="S14" i="18"/>
  <c r="T14" i="18"/>
  <c r="U14" i="18"/>
  <c r="V14" i="18"/>
  <c r="W14" i="18"/>
  <c r="X14" i="18"/>
  <c r="Y14" i="18"/>
  <c r="Z6" i="17"/>
  <c r="Z4" i="16"/>
  <c r="Z9" i="15"/>
  <c r="Z10" i="15"/>
  <c r="Z4" i="14"/>
  <c r="Z3" i="14"/>
  <c r="Z3" i="13"/>
  <c r="Z4" i="13"/>
  <c r="Z5" i="13"/>
  <c r="Z6" i="13"/>
  <c r="Z7" i="13"/>
  <c r="Z8" i="13"/>
  <c r="Z9" i="13"/>
  <c r="Z10" i="13"/>
  <c r="Z11" i="13"/>
  <c r="Z12" i="13"/>
  <c r="Z13" i="13"/>
  <c r="Z14" i="13"/>
  <c r="Z15" i="13"/>
  <c r="Z16" i="13"/>
  <c r="Z17" i="13"/>
  <c r="Z18" i="13"/>
  <c r="Z19" i="13"/>
  <c r="Z20" i="13"/>
  <c r="Z21" i="13"/>
  <c r="Z22" i="13"/>
  <c r="Z23" i="13"/>
  <c r="Z24" i="13"/>
  <c r="D26" i="13"/>
  <c r="E26" i="13"/>
  <c r="F26" i="13"/>
  <c r="G26" i="13"/>
  <c r="H26" i="13"/>
  <c r="I26" i="13"/>
  <c r="J26" i="13"/>
  <c r="K26" i="13"/>
  <c r="L26" i="13"/>
  <c r="M26" i="13"/>
  <c r="N26" i="13"/>
  <c r="O26" i="13"/>
  <c r="P26" i="13"/>
  <c r="Q26" i="13"/>
  <c r="R26" i="13"/>
  <c r="S26" i="13"/>
  <c r="T26" i="13"/>
  <c r="U26" i="13"/>
  <c r="V26" i="13"/>
  <c r="W26" i="13"/>
  <c r="X26" i="13"/>
  <c r="Y26" i="13"/>
  <c r="C26" i="13"/>
  <c r="B60" i="97"/>
  <c r="C60" i="97"/>
  <c r="Z5" i="101" l="1"/>
  <c r="Z26" i="13"/>
  <c r="Z3" i="85"/>
  <c r="Z4" i="85"/>
  <c r="Z5" i="85"/>
  <c r="Z6" i="85"/>
  <c r="C10" i="78"/>
  <c r="Y7" i="85"/>
  <c r="Z3" i="29"/>
  <c r="Z37" i="29"/>
  <c r="Z57" i="29"/>
  <c r="Z69" i="29"/>
  <c r="Z4" i="29"/>
  <c r="Z5" i="29"/>
  <c r="Z6" i="29"/>
  <c r="Z7" i="29"/>
  <c r="Z8" i="29"/>
  <c r="Z9" i="29"/>
  <c r="Z10" i="29"/>
  <c r="Z11" i="29"/>
  <c r="Z12" i="29"/>
  <c r="Z13" i="29"/>
  <c r="Z14" i="29"/>
  <c r="Z15" i="29"/>
  <c r="Z16" i="29"/>
  <c r="Z17" i="29"/>
  <c r="Z18" i="29"/>
  <c r="Z19" i="29"/>
  <c r="Z20" i="29"/>
  <c r="Z21" i="29"/>
  <c r="Z22" i="29"/>
  <c r="Z23" i="29"/>
  <c r="Z24" i="29"/>
  <c r="Z25" i="29"/>
  <c r="Z26" i="29"/>
  <c r="Z27" i="29"/>
  <c r="Z28" i="29"/>
  <c r="Z29" i="29"/>
  <c r="Z30" i="29"/>
  <c r="Z31" i="29"/>
  <c r="Z32" i="29"/>
  <c r="Z33" i="29"/>
  <c r="Z34" i="29"/>
  <c r="Z35" i="29"/>
  <c r="Z36" i="29"/>
  <c r="Z38" i="29"/>
  <c r="Z39" i="29"/>
  <c r="Z40" i="29"/>
  <c r="Z41" i="29"/>
  <c r="Z42" i="29"/>
  <c r="Z43" i="29"/>
  <c r="Z44" i="29"/>
  <c r="Z45" i="29"/>
  <c r="Z46" i="29"/>
  <c r="Z47" i="29"/>
  <c r="Z48" i="29"/>
  <c r="Z49" i="29"/>
  <c r="Z50" i="29"/>
  <c r="Z51" i="29"/>
  <c r="Z52" i="29"/>
  <c r="Z53" i="29"/>
  <c r="Z54" i="29"/>
  <c r="Z55" i="29"/>
  <c r="Z56" i="29"/>
  <c r="Z58" i="29"/>
  <c r="Z59" i="29"/>
  <c r="Z60" i="29"/>
  <c r="Z61" i="29"/>
  <c r="Z62" i="29"/>
  <c r="Z63" i="29"/>
  <c r="Z64" i="29"/>
  <c r="Z65" i="29"/>
  <c r="Z66" i="29"/>
  <c r="Z67" i="29"/>
  <c r="Z68" i="29"/>
  <c r="Z70" i="29"/>
  <c r="Z71" i="29"/>
  <c r="Z72" i="29"/>
  <c r="Z73" i="29"/>
  <c r="Z74" i="29"/>
  <c r="Z75" i="29"/>
  <c r="Z76" i="29"/>
  <c r="Z77" i="29"/>
  <c r="Z78" i="29"/>
  <c r="Z79" i="29"/>
  <c r="Z80" i="29"/>
  <c r="Z81" i="29"/>
  <c r="Z82" i="29"/>
  <c r="Z83" i="29"/>
  <c r="Z84" i="29"/>
  <c r="Z85" i="29"/>
  <c r="Z86" i="29"/>
  <c r="Z87" i="29"/>
  <c r="Z88" i="29"/>
  <c r="Z89" i="29"/>
  <c r="Z90" i="29"/>
  <c r="Z91" i="29"/>
  <c r="Z92" i="29"/>
  <c r="Z93" i="29"/>
  <c r="Z94" i="29"/>
  <c r="Z95" i="29"/>
  <c r="Z96" i="29"/>
  <c r="Z97" i="29"/>
  <c r="Z98" i="29"/>
  <c r="Z99" i="29"/>
  <c r="Z3" i="91"/>
  <c r="Z4" i="91"/>
  <c r="Z3" i="99"/>
  <c r="Z4" i="99"/>
  <c r="Z4" i="32"/>
  <c r="Z3" i="32"/>
  <c r="Z4" i="86"/>
  <c r="Z3" i="82"/>
  <c r="Z100" i="29" l="1"/>
  <c r="Z7" i="85"/>
  <c r="Z11" i="70"/>
  <c r="Z3" i="16" l="1"/>
  <c r="Z7" i="92"/>
  <c r="Z12" i="91"/>
  <c r="Y5" i="99"/>
  <c r="X5" i="99"/>
  <c r="W5" i="99"/>
  <c r="V5" i="99"/>
  <c r="U5" i="99"/>
  <c r="T5" i="99"/>
  <c r="S5" i="99"/>
  <c r="R5" i="99"/>
  <c r="Q5" i="99"/>
  <c r="P5" i="99"/>
  <c r="O5" i="99"/>
  <c r="N5" i="99"/>
  <c r="M5" i="99"/>
  <c r="L5" i="99"/>
  <c r="K5" i="99"/>
  <c r="J5" i="99"/>
  <c r="I5" i="99"/>
  <c r="H5" i="99"/>
  <c r="G5" i="99"/>
  <c r="F5" i="99"/>
  <c r="E5" i="99"/>
  <c r="D5" i="99"/>
  <c r="C5" i="99"/>
  <c r="Z5" i="99"/>
  <c r="Z11" i="90"/>
  <c r="Z12" i="90"/>
  <c r="Z7" i="88"/>
  <c r="Z8" i="88"/>
  <c r="Z7" i="86"/>
  <c r="Z8" i="86"/>
  <c r="Z9" i="86"/>
  <c r="Z10" i="86"/>
  <c r="Z11" i="86"/>
  <c r="Z12" i="86"/>
  <c r="Z8" i="82"/>
  <c r="Z9" i="82"/>
  <c r="Z11" i="74"/>
  <c r="Z12" i="74"/>
  <c r="Z13" i="74"/>
  <c r="Z15" i="74"/>
  <c r="Z16" i="74"/>
  <c r="Z17" i="74"/>
  <c r="Z18" i="74"/>
  <c r="Z19" i="74"/>
  <c r="Z20" i="74"/>
  <c r="Z21" i="74"/>
  <c r="Z22" i="74"/>
  <c r="Z23" i="74"/>
  <c r="Z24" i="74"/>
  <c r="Z26" i="74"/>
  <c r="Z27" i="74"/>
  <c r="Z29" i="74"/>
  <c r="Z30" i="74"/>
  <c r="Z31" i="74"/>
  <c r="Z32" i="74"/>
  <c r="Z34" i="74"/>
  <c r="Z35" i="74"/>
  <c r="Z28" i="74"/>
  <c r="Z36" i="74"/>
  <c r="Z33" i="74"/>
  <c r="Z37" i="74"/>
  <c r="Z3" i="83"/>
  <c r="Z7" i="81"/>
  <c r="Z8" i="81"/>
  <c r="Z14" i="80"/>
  <c r="Z15" i="80"/>
  <c r="Z16" i="80"/>
  <c r="Z17" i="80"/>
  <c r="Z18" i="80"/>
  <c r="Z19" i="80"/>
  <c r="Z20" i="80"/>
  <c r="Z9" i="78"/>
  <c r="Z4" i="78"/>
  <c r="Z12" i="76"/>
  <c r="Z13" i="76"/>
  <c r="Z14" i="76"/>
  <c r="Z15" i="76"/>
  <c r="Z16" i="76"/>
  <c r="Z4" i="75"/>
  <c r="Z5" i="75"/>
  <c r="Z6" i="75"/>
  <c r="Z20" i="73"/>
  <c r="Z22" i="73"/>
  <c r="Z23" i="73"/>
  <c r="Z24" i="73"/>
  <c r="Z25" i="73"/>
  <c r="Z26" i="73"/>
  <c r="Z27" i="73"/>
  <c r="Z28" i="73"/>
  <c r="Z29" i="73"/>
  <c r="Z30" i="73"/>
  <c r="Z21" i="73"/>
  <c r="Z9" i="73"/>
  <c r="Z31" i="73"/>
  <c r="Z32" i="73"/>
  <c r="Z13" i="71"/>
  <c r="Z14" i="71"/>
  <c r="Z7" i="71"/>
  <c r="Z15" i="71"/>
  <c r="Z16" i="71"/>
  <c r="Z17" i="71"/>
  <c r="Z18" i="71"/>
  <c r="Z19" i="71"/>
  <c r="Z19" i="70"/>
  <c r="Z20" i="70"/>
  <c r="Z21" i="70"/>
  <c r="Z22" i="70"/>
  <c r="Z8" i="94"/>
  <c r="Z9" i="94"/>
  <c r="Z17" i="38"/>
  <c r="Z3" i="38"/>
  <c r="Z4" i="38"/>
  <c r="Z5" i="38"/>
  <c r="Z6" i="38"/>
  <c r="Z7" i="38"/>
  <c r="Z8" i="38"/>
  <c r="Z9" i="38"/>
  <c r="Z10" i="38"/>
  <c r="Z11" i="38"/>
  <c r="Z12" i="38"/>
  <c r="Z13" i="38"/>
  <c r="Z14" i="38"/>
  <c r="Z15" i="38"/>
  <c r="Z16" i="38"/>
  <c r="Z19" i="38"/>
  <c r="Z18" i="38"/>
  <c r="Z20" i="38"/>
  <c r="Z21" i="38"/>
  <c r="Z22" i="38"/>
  <c r="Z23" i="38"/>
  <c r="Z24" i="38"/>
  <c r="Z25" i="38"/>
  <c r="Z3" i="37"/>
  <c r="Z3" i="36"/>
  <c r="Z4" i="36"/>
  <c r="Z3" i="35"/>
  <c r="Z4" i="35"/>
  <c r="Z5" i="35"/>
  <c r="Z6" i="35"/>
  <c r="Z7" i="35"/>
  <c r="Z8" i="35"/>
  <c r="Z9" i="35"/>
  <c r="Z3" i="34"/>
  <c r="Z3" i="33"/>
  <c r="Z4" i="33"/>
  <c r="Z5" i="33"/>
  <c r="Z6" i="33"/>
  <c r="Z7" i="33"/>
  <c r="Z8" i="33"/>
  <c r="Z9" i="33"/>
  <c r="Z10" i="33"/>
  <c r="Z5" i="32"/>
  <c r="Z6" i="32"/>
  <c r="Z3" i="31"/>
  <c r="Z4" i="31"/>
  <c r="Z5" i="31"/>
  <c r="Z6" i="31"/>
  <c r="Z5" i="30"/>
  <c r="Z4" i="27"/>
  <c r="Z7" i="25"/>
  <c r="Z8" i="25"/>
  <c r="Z9" i="25"/>
  <c r="Z10" i="25"/>
  <c r="Z11" i="25"/>
  <c r="Z12" i="25"/>
  <c r="Z6" i="24"/>
  <c r="Z13" i="18"/>
  <c r="Z8" i="15"/>
  <c r="Z11" i="80" l="1"/>
  <c r="Z12" i="80"/>
  <c r="Z7" i="80"/>
  <c r="Z8" i="80"/>
  <c r="U9" i="81"/>
  <c r="Z3" i="84"/>
  <c r="Z9" i="90"/>
  <c r="Z10" i="90"/>
  <c r="O7" i="75" l="1"/>
  <c r="Z14" i="73"/>
  <c r="Z12" i="70" l="1"/>
  <c r="Z13" i="70"/>
  <c r="Z15" i="70"/>
  <c r="Z16" i="70"/>
  <c r="Z17" i="70"/>
  <c r="Z18" i="70"/>
  <c r="Z6" i="94"/>
  <c r="Z4" i="26"/>
  <c r="Z16" i="21"/>
  <c r="Z17" i="21"/>
  <c r="Z6" i="20"/>
  <c r="Z3" i="20"/>
  <c r="Z4" i="20"/>
  <c r="Z3" i="18"/>
  <c r="Z12" i="18"/>
  <c r="Z5" i="18"/>
  <c r="Z5" i="17"/>
  <c r="Z4" i="17"/>
  <c r="Z4" i="90" l="1"/>
  <c r="Z5" i="90"/>
  <c r="Z6" i="90"/>
  <c r="Z7" i="90"/>
  <c r="Z8" i="90"/>
  <c r="Z3" i="90"/>
  <c r="Z4" i="89"/>
  <c r="Z3" i="88"/>
  <c r="Z4" i="88"/>
  <c r="Z5" i="88"/>
  <c r="Z6" i="88"/>
  <c r="Z5" i="82"/>
  <c r="Z6" i="82"/>
  <c r="Z7" i="82"/>
  <c r="Z4" i="82"/>
  <c r="Z4" i="79"/>
  <c r="Z5" i="79"/>
  <c r="Z6" i="79"/>
  <c r="Z3" i="79"/>
  <c r="Z4" i="77"/>
  <c r="Z5" i="77"/>
  <c r="Z6" i="77"/>
  <c r="Z3" i="77"/>
  <c r="Z4" i="76"/>
  <c r="Z5" i="76"/>
  <c r="Z6" i="76"/>
  <c r="Z7" i="76"/>
  <c r="Z8" i="76"/>
  <c r="Z9" i="76"/>
  <c r="Z10" i="76"/>
  <c r="Z11" i="76"/>
  <c r="Z3" i="76"/>
  <c r="Z3" i="75"/>
  <c r="Z19" i="73"/>
  <c r="Z3" i="73"/>
  <c r="Z4" i="73"/>
  <c r="Z5" i="73"/>
  <c r="Z6" i="73"/>
  <c r="Z7" i="73"/>
  <c r="Z8" i="73"/>
  <c r="Z10" i="73"/>
  <c r="Z11" i="73"/>
  <c r="Z12" i="73"/>
  <c r="Z13" i="73"/>
  <c r="Z15" i="73"/>
  <c r="Z16" i="73"/>
  <c r="Z17" i="73"/>
  <c r="Z18" i="73"/>
  <c r="Z3" i="41"/>
  <c r="Z5" i="94"/>
  <c r="Z3" i="94"/>
  <c r="Z7" i="94"/>
  <c r="Z4" i="94"/>
  <c r="Z3" i="28"/>
  <c r="Z3" i="27"/>
  <c r="Z3" i="25"/>
  <c r="Z4" i="25"/>
  <c r="Z5" i="25"/>
  <c r="Z6" i="25"/>
  <c r="Z3" i="67"/>
  <c r="Z4" i="24"/>
  <c r="Z5" i="24"/>
  <c r="Z3" i="24"/>
  <c r="Z3" i="22"/>
  <c r="AA14" i="97" s="1"/>
  <c r="Z3" i="19"/>
  <c r="Z3" i="17"/>
  <c r="Z4" i="15"/>
  <c r="Z5" i="15"/>
  <c r="Z6" i="15"/>
  <c r="Z7" i="15"/>
  <c r="Z3" i="15"/>
  <c r="Z3" i="30"/>
  <c r="Z4" i="30"/>
  <c r="Z3" i="26"/>
  <c r="Z6" i="18"/>
  <c r="Z14" i="18" s="1"/>
  <c r="Z7" i="18"/>
  <c r="Z8" i="18"/>
  <c r="Z9" i="18"/>
  <c r="Z10" i="18"/>
  <c r="Z11" i="18"/>
  <c r="Z4" i="18"/>
  <c r="Z4" i="93"/>
  <c r="Z3" i="93"/>
  <c r="Z4" i="92"/>
  <c r="Z5" i="92"/>
  <c r="Z6" i="92"/>
  <c r="Z3" i="92"/>
  <c r="Z5" i="91"/>
  <c r="Z6" i="91"/>
  <c r="Z7" i="91"/>
  <c r="Z8" i="91"/>
  <c r="Z9" i="91"/>
  <c r="Z10" i="91"/>
  <c r="Z11" i="91"/>
  <c r="Z4" i="87"/>
  <c r="Z5" i="87"/>
  <c r="Z6" i="87"/>
  <c r="Z7" i="87"/>
  <c r="Z8" i="87"/>
  <c r="Z9" i="87"/>
  <c r="Z10" i="87"/>
  <c r="Z11" i="87"/>
  <c r="Z3" i="87"/>
  <c r="Z3" i="86"/>
  <c r="Z5" i="86"/>
  <c r="Z6" i="86"/>
  <c r="Z4" i="80"/>
  <c r="Z5" i="80"/>
  <c r="Z6" i="80"/>
  <c r="Z9" i="80"/>
  <c r="Z10" i="80"/>
  <c r="Z13" i="80"/>
  <c r="Z3" i="80"/>
  <c r="Z4" i="81"/>
  <c r="Z5" i="81"/>
  <c r="Z6" i="81"/>
  <c r="Z3" i="81"/>
  <c r="Z5" i="78"/>
  <c r="Z6" i="78"/>
  <c r="Z7" i="78"/>
  <c r="Z8" i="78"/>
  <c r="Z3" i="78"/>
  <c r="Z43" i="74"/>
  <c r="Z3" i="74"/>
  <c r="Z4" i="74"/>
  <c r="Z5" i="74"/>
  <c r="Z6" i="74"/>
  <c r="Z7" i="74"/>
  <c r="Z8" i="74"/>
  <c r="Z9" i="74"/>
  <c r="Z10" i="74"/>
  <c r="Z25" i="74"/>
  <c r="Z4" i="71"/>
  <c r="Z10" i="71"/>
  <c r="Z5" i="71"/>
  <c r="Z6" i="71"/>
  <c r="Z8" i="71"/>
  <c r="Z9" i="71"/>
  <c r="Z11" i="71"/>
  <c r="Z12" i="71"/>
  <c r="Z3" i="71"/>
  <c r="Z14" i="70"/>
  <c r="Z3" i="70"/>
  <c r="Z4" i="70"/>
  <c r="Z5" i="70"/>
  <c r="Z6" i="70"/>
  <c r="Z8" i="70"/>
  <c r="Z9" i="70"/>
  <c r="Z10" i="70"/>
  <c r="Z7" i="70"/>
  <c r="Z4" i="21"/>
  <c r="Z5" i="21"/>
  <c r="Z6" i="21"/>
  <c r="Z7" i="21"/>
  <c r="Z8" i="21"/>
  <c r="Z9" i="21"/>
  <c r="Z10" i="21"/>
  <c r="Z11" i="21"/>
  <c r="Z12" i="21"/>
  <c r="Z13" i="21"/>
  <c r="Z14" i="21"/>
  <c r="Z15" i="21"/>
  <c r="Z3" i="21"/>
  <c r="D27" i="70"/>
  <c r="C27" i="70"/>
  <c r="X27" i="70"/>
  <c r="Y27" i="70"/>
  <c r="Z12" i="94" l="1"/>
  <c r="Z14" i="25"/>
  <c r="Z19" i="21"/>
  <c r="J8" i="20" l="1"/>
  <c r="Y5" i="93" l="1"/>
  <c r="X5" i="93"/>
  <c r="W5" i="93"/>
  <c r="V5" i="93"/>
  <c r="U5" i="93"/>
  <c r="T5" i="93"/>
  <c r="S5" i="93"/>
  <c r="R5" i="93"/>
  <c r="Q5" i="93"/>
  <c r="P5" i="93"/>
  <c r="O5" i="93"/>
  <c r="N5" i="93"/>
  <c r="M5" i="93"/>
  <c r="L5" i="93"/>
  <c r="K5" i="93"/>
  <c r="J5" i="93"/>
  <c r="I5" i="93"/>
  <c r="H5" i="93"/>
  <c r="G5" i="93"/>
  <c r="F5" i="93"/>
  <c r="E5" i="93"/>
  <c r="D5" i="93"/>
  <c r="C5" i="93"/>
  <c r="Y8" i="92"/>
  <c r="X8" i="92"/>
  <c r="W8" i="92"/>
  <c r="V8" i="92"/>
  <c r="U8" i="92"/>
  <c r="T8" i="92"/>
  <c r="S8" i="92"/>
  <c r="R8" i="92"/>
  <c r="Q8" i="92"/>
  <c r="P8" i="92"/>
  <c r="O8" i="92"/>
  <c r="N8" i="92"/>
  <c r="M8" i="92"/>
  <c r="L8" i="92"/>
  <c r="K8" i="92"/>
  <c r="J8" i="92"/>
  <c r="I8" i="92"/>
  <c r="H8" i="92"/>
  <c r="G8" i="92"/>
  <c r="F8" i="92"/>
  <c r="E8" i="92"/>
  <c r="D8" i="92"/>
  <c r="C8" i="92"/>
  <c r="Y13" i="91"/>
  <c r="X13" i="91"/>
  <c r="W13" i="91"/>
  <c r="V13" i="91"/>
  <c r="U13" i="91"/>
  <c r="T13" i="91"/>
  <c r="S13" i="91"/>
  <c r="R13" i="91"/>
  <c r="Q13" i="91"/>
  <c r="P13" i="91"/>
  <c r="O13" i="91"/>
  <c r="N13" i="91"/>
  <c r="M13" i="91"/>
  <c r="L13" i="91"/>
  <c r="K13" i="91"/>
  <c r="J13" i="91"/>
  <c r="I13" i="91"/>
  <c r="H13" i="91"/>
  <c r="G13" i="91"/>
  <c r="F13" i="91"/>
  <c r="E13" i="91"/>
  <c r="D13" i="91"/>
  <c r="C13" i="91"/>
  <c r="Y16" i="90"/>
  <c r="X16" i="90"/>
  <c r="W16" i="90"/>
  <c r="V16" i="90"/>
  <c r="U16" i="90"/>
  <c r="T16" i="90"/>
  <c r="S16" i="90"/>
  <c r="R16" i="90"/>
  <c r="Q16" i="90"/>
  <c r="P16" i="90"/>
  <c r="O16" i="90"/>
  <c r="N16" i="90"/>
  <c r="M16" i="90"/>
  <c r="L16" i="90"/>
  <c r="K16" i="90"/>
  <c r="J16" i="90"/>
  <c r="I16" i="90"/>
  <c r="H16" i="90"/>
  <c r="G16" i="90"/>
  <c r="F16" i="90"/>
  <c r="E16" i="90"/>
  <c r="D16" i="90"/>
  <c r="C16" i="90"/>
  <c r="Y5" i="89"/>
  <c r="X5" i="89"/>
  <c r="W5" i="89"/>
  <c r="V5" i="89"/>
  <c r="U5" i="89"/>
  <c r="T5" i="89"/>
  <c r="S5" i="89"/>
  <c r="R5" i="89"/>
  <c r="Q5" i="89"/>
  <c r="P5" i="89"/>
  <c r="O5" i="89"/>
  <c r="N5" i="89"/>
  <c r="M5" i="89"/>
  <c r="L5" i="89"/>
  <c r="K5" i="89"/>
  <c r="J5" i="89"/>
  <c r="I5" i="89"/>
  <c r="H5" i="89"/>
  <c r="G5" i="89"/>
  <c r="F5" i="89"/>
  <c r="E5" i="89"/>
  <c r="D5" i="89"/>
  <c r="C5" i="89"/>
  <c r="Y9" i="88"/>
  <c r="X9" i="88"/>
  <c r="W9" i="88"/>
  <c r="V9" i="88"/>
  <c r="U9" i="88"/>
  <c r="T9" i="88"/>
  <c r="S9" i="88"/>
  <c r="R9" i="88"/>
  <c r="Q9" i="88"/>
  <c r="P9" i="88"/>
  <c r="O9" i="88"/>
  <c r="N9" i="88"/>
  <c r="M9" i="88"/>
  <c r="L9" i="88"/>
  <c r="K9" i="88"/>
  <c r="J9" i="88"/>
  <c r="I9" i="88"/>
  <c r="H9" i="88"/>
  <c r="G9" i="88"/>
  <c r="F9" i="88"/>
  <c r="E9" i="88"/>
  <c r="D9" i="88"/>
  <c r="C9" i="88"/>
  <c r="Y12" i="87"/>
  <c r="X12" i="87"/>
  <c r="W12" i="87"/>
  <c r="V12" i="87"/>
  <c r="U12" i="87"/>
  <c r="T12" i="87"/>
  <c r="S12" i="87"/>
  <c r="R12" i="87"/>
  <c r="Q12" i="87"/>
  <c r="P12" i="87"/>
  <c r="O12" i="87"/>
  <c r="N12" i="87"/>
  <c r="M12" i="87"/>
  <c r="L12" i="87"/>
  <c r="K12" i="87"/>
  <c r="J12" i="87"/>
  <c r="I12" i="87"/>
  <c r="H12" i="87"/>
  <c r="G12" i="87"/>
  <c r="F12" i="87"/>
  <c r="E12" i="87"/>
  <c r="D12" i="87"/>
  <c r="C12" i="87"/>
  <c r="Y13" i="86"/>
  <c r="X13" i="86"/>
  <c r="W13" i="86"/>
  <c r="V13" i="86"/>
  <c r="U13" i="86"/>
  <c r="T13" i="86"/>
  <c r="S13" i="86"/>
  <c r="R13" i="86"/>
  <c r="Q13" i="86"/>
  <c r="P13" i="86"/>
  <c r="O13" i="86"/>
  <c r="N13" i="86"/>
  <c r="M13" i="86"/>
  <c r="L13" i="86"/>
  <c r="K13" i="86"/>
  <c r="J13" i="86"/>
  <c r="I13" i="86"/>
  <c r="H13" i="86"/>
  <c r="G13" i="86"/>
  <c r="F13" i="86"/>
  <c r="E13" i="86"/>
  <c r="D13" i="86"/>
  <c r="C13" i="86"/>
  <c r="X7" i="85"/>
  <c r="W7" i="85"/>
  <c r="V7" i="85"/>
  <c r="U7" i="85"/>
  <c r="T7" i="85"/>
  <c r="S7" i="85"/>
  <c r="R7" i="85"/>
  <c r="Q7" i="85"/>
  <c r="P7" i="85"/>
  <c r="O7" i="85"/>
  <c r="N7" i="85"/>
  <c r="M7" i="85"/>
  <c r="L7" i="85"/>
  <c r="K7" i="85"/>
  <c r="J7" i="85"/>
  <c r="I7" i="85"/>
  <c r="H7" i="85"/>
  <c r="G7" i="85"/>
  <c r="F7" i="85"/>
  <c r="E7" i="85"/>
  <c r="D7" i="85"/>
  <c r="C7" i="85"/>
  <c r="Y4" i="84"/>
  <c r="X4" i="84"/>
  <c r="W4" i="84"/>
  <c r="V4" i="84"/>
  <c r="U4" i="84"/>
  <c r="T4" i="84"/>
  <c r="S4" i="84"/>
  <c r="R4" i="84"/>
  <c r="Q4" i="84"/>
  <c r="P4" i="84"/>
  <c r="O4" i="84"/>
  <c r="N4" i="84"/>
  <c r="M4" i="84"/>
  <c r="L4" i="84"/>
  <c r="K4" i="84"/>
  <c r="J4" i="84"/>
  <c r="I4" i="84"/>
  <c r="H4" i="84"/>
  <c r="G4" i="84"/>
  <c r="F4" i="84"/>
  <c r="E4" i="84"/>
  <c r="D4" i="84"/>
  <c r="C4" i="84"/>
  <c r="Z4" i="84"/>
  <c r="Y4" i="83"/>
  <c r="X4" i="83"/>
  <c r="W4" i="83"/>
  <c r="V4" i="83"/>
  <c r="U4" i="83"/>
  <c r="T4" i="83"/>
  <c r="S4" i="83"/>
  <c r="R4" i="83"/>
  <c r="Q4" i="83"/>
  <c r="P4" i="83"/>
  <c r="O4" i="83"/>
  <c r="N4" i="83"/>
  <c r="M4" i="83"/>
  <c r="L4" i="83"/>
  <c r="K4" i="83"/>
  <c r="J4" i="83"/>
  <c r="I4" i="83"/>
  <c r="H4" i="83"/>
  <c r="G4" i="83"/>
  <c r="F4" i="83"/>
  <c r="E4" i="83"/>
  <c r="D4" i="83"/>
  <c r="Z4" i="83"/>
  <c r="Y10" i="82"/>
  <c r="X10" i="82"/>
  <c r="W10" i="82"/>
  <c r="V10" i="82"/>
  <c r="U10" i="82"/>
  <c r="T10" i="82"/>
  <c r="S10" i="82"/>
  <c r="R10" i="82"/>
  <c r="Q10" i="82"/>
  <c r="P10" i="82"/>
  <c r="O10" i="82"/>
  <c r="N10" i="82"/>
  <c r="M10" i="82"/>
  <c r="L10" i="82"/>
  <c r="K10" i="82"/>
  <c r="J10" i="82"/>
  <c r="I10" i="82"/>
  <c r="H10" i="82"/>
  <c r="G10" i="82"/>
  <c r="F10" i="82"/>
  <c r="E10" i="82"/>
  <c r="D10" i="82"/>
  <c r="C10" i="82"/>
  <c r="Z5" i="93" l="1"/>
  <c r="Z8" i="92"/>
  <c r="Z13" i="91"/>
  <c r="Z16" i="90"/>
  <c r="Z5" i="89"/>
  <c r="Z9" i="88"/>
  <c r="Z12" i="87"/>
  <c r="Z13" i="86"/>
  <c r="Z10" i="82"/>
  <c r="Y9" i="81" l="1"/>
  <c r="X9" i="81"/>
  <c r="W9" i="81"/>
  <c r="V9" i="81"/>
  <c r="T9" i="81"/>
  <c r="S9" i="81"/>
  <c r="R9" i="81"/>
  <c r="Q9" i="81"/>
  <c r="P9" i="81"/>
  <c r="O9" i="81"/>
  <c r="N9" i="81"/>
  <c r="M9" i="81"/>
  <c r="L9" i="81"/>
  <c r="K9" i="81"/>
  <c r="J9" i="81"/>
  <c r="I9" i="81"/>
  <c r="H9" i="81"/>
  <c r="G9" i="81"/>
  <c r="F9" i="81"/>
  <c r="E9" i="81"/>
  <c r="D9" i="81"/>
  <c r="C9" i="81"/>
  <c r="Y21" i="80"/>
  <c r="X21" i="80"/>
  <c r="W21" i="80"/>
  <c r="V21" i="80"/>
  <c r="U21" i="80"/>
  <c r="T21" i="80"/>
  <c r="S21" i="80"/>
  <c r="R21" i="80"/>
  <c r="Q21" i="80"/>
  <c r="P21" i="80"/>
  <c r="O21" i="80"/>
  <c r="N21" i="80"/>
  <c r="M21" i="80"/>
  <c r="L21" i="80"/>
  <c r="K21" i="80"/>
  <c r="J21" i="80"/>
  <c r="I21" i="80"/>
  <c r="H21" i="80"/>
  <c r="G21" i="80"/>
  <c r="F21" i="80"/>
  <c r="E21" i="80"/>
  <c r="D21" i="80"/>
  <c r="C21" i="80"/>
  <c r="Z9" i="81" l="1"/>
  <c r="Z21" i="80"/>
  <c r="Y10" i="79" l="1"/>
  <c r="X10" i="79"/>
  <c r="W10" i="79"/>
  <c r="V10" i="79"/>
  <c r="U10" i="79"/>
  <c r="T10" i="79"/>
  <c r="S10" i="79"/>
  <c r="R10" i="79"/>
  <c r="Q10" i="79"/>
  <c r="P10" i="79"/>
  <c r="O10" i="79"/>
  <c r="N10" i="79"/>
  <c r="M10" i="79"/>
  <c r="L10" i="79"/>
  <c r="K10" i="79"/>
  <c r="J10" i="79"/>
  <c r="I10" i="79"/>
  <c r="H10" i="79"/>
  <c r="G10" i="79"/>
  <c r="F10" i="79"/>
  <c r="E10" i="79"/>
  <c r="D10" i="79"/>
  <c r="C10" i="79"/>
  <c r="Y10" i="78"/>
  <c r="X10" i="78"/>
  <c r="W10" i="78"/>
  <c r="V10" i="78"/>
  <c r="U10" i="78"/>
  <c r="T10" i="78"/>
  <c r="S10" i="78"/>
  <c r="R10" i="78"/>
  <c r="Q10" i="78"/>
  <c r="P10" i="78"/>
  <c r="O10" i="78"/>
  <c r="N10" i="78"/>
  <c r="M10" i="78"/>
  <c r="L10" i="78"/>
  <c r="K10" i="78"/>
  <c r="J10" i="78"/>
  <c r="I10" i="78"/>
  <c r="H10" i="78"/>
  <c r="G10" i="78"/>
  <c r="F10" i="78"/>
  <c r="E10" i="78"/>
  <c r="D10" i="78"/>
  <c r="Y7" i="77"/>
  <c r="X7" i="77"/>
  <c r="W7" i="77"/>
  <c r="V7" i="77"/>
  <c r="U7" i="77"/>
  <c r="T7" i="77"/>
  <c r="S7" i="77"/>
  <c r="R7" i="77"/>
  <c r="Q7" i="77"/>
  <c r="P7" i="77"/>
  <c r="O7" i="77"/>
  <c r="N7" i="77"/>
  <c r="M7" i="77"/>
  <c r="L7" i="77"/>
  <c r="K7" i="77"/>
  <c r="J7" i="77"/>
  <c r="I7" i="77"/>
  <c r="H7" i="77"/>
  <c r="G7" i="77"/>
  <c r="F7" i="77"/>
  <c r="E7" i="77"/>
  <c r="D7" i="77"/>
  <c r="Y18" i="76"/>
  <c r="X18" i="76"/>
  <c r="W18" i="76"/>
  <c r="V18" i="76"/>
  <c r="U18" i="76"/>
  <c r="T18" i="76"/>
  <c r="S18" i="76"/>
  <c r="R18" i="76"/>
  <c r="Q18" i="76"/>
  <c r="P18" i="76"/>
  <c r="O18" i="76"/>
  <c r="N18" i="76"/>
  <c r="M18" i="76"/>
  <c r="L18" i="76"/>
  <c r="K18" i="76"/>
  <c r="J18" i="76"/>
  <c r="I18" i="76"/>
  <c r="H18" i="76"/>
  <c r="G18" i="76"/>
  <c r="F18" i="76"/>
  <c r="E18" i="76"/>
  <c r="D18" i="76"/>
  <c r="C18" i="76"/>
  <c r="Y7" i="75"/>
  <c r="X7" i="75"/>
  <c r="W7" i="75"/>
  <c r="V7" i="75"/>
  <c r="U7" i="75"/>
  <c r="T7" i="75"/>
  <c r="S7" i="75"/>
  <c r="R7" i="75"/>
  <c r="Q7" i="75"/>
  <c r="P7" i="75"/>
  <c r="N7" i="75"/>
  <c r="M7" i="75"/>
  <c r="L7" i="75"/>
  <c r="K7" i="75"/>
  <c r="J7" i="75"/>
  <c r="I7" i="75"/>
  <c r="H7" i="75"/>
  <c r="G7" i="75"/>
  <c r="F7" i="75"/>
  <c r="E7" i="75"/>
  <c r="D7" i="75"/>
  <c r="C7" i="75"/>
  <c r="Y38" i="73"/>
  <c r="X38" i="73"/>
  <c r="W38" i="73"/>
  <c r="V38" i="73"/>
  <c r="U38" i="73"/>
  <c r="T38" i="73"/>
  <c r="S38" i="73"/>
  <c r="R38" i="73"/>
  <c r="Q38" i="73"/>
  <c r="P38" i="73"/>
  <c r="O38" i="73"/>
  <c r="N38" i="73"/>
  <c r="M38" i="73"/>
  <c r="L38" i="73"/>
  <c r="K38" i="73"/>
  <c r="J38" i="73"/>
  <c r="I38" i="73"/>
  <c r="H38" i="73"/>
  <c r="G38" i="73"/>
  <c r="F38" i="73"/>
  <c r="E38" i="73"/>
  <c r="D38" i="73"/>
  <c r="C38" i="73"/>
  <c r="Y5" i="72"/>
  <c r="X5" i="72"/>
  <c r="W5" i="72"/>
  <c r="V5" i="72"/>
  <c r="U5" i="72"/>
  <c r="T5" i="72"/>
  <c r="S5" i="72"/>
  <c r="R5" i="72"/>
  <c r="Q5" i="72"/>
  <c r="P5" i="72"/>
  <c r="O5" i="72"/>
  <c r="N5" i="72"/>
  <c r="M5" i="72"/>
  <c r="L5" i="72"/>
  <c r="K5" i="72"/>
  <c r="J5" i="72"/>
  <c r="I5" i="72"/>
  <c r="H5" i="72"/>
  <c r="G5" i="72"/>
  <c r="F5" i="72"/>
  <c r="E5" i="72"/>
  <c r="D5" i="72"/>
  <c r="C5" i="72"/>
  <c r="Y20" i="71"/>
  <c r="X20" i="71"/>
  <c r="W20" i="71"/>
  <c r="V20" i="71"/>
  <c r="U20" i="71"/>
  <c r="T20" i="71"/>
  <c r="S20" i="71"/>
  <c r="R20" i="71"/>
  <c r="Q20" i="71"/>
  <c r="P20" i="71"/>
  <c r="O20" i="71"/>
  <c r="N20" i="71"/>
  <c r="M20" i="71"/>
  <c r="L20" i="71"/>
  <c r="K20" i="71"/>
  <c r="J20" i="71"/>
  <c r="I20" i="71"/>
  <c r="H20" i="71"/>
  <c r="G20" i="71"/>
  <c r="F20" i="71"/>
  <c r="E20" i="71"/>
  <c r="D20" i="71"/>
  <c r="C20" i="71"/>
  <c r="W27" i="70"/>
  <c r="V27" i="70"/>
  <c r="U27" i="70"/>
  <c r="T27" i="70"/>
  <c r="S27" i="70"/>
  <c r="R27" i="70"/>
  <c r="Q27" i="70"/>
  <c r="P27" i="70"/>
  <c r="O27" i="70"/>
  <c r="N27" i="70"/>
  <c r="M27" i="70"/>
  <c r="L27" i="70"/>
  <c r="K27" i="70"/>
  <c r="J27" i="70"/>
  <c r="I27" i="70"/>
  <c r="H27" i="70"/>
  <c r="G27" i="70"/>
  <c r="F27" i="70"/>
  <c r="E27" i="70"/>
  <c r="W4" i="41"/>
  <c r="S4" i="41"/>
  <c r="L4" i="41"/>
  <c r="H4" i="41"/>
  <c r="F4" i="41"/>
  <c r="W27" i="38"/>
  <c r="S27" i="38"/>
  <c r="L27" i="38"/>
  <c r="H27" i="38"/>
  <c r="F27" i="38"/>
  <c r="W4" i="37"/>
  <c r="S4" i="37"/>
  <c r="L4" i="37"/>
  <c r="H4" i="37"/>
  <c r="F4" i="37"/>
  <c r="W5" i="36"/>
  <c r="S5" i="36"/>
  <c r="L5" i="36"/>
  <c r="H5" i="36"/>
  <c r="F5" i="36"/>
  <c r="W10" i="35"/>
  <c r="S10" i="35"/>
  <c r="L10" i="35"/>
  <c r="H10" i="35"/>
  <c r="F10" i="35"/>
  <c r="W5" i="34"/>
  <c r="S5" i="34"/>
  <c r="L5" i="34"/>
  <c r="H5" i="34"/>
  <c r="F5" i="34"/>
  <c r="H12" i="33"/>
  <c r="W12" i="33"/>
  <c r="S12" i="33"/>
  <c r="L12" i="33"/>
  <c r="F12" i="33"/>
  <c r="W8" i="32"/>
  <c r="T8" i="32"/>
  <c r="L8" i="32"/>
  <c r="H8" i="32"/>
  <c r="F8" i="32"/>
  <c r="W9" i="31"/>
  <c r="S9" i="31"/>
  <c r="L9" i="31"/>
  <c r="H9" i="31"/>
  <c r="F9" i="31"/>
  <c r="W6" i="30"/>
  <c r="S6" i="30"/>
  <c r="L6" i="30"/>
  <c r="H6" i="30"/>
  <c r="F6" i="30"/>
  <c r="Z10" i="79" l="1"/>
  <c r="Z10" i="78"/>
  <c r="Z7" i="77"/>
  <c r="Z18" i="76"/>
  <c r="Z7" i="75"/>
  <c r="Z38" i="73"/>
  <c r="Z20" i="71"/>
  <c r="Z27" i="70"/>
  <c r="W4" i="28" l="1"/>
  <c r="S4" i="28"/>
  <c r="L4" i="28"/>
  <c r="H4" i="28"/>
  <c r="F4" i="28"/>
  <c r="W5" i="27"/>
  <c r="S5" i="27"/>
  <c r="L5" i="27"/>
  <c r="H5" i="27"/>
  <c r="F5" i="27"/>
  <c r="W5" i="26"/>
  <c r="S5" i="26"/>
  <c r="L5" i="26"/>
  <c r="H5" i="26"/>
  <c r="F5" i="26"/>
  <c r="W4" i="67"/>
  <c r="S4" i="67"/>
  <c r="L4" i="67"/>
  <c r="H4" i="67"/>
  <c r="F4" i="67"/>
  <c r="W7" i="24"/>
  <c r="S7" i="24"/>
  <c r="L7" i="24"/>
  <c r="H7" i="24"/>
  <c r="F7" i="24"/>
  <c r="G7" i="24"/>
  <c r="W8" i="23"/>
  <c r="S8" i="23"/>
  <c r="L8" i="23"/>
  <c r="H8" i="23"/>
  <c r="F8" i="23"/>
  <c r="W6" i="22"/>
  <c r="S6" i="22"/>
  <c r="L6" i="22"/>
  <c r="H6" i="22"/>
  <c r="G6" i="22"/>
  <c r="F6" i="22"/>
  <c r="F19" i="21"/>
  <c r="H19" i="21"/>
  <c r="L19" i="21"/>
  <c r="S19" i="21"/>
  <c r="W19" i="21"/>
  <c r="W8" i="20"/>
  <c r="S8" i="20"/>
  <c r="L8" i="20"/>
  <c r="H8" i="20"/>
  <c r="F8" i="20"/>
  <c r="W7" i="17"/>
  <c r="S7" i="17"/>
  <c r="L7" i="17"/>
  <c r="L4" i="14"/>
  <c r="H7" i="17"/>
  <c r="F7" i="17"/>
  <c r="W5" i="16"/>
  <c r="S5" i="16"/>
  <c r="L5" i="16"/>
  <c r="H5" i="16"/>
  <c r="F5" i="16"/>
  <c r="W11" i="15"/>
  <c r="S11" i="15"/>
  <c r="L11" i="15"/>
  <c r="H11" i="15"/>
  <c r="F11" i="15"/>
  <c r="H4" i="14"/>
  <c r="F4" i="14"/>
  <c r="S4" i="14"/>
  <c r="W4" i="14"/>
  <c r="X60" i="97"/>
  <c r="T60" i="97"/>
  <c r="M60" i="97"/>
  <c r="I60" i="97"/>
  <c r="G60" i="97"/>
  <c r="D12" i="33" l="1"/>
  <c r="E12" i="33"/>
  <c r="G12" i="33"/>
  <c r="I12" i="33"/>
  <c r="J12" i="33"/>
  <c r="K12" i="33"/>
  <c r="M12" i="33"/>
  <c r="N12" i="33"/>
  <c r="O12" i="33"/>
  <c r="P12" i="33"/>
  <c r="Q12" i="33"/>
  <c r="R12" i="33"/>
  <c r="T12" i="33"/>
  <c r="U12" i="33"/>
  <c r="V12" i="33"/>
  <c r="X12" i="33"/>
  <c r="Y12" i="33"/>
  <c r="G8" i="32" l="1"/>
  <c r="R8" i="32"/>
  <c r="K8" i="32"/>
  <c r="Z4" i="41" l="1"/>
  <c r="Z4" i="37"/>
  <c r="Z5" i="36"/>
  <c r="Z5" i="34"/>
  <c r="Z12" i="33"/>
  <c r="Z9" i="31"/>
  <c r="Z6" i="30"/>
  <c r="Z4" i="28"/>
  <c r="Z5" i="27"/>
  <c r="Z5" i="26"/>
  <c r="Z4" i="67"/>
  <c r="Z7" i="24"/>
  <c r="Z8" i="23"/>
  <c r="Z6" i="22"/>
  <c r="Z8" i="20"/>
  <c r="Z4" i="19"/>
  <c r="Z27" i="38" l="1"/>
  <c r="Z10" i="35"/>
  <c r="Z8" i="32"/>
  <c r="Z7" i="17"/>
  <c r="Z11" i="15"/>
  <c r="T4" i="41" l="1"/>
  <c r="K4" i="41"/>
  <c r="M4" i="41"/>
  <c r="G4" i="41"/>
  <c r="T27" i="38"/>
  <c r="K27" i="38"/>
  <c r="G27" i="38"/>
  <c r="T4" i="37"/>
  <c r="K4" i="37"/>
  <c r="G4" i="37"/>
  <c r="T5" i="36"/>
  <c r="K5" i="36"/>
  <c r="G5" i="36"/>
  <c r="T10" i="35"/>
  <c r="K10" i="35"/>
  <c r="G10" i="35"/>
  <c r="T5" i="34"/>
  <c r="K5" i="34"/>
  <c r="G5" i="34"/>
  <c r="T9" i="31"/>
  <c r="K9" i="31"/>
  <c r="G9" i="31"/>
  <c r="T6" i="30"/>
  <c r="K6" i="30"/>
  <c r="G6" i="30"/>
  <c r="T4" i="28"/>
  <c r="K4" i="28"/>
  <c r="G4" i="28"/>
  <c r="T5" i="27"/>
  <c r="K5" i="27"/>
  <c r="G5" i="27"/>
  <c r="T5" i="26"/>
  <c r="K5" i="26"/>
  <c r="G5" i="26"/>
  <c r="Y4" i="67"/>
  <c r="X4" i="67"/>
  <c r="V4" i="67"/>
  <c r="U4" i="67"/>
  <c r="T4" i="67"/>
  <c r="R4" i="67"/>
  <c r="Q4" i="67"/>
  <c r="P4" i="67"/>
  <c r="O4" i="67"/>
  <c r="N4" i="67"/>
  <c r="M4" i="67"/>
  <c r="K4" i="67"/>
  <c r="J4" i="67"/>
  <c r="I4" i="67"/>
  <c r="G4" i="67"/>
  <c r="E4" i="67"/>
  <c r="D4" i="67"/>
  <c r="C4" i="67"/>
  <c r="T7" i="24"/>
  <c r="K7" i="24"/>
  <c r="T8" i="23"/>
  <c r="K8" i="23"/>
  <c r="G8" i="23"/>
  <c r="T6" i="22"/>
  <c r="K6" i="22"/>
  <c r="G19" i="21"/>
  <c r="K19" i="21"/>
  <c r="T19" i="21"/>
  <c r="K8" i="20"/>
  <c r="T8" i="20"/>
  <c r="G8" i="20"/>
  <c r="T7" i="17" l="1"/>
  <c r="K7" i="17"/>
  <c r="G7" i="17"/>
  <c r="T5" i="16"/>
  <c r="K5" i="16"/>
  <c r="G5" i="16"/>
  <c r="T11" i="15"/>
  <c r="K11" i="15"/>
  <c r="G11" i="15"/>
  <c r="T4" i="14"/>
  <c r="K4" i="14"/>
  <c r="G4" i="14"/>
  <c r="U60" i="97"/>
  <c r="S60" i="97"/>
  <c r="F60" i="97"/>
  <c r="C4" i="41" l="1"/>
  <c r="D4" i="41"/>
  <c r="E4" i="41"/>
  <c r="I4" i="41"/>
  <c r="J4" i="41"/>
  <c r="N4" i="41"/>
  <c r="O4" i="41"/>
  <c r="P4" i="41"/>
  <c r="Q4" i="41"/>
  <c r="R4" i="41"/>
  <c r="U4" i="41"/>
  <c r="V4" i="41"/>
  <c r="X4" i="41"/>
  <c r="Y4" i="41"/>
  <c r="C27" i="38"/>
  <c r="D27" i="38"/>
  <c r="E27" i="38"/>
  <c r="I27" i="38"/>
  <c r="J27" i="38"/>
  <c r="M27" i="38"/>
  <c r="N27" i="38"/>
  <c r="O27" i="38"/>
  <c r="P27" i="38"/>
  <c r="Q27" i="38"/>
  <c r="R27" i="38"/>
  <c r="U27" i="38"/>
  <c r="V27" i="38"/>
  <c r="X27" i="38"/>
  <c r="Y27" i="38"/>
  <c r="C4" i="37"/>
  <c r="D4" i="37"/>
  <c r="E4" i="37"/>
  <c r="I4" i="37"/>
  <c r="J4" i="37"/>
  <c r="M4" i="37"/>
  <c r="N4" i="37"/>
  <c r="O4" i="37"/>
  <c r="P4" i="37"/>
  <c r="Q4" i="37"/>
  <c r="R4" i="37"/>
  <c r="U4" i="37"/>
  <c r="V4" i="37"/>
  <c r="X4" i="37"/>
  <c r="Y4" i="37"/>
  <c r="C5" i="36"/>
  <c r="D5" i="36"/>
  <c r="E5" i="36"/>
  <c r="I5" i="36"/>
  <c r="J5" i="36"/>
  <c r="M5" i="36"/>
  <c r="N5" i="36"/>
  <c r="O5" i="36"/>
  <c r="P5" i="36"/>
  <c r="Q5" i="36"/>
  <c r="R5" i="36"/>
  <c r="U5" i="36"/>
  <c r="V5" i="36"/>
  <c r="X5" i="36"/>
  <c r="Y5" i="36"/>
  <c r="C10" i="35"/>
  <c r="D10" i="35"/>
  <c r="E10" i="35"/>
  <c r="I10" i="35"/>
  <c r="J10" i="35"/>
  <c r="M10" i="35"/>
  <c r="N10" i="35"/>
  <c r="O10" i="35"/>
  <c r="P10" i="35"/>
  <c r="Q10" i="35"/>
  <c r="R10" i="35"/>
  <c r="U10" i="35"/>
  <c r="V10" i="35"/>
  <c r="X10" i="35"/>
  <c r="Y10" i="35"/>
  <c r="C5" i="34"/>
  <c r="D5" i="34"/>
  <c r="E5" i="34"/>
  <c r="I5" i="34"/>
  <c r="J5" i="34"/>
  <c r="M5" i="34"/>
  <c r="N5" i="34"/>
  <c r="O5" i="34"/>
  <c r="P5" i="34"/>
  <c r="Q5" i="34"/>
  <c r="R5" i="34"/>
  <c r="U5" i="34"/>
  <c r="V5" i="34"/>
  <c r="X5" i="34"/>
  <c r="Y5" i="34"/>
  <c r="C8" i="32"/>
  <c r="D8" i="32"/>
  <c r="E8" i="32"/>
  <c r="I8" i="32"/>
  <c r="J8" i="32"/>
  <c r="M8" i="32"/>
  <c r="N8" i="32"/>
  <c r="O8" i="32"/>
  <c r="P8" i="32"/>
  <c r="Q8" i="32"/>
  <c r="S8" i="32"/>
  <c r="U8" i="32"/>
  <c r="V8" i="32"/>
  <c r="X8" i="32"/>
  <c r="Y8" i="32"/>
  <c r="D9" i="31"/>
  <c r="E9" i="31"/>
  <c r="I9" i="31"/>
  <c r="J9" i="31"/>
  <c r="M9" i="31"/>
  <c r="N9" i="31"/>
  <c r="O9" i="31"/>
  <c r="P9" i="31"/>
  <c r="Q9" i="31"/>
  <c r="R9" i="31"/>
  <c r="U9" i="31"/>
  <c r="V9" i="31"/>
  <c r="X9" i="31"/>
  <c r="Y9" i="31"/>
  <c r="C6" i="30"/>
  <c r="D6" i="30"/>
  <c r="E6" i="30"/>
  <c r="I6" i="30"/>
  <c r="J6" i="30"/>
  <c r="M6" i="30"/>
  <c r="N6" i="30"/>
  <c r="O6" i="30"/>
  <c r="P6" i="30"/>
  <c r="Q6" i="30"/>
  <c r="R6" i="30"/>
  <c r="U6" i="30"/>
  <c r="V6" i="30"/>
  <c r="X6" i="30"/>
  <c r="Y6" i="30"/>
  <c r="C4" i="28" l="1"/>
  <c r="D4" i="28"/>
  <c r="E4" i="28"/>
  <c r="I4" i="28"/>
  <c r="J4" i="28"/>
  <c r="M4" i="28"/>
  <c r="N4" i="28"/>
  <c r="O4" i="28"/>
  <c r="P4" i="28"/>
  <c r="Q4" i="28"/>
  <c r="R4" i="28"/>
  <c r="U4" i="28"/>
  <c r="V4" i="28"/>
  <c r="X4" i="28"/>
  <c r="Y4" i="28"/>
  <c r="C5" i="27"/>
  <c r="D5" i="27"/>
  <c r="E5" i="27"/>
  <c r="I5" i="27"/>
  <c r="J5" i="27"/>
  <c r="M5" i="27"/>
  <c r="N5" i="27"/>
  <c r="O5" i="27"/>
  <c r="P5" i="27"/>
  <c r="Q5" i="27"/>
  <c r="R5" i="27"/>
  <c r="U5" i="27"/>
  <c r="V5" i="27"/>
  <c r="X5" i="27"/>
  <c r="Y5" i="27"/>
  <c r="D5" i="26"/>
  <c r="E5" i="26"/>
  <c r="I5" i="26"/>
  <c r="J5" i="26"/>
  <c r="M5" i="26"/>
  <c r="N5" i="26"/>
  <c r="O5" i="26"/>
  <c r="P5" i="26"/>
  <c r="Q5" i="26"/>
  <c r="R5" i="26"/>
  <c r="U5" i="26"/>
  <c r="V5" i="26"/>
  <c r="X5" i="26"/>
  <c r="Y5" i="26"/>
  <c r="D7" i="24"/>
  <c r="E7" i="24"/>
  <c r="I7" i="24"/>
  <c r="J7" i="24"/>
  <c r="M7" i="24"/>
  <c r="N7" i="24"/>
  <c r="O7" i="24"/>
  <c r="P7" i="24"/>
  <c r="Q7" i="24"/>
  <c r="R7" i="24"/>
  <c r="U7" i="24"/>
  <c r="V7" i="24"/>
  <c r="X7" i="24"/>
  <c r="Y7" i="24"/>
  <c r="D8" i="23"/>
  <c r="E8" i="23"/>
  <c r="I8" i="23"/>
  <c r="J8" i="23"/>
  <c r="M8" i="23"/>
  <c r="N8" i="23"/>
  <c r="O8" i="23"/>
  <c r="P8" i="23"/>
  <c r="Q8" i="23"/>
  <c r="R8" i="23"/>
  <c r="U8" i="23"/>
  <c r="V8" i="23"/>
  <c r="X8" i="23"/>
  <c r="Y8" i="23"/>
  <c r="C6" i="22"/>
  <c r="D6" i="22"/>
  <c r="E6" i="22"/>
  <c r="I6" i="22"/>
  <c r="J6" i="22"/>
  <c r="M6" i="22"/>
  <c r="N6" i="22"/>
  <c r="O6" i="22"/>
  <c r="P6" i="22"/>
  <c r="Q6" i="22"/>
  <c r="R6" i="22"/>
  <c r="U6" i="22"/>
  <c r="V6" i="22"/>
  <c r="X6" i="22"/>
  <c r="Y6" i="22"/>
  <c r="C19" i="21"/>
  <c r="D19" i="21"/>
  <c r="E19" i="21"/>
  <c r="I19" i="21"/>
  <c r="J19" i="21"/>
  <c r="M19" i="21"/>
  <c r="N19" i="21"/>
  <c r="O19" i="21"/>
  <c r="P19" i="21"/>
  <c r="Q19" i="21"/>
  <c r="R19" i="21"/>
  <c r="U19" i="21"/>
  <c r="V19" i="21"/>
  <c r="X19" i="21"/>
  <c r="Y19" i="21"/>
  <c r="Y8" i="20"/>
  <c r="C8" i="20"/>
  <c r="D8" i="20"/>
  <c r="E8" i="20"/>
  <c r="I8" i="20"/>
  <c r="M8" i="20"/>
  <c r="N8" i="20"/>
  <c r="O8" i="20"/>
  <c r="P8" i="20"/>
  <c r="Q8" i="20"/>
  <c r="R8" i="20"/>
  <c r="U8" i="20"/>
  <c r="V8" i="20"/>
  <c r="X8" i="20"/>
  <c r="C14" i="18"/>
  <c r="C7" i="17"/>
  <c r="D7" i="17"/>
  <c r="E7" i="17"/>
  <c r="I7" i="17"/>
  <c r="J7" i="17"/>
  <c r="M7" i="17"/>
  <c r="N7" i="17"/>
  <c r="O7" i="17"/>
  <c r="P7" i="17"/>
  <c r="Q7" i="17"/>
  <c r="R7" i="17"/>
  <c r="U7" i="17"/>
  <c r="V7" i="17"/>
  <c r="X7" i="17"/>
  <c r="Y7" i="17"/>
  <c r="C5" i="16"/>
  <c r="D5" i="16"/>
  <c r="E5" i="16"/>
  <c r="I5" i="16"/>
  <c r="J5" i="16"/>
  <c r="M5" i="16"/>
  <c r="N5" i="16"/>
  <c r="O5" i="16"/>
  <c r="P5" i="16"/>
  <c r="Q5" i="16"/>
  <c r="R5" i="16"/>
  <c r="U5" i="16"/>
  <c r="V5" i="16"/>
  <c r="X5" i="16"/>
  <c r="Y5" i="16"/>
  <c r="D11" i="15"/>
  <c r="E11" i="15"/>
  <c r="I11" i="15"/>
  <c r="J11" i="15"/>
  <c r="M11" i="15"/>
  <c r="N11" i="15"/>
  <c r="O11" i="15"/>
  <c r="P11" i="15"/>
  <c r="Q11" i="15"/>
  <c r="R11" i="15"/>
  <c r="U11" i="15"/>
  <c r="V11" i="15"/>
  <c r="X11" i="15"/>
  <c r="Y11" i="15"/>
  <c r="C11" i="15"/>
  <c r="C4" i="14"/>
  <c r="D4" i="14"/>
  <c r="E4" i="14"/>
  <c r="I4" i="14"/>
  <c r="J4" i="14"/>
  <c r="M4" i="14"/>
  <c r="N4" i="14"/>
  <c r="O4" i="14"/>
  <c r="P4" i="14"/>
  <c r="Q4" i="14"/>
  <c r="R4" i="14"/>
  <c r="U4" i="14"/>
  <c r="V4" i="14"/>
  <c r="X4" i="14"/>
  <c r="Y4" i="14"/>
  <c r="Z60" i="97"/>
  <c r="E60" i="97"/>
  <c r="H60" i="97"/>
  <c r="J60" i="97"/>
  <c r="K60" i="97"/>
  <c r="L60" i="97"/>
  <c r="N60" i="97"/>
  <c r="O60" i="97"/>
  <c r="P60" i="97"/>
  <c r="Q60" i="97"/>
  <c r="R60" i="97"/>
  <c r="V60" i="97"/>
  <c r="W60" i="97"/>
  <c r="Y60" i="97"/>
  <c r="AA60" i="97" l="1"/>
  <c r="D60" i="97"/>
  <c r="Z5" i="1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<sst xmlns="http://schemas.openxmlformats.org/spreadsheetml/2006/main" count="2954" uniqueCount="1234">
  <si>
    <t>Riverside</t>
  </si>
  <si>
    <t>Los Angeles</t>
  </si>
  <si>
    <t>Tehama</t>
  </si>
  <si>
    <t>Sonoma</t>
  </si>
  <si>
    <t>Alameda</t>
  </si>
  <si>
    <t>Tulare</t>
  </si>
  <si>
    <t>Santa Cruz</t>
  </si>
  <si>
    <t>Stanislaus</t>
  </si>
  <si>
    <t>Orange</t>
  </si>
  <si>
    <t>San Bernardino</t>
  </si>
  <si>
    <t>Fresno</t>
  </si>
  <si>
    <t>Marin</t>
  </si>
  <si>
    <t>San Joaquin</t>
  </si>
  <si>
    <t>Humboldt</t>
  </si>
  <si>
    <t>Sacramento</t>
  </si>
  <si>
    <t>San Diego</t>
  </si>
  <si>
    <t>Kern</t>
  </si>
  <si>
    <t>San Mateo</t>
  </si>
  <si>
    <t>Sutter</t>
  </si>
  <si>
    <t>Placer</t>
  </si>
  <si>
    <t>Mendocino</t>
  </si>
  <si>
    <t>Solano</t>
  </si>
  <si>
    <t>Glenn</t>
  </si>
  <si>
    <t>Merced</t>
  </si>
  <si>
    <t>Madera</t>
  </si>
  <si>
    <t>San Luis Obispo</t>
  </si>
  <si>
    <t>Santa Clara</t>
  </si>
  <si>
    <t>Butte</t>
  </si>
  <si>
    <t>Monterey</t>
  </si>
  <si>
    <t>Del Norte</t>
  </si>
  <si>
    <t>Santa Barbara</t>
  </si>
  <si>
    <t>Colusa</t>
  </si>
  <si>
    <t>Yolo</t>
  </si>
  <si>
    <t>Kings</t>
  </si>
  <si>
    <t>San Francisco</t>
  </si>
  <si>
    <t>Contra Costa</t>
  </si>
  <si>
    <t>Lake</t>
  </si>
  <si>
    <t>Napa</t>
  </si>
  <si>
    <t>Ventura</t>
  </si>
  <si>
    <t>El Dorado</t>
  </si>
  <si>
    <t>Calaveras</t>
  </si>
  <si>
    <t>Yuba</t>
  </si>
  <si>
    <t>Mono</t>
  </si>
  <si>
    <t>Plumas</t>
  </si>
  <si>
    <t>Lassen</t>
  </si>
  <si>
    <t>Amador</t>
  </si>
  <si>
    <t>San Benito</t>
  </si>
  <si>
    <t>Imperial</t>
  </si>
  <si>
    <t>Nevada</t>
  </si>
  <si>
    <t>Participating Counties</t>
  </si>
  <si>
    <t>Participating Schools Total</t>
  </si>
  <si>
    <t>American Sign Language Total</t>
  </si>
  <si>
    <t>French Total</t>
  </si>
  <si>
    <t>German Total</t>
  </si>
  <si>
    <t xml:space="preserve"> Japanese Total</t>
  </si>
  <si>
    <t>Korean Total</t>
  </si>
  <si>
    <t>Latin Total</t>
  </si>
  <si>
    <t>Spanish Total</t>
  </si>
  <si>
    <t>Vietnamese Total</t>
  </si>
  <si>
    <t>Other Total</t>
  </si>
  <si>
    <t>Seal Total</t>
  </si>
  <si>
    <t xml:space="preserve">Sacramento </t>
  </si>
  <si>
    <t>Participating Districts Total</t>
  </si>
  <si>
    <t>Arabic Total</t>
  </si>
  <si>
    <t>Italian Total</t>
  </si>
  <si>
    <t>Participating Districts</t>
  </si>
  <si>
    <t>Participating Schools</t>
  </si>
  <si>
    <t>Hmong Total</t>
  </si>
  <si>
    <t>Japanese Total</t>
  </si>
  <si>
    <t>Participating District</t>
  </si>
  <si>
    <t>Participating School</t>
  </si>
  <si>
    <t>Tagalog (Filipino) Total</t>
  </si>
  <si>
    <t>Hebrew Total</t>
  </si>
  <si>
    <t>Armenian Total</t>
  </si>
  <si>
    <t>Portuguese Total</t>
  </si>
  <si>
    <t>Russian Total</t>
  </si>
  <si>
    <t>Inyo</t>
  </si>
  <si>
    <t>Bengali Total</t>
  </si>
  <si>
    <t>Farsi (Persian) Total</t>
  </si>
  <si>
    <t>Hindi Total</t>
  </si>
  <si>
    <t>Punjabi Total</t>
  </si>
  <si>
    <t>Urdu Total</t>
  </si>
  <si>
    <t xml:space="preserve">Urdu Total </t>
  </si>
  <si>
    <t xml:space="preserve">Punjabi Total </t>
  </si>
  <si>
    <t>Shasta</t>
  </si>
  <si>
    <t>Sierra</t>
  </si>
  <si>
    <t>Siskiyou</t>
  </si>
  <si>
    <t>Los Angeles Unified</t>
  </si>
  <si>
    <t xml:space="preserve">California Department of Education </t>
  </si>
  <si>
    <t>Chinese (Mandarin or Cantonese) Total</t>
  </si>
  <si>
    <t>Los Angeles Unified - Participating Schools</t>
  </si>
  <si>
    <t>Alameda Unified</t>
  </si>
  <si>
    <t>Impact Academy of Arts &amp; Technology</t>
  </si>
  <si>
    <t>Leadership Public Schools - Hayward</t>
  </si>
  <si>
    <t>Lighthouse Community Charter High</t>
  </si>
  <si>
    <t>Lodestar: A Lighthouse Community Charter Public</t>
  </si>
  <si>
    <t>Chico Unified</t>
  </si>
  <si>
    <t>Inspire School of Arts and Sciences</t>
  </si>
  <si>
    <t>Colusa High</t>
  </si>
  <si>
    <t>Coalinga-Huron Unified</t>
  </si>
  <si>
    <t>Fowler Unified</t>
  </si>
  <si>
    <t>Fresno Unified</t>
  </si>
  <si>
    <t>Golden Plains Unified</t>
  </si>
  <si>
    <t>Kings Canyon Joint Unified</t>
  </si>
  <si>
    <t>Eureka City Schools</t>
  </si>
  <si>
    <t>Sierra Sands Unified</t>
  </si>
  <si>
    <t>Wonderful College Prep Academy</t>
  </si>
  <si>
    <t>Anahuacalmecac International University Preparatory of North America</t>
  </si>
  <si>
    <t>Aspire Ollin University Preparatory Academy</t>
  </si>
  <si>
    <t>Glendale Unified</t>
  </si>
  <si>
    <t>Granada Hills Charter</t>
  </si>
  <si>
    <t>Hawthorne Math and Science Academy</t>
  </si>
  <si>
    <t>High Tech LA</t>
  </si>
  <si>
    <t>Lynwood Unified</t>
  </si>
  <si>
    <t>Magnolia Science Academy 4</t>
  </si>
  <si>
    <t>Manhattan Beach Unified</t>
  </si>
  <si>
    <t>Math and Science College Preparatory</t>
  </si>
  <si>
    <t>Opportunities for Learning - Baldwin Park</t>
  </si>
  <si>
    <t>Opportunities for Learning - Duarte</t>
  </si>
  <si>
    <t>Opportunities for Learning - William S. Hart</t>
  </si>
  <si>
    <t>PUC CALS Middle School and Early College High</t>
  </si>
  <si>
    <t>PUC Triumph Charter Academy and PUC Triumph Charter High</t>
  </si>
  <si>
    <t>School of Arts and Enterprise</t>
  </si>
  <si>
    <t>Vaughn Next Century Learning Center</t>
  </si>
  <si>
    <t>Wallis Annenberg High</t>
  </si>
  <si>
    <t>Westbrook Academy</t>
  </si>
  <si>
    <t>Shoreline Unified</t>
  </si>
  <si>
    <t>Anderson Valley Unified</t>
  </si>
  <si>
    <t>Dos Palos Oro Loma Joint Unified</t>
  </si>
  <si>
    <t>Los Banos Unified</t>
  </si>
  <si>
    <t>Magnolia Science Academy Santa Ana</t>
  </si>
  <si>
    <t>Vista Meridian Global Academy</t>
  </si>
  <si>
    <t>Western Sierra Collegiate Academy</t>
  </si>
  <si>
    <t>Plumas Unified</t>
  </si>
  <si>
    <t>Beaumont Unified</t>
  </si>
  <si>
    <t>Coachella Valley Unified</t>
  </si>
  <si>
    <t>Moreno Valley Unified</t>
  </si>
  <si>
    <t>San Jacinto Valley Academy</t>
  </si>
  <si>
    <t>Center Joint Unified</t>
  </si>
  <si>
    <t>Community Collaborative Charter</t>
  </si>
  <si>
    <t>River Delta Joint Unified</t>
  </si>
  <si>
    <t>San Benito High</t>
  </si>
  <si>
    <t>Colton Joint Unified</t>
  </si>
  <si>
    <t>Mojave River Academy - Marble City</t>
  </si>
  <si>
    <t>Mojave River Academy - Oro Grande</t>
  </si>
  <si>
    <t>Rim of the World Unified</t>
  </si>
  <si>
    <t>Riverside Preparatory</t>
  </si>
  <si>
    <t>e3 Civic High</t>
  </si>
  <si>
    <t>Health Sciences High and Middle College</t>
  </si>
  <si>
    <t>High Tech High</t>
  </si>
  <si>
    <t>High Tech High Chula Vista</t>
  </si>
  <si>
    <t>High Tech High International</t>
  </si>
  <si>
    <t>High Tech High Media Arts</t>
  </si>
  <si>
    <t>High Tech High Mesa</t>
  </si>
  <si>
    <t>Mountain Empire Unified</t>
  </si>
  <si>
    <t>KIPP San Francisco College Preparatory</t>
  </si>
  <si>
    <t>Lincoln Unified</t>
  </si>
  <si>
    <t>Lodi Unified</t>
  </si>
  <si>
    <t>Ripon Unified</t>
  </si>
  <si>
    <t>San Luis Coastal Unified</t>
  </si>
  <si>
    <t>Summit Public School: Shasta</t>
  </si>
  <si>
    <t>B. Roberto Cruz Leadership Academy</t>
  </si>
  <si>
    <t>KIPP San José Collegiate</t>
  </si>
  <si>
    <t>Latino College Preparatory Academy</t>
  </si>
  <si>
    <t>Luis Valdez Leadership Academy</t>
  </si>
  <si>
    <t>Milpitas Unified</t>
  </si>
  <si>
    <t>San José Unified School District</t>
  </si>
  <si>
    <t>University Preparatory Academy Charter</t>
  </si>
  <si>
    <t>Ceiba College Preparatory Academy</t>
  </si>
  <si>
    <t>California Pacific Charter - Sonoma</t>
  </si>
  <si>
    <t>Cotati-Rohnert Park Unified</t>
  </si>
  <si>
    <t>Ceres Unified</t>
  </si>
  <si>
    <t>Modesto City High</t>
  </si>
  <si>
    <t>Monarch River Academy</t>
  </si>
  <si>
    <t>Visalia Unified</t>
  </si>
  <si>
    <t>Tuolumne</t>
  </si>
  <si>
    <t>Fillmore Unified</t>
  </si>
  <si>
    <t>Washington Unified</t>
  </si>
  <si>
    <t>Alameda High; Alameda Science and Technology Institute; Encinal Junior/Senior High</t>
  </si>
  <si>
    <t>Emery Secondary</t>
  </si>
  <si>
    <t>Total Districts: 1</t>
  </si>
  <si>
    <t>Total Schools: 2</t>
  </si>
  <si>
    <t>Chico High; Pleasant Valley High</t>
  </si>
  <si>
    <t>Total Schools: 1</t>
  </si>
  <si>
    <t>Total Schools: 7</t>
  </si>
  <si>
    <t>Total Districts: 6</t>
  </si>
  <si>
    <t>Total Districts: 3</t>
  </si>
  <si>
    <t>Total Schools: 3</t>
  </si>
  <si>
    <t>Pittsburg Senior High</t>
  </si>
  <si>
    <t>Fowler High</t>
  </si>
  <si>
    <t>Total Districts: 11</t>
  </si>
  <si>
    <t>Total Districts: 5</t>
  </si>
  <si>
    <t>Total Schools: 6</t>
  </si>
  <si>
    <t>Blue Ridge Academy</t>
  </si>
  <si>
    <t>McFarland High School Early College</t>
  </si>
  <si>
    <t>Total Districts: 2</t>
  </si>
  <si>
    <t>Total Districts: 4</t>
  </si>
  <si>
    <t>Total Districts: 8</t>
  </si>
  <si>
    <t>Total Schools: 14</t>
  </si>
  <si>
    <t>Total Schools: 19</t>
  </si>
  <si>
    <t>Total Schools: 4</t>
  </si>
  <si>
    <t>Total Districts: 7</t>
  </si>
  <si>
    <t>Total Districts: 10</t>
  </si>
  <si>
    <t>Albany City Unified</t>
  </si>
  <si>
    <t>Albany High</t>
  </si>
  <si>
    <t>Castro Valley Unified</t>
  </si>
  <si>
    <t>Castro Valley High</t>
  </si>
  <si>
    <t>Dublin Unified</t>
  </si>
  <si>
    <t>Dublin High</t>
  </si>
  <si>
    <t>Emery Unified</t>
  </si>
  <si>
    <t>Hayward Unified</t>
  </si>
  <si>
    <t>Hayward High; Mt. Eden High; Tennyson High</t>
  </si>
  <si>
    <t>KIPP King Collegiate High</t>
  </si>
  <si>
    <t>Livermore Valley Joint Unified</t>
  </si>
  <si>
    <t>Oakland Unified</t>
  </si>
  <si>
    <t>Oakland Unity High</t>
  </si>
  <si>
    <t>Piedmont City Unified</t>
  </si>
  <si>
    <t>Piedmont High</t>
  </si>
  <si>
    <t>Pleasanton Unified</t>
  </si>
  <si>
    <t>San Leandro Unified</t>
  </si>
  <si>
    <t>Lincoln High (Continuation); San Leandro High</t>
  </si>
  <si>
    <t>Amador County Unified</t>
  </si>
  <si>
    <t>Amador High; Argonaut High</t>
  </si>
  <si>
    <t>Biggs Unified</t>
  </si>
  <si>
    <t>Biggs High</t>
  </si>
  <si>
    <t>CORE Butte Charter</t>
  </si>
  <si>
    <t>Durham Unified</t>
  </si>
  <si>
    <t>Durham High</t>
  </si>
  <si>
    <t>Paradise Unified</t>
  </si>
  <si>
    <t>Paradise Senior High</t>
  </si>
  <si>
    <t>Bret Harte Union High</t>
  </si>
  <si>
    <t>Colusa Unified</t>
  </si>
  <si>
    <t>Maxwell Unified</t>
  </si>
  <si>
    <t>Maxwell Sr High</t>
  </si>
  <si>
    <t>Pierce Joint Unified</t>
  </si>
  <si>
    <t>Pierce High</t>
  </si>
  <si>
    <t>Antioch Unified</t>
  </si>
  <si>
    <t>Antioch High; Deer Valley High; Dozier-Libbey Medical High</t>
  </si>
  <si>
    <t>Clayton Valley Charter High</t>
  </si>
  <si>
    <t>John Swett Unified</t>
  </si>
  <si>
    <t>John Swett High</t>
  </si>
  <si>
    <t>Liberty Union High</t>
  </si>
  <si>
    <t>Freedom High; Heritage High; Liberty High</t>
  </si>
  <si>
    <t>Martinez Unified</t>
  </si>
  <si>
    <t>Alhambra Senior High</t>
  </si>
  <si>
    <t>Mt. Diablo Unified</t>
  </si>
  <si>
    <t>College Park High; Concord High; Mt. Diablo High; Northgate High; Ygnacio Valley High</t>
  </si>
  <si>
    <t>Pittsburg Unified</t>
  </si>
  <si>
    <t>California High; Dougherty Valley High; Monte Vista High; San Ramon Valley High</t>
  </si>
  <si>
    <t>Del Norte County Unified</t>
  </si>
  <si>
    <t>Del Norte High</t>
  </si>
  <si>
    <t>Clarksville Charter</t>
  </si>
  <si>
    <t>El Dorado Union High</t>
  </si>
  <si>
    <t>Lake Tahoe Unified</t>
  </si>
  <si>
    <t>South Tahoe High</t>
  </si>
  <si>
    <t>Coalinga High</t>
  </si>
  <si>
    <t>Firebaugh-Las Deltas Unified</t>
  </si>
  <si>
    <t>Firebaugh High</t>
  </si>
  <si>
    <t>Tranquillity High</t>
  </si>
  <si>
    <t>Kerman Unified</t>
  </si>
  <si>
    <t>Enterprise High School; Kerman High; Kerman Unified Online</t>
  </si>
  <si>
    <t>Orange Cove High; Reedley High</t>
  </si>
  <si>
    <t>Mendota Unified</t>
  </si>
  <si>
    <t>Mendota High</t>
  </si>
  <si>
    <t>Sanger Unified</t>
  </si>
  <si>
    <t>Selma Unified</t>
  </si>
  <si>
    <t>Selma High</t>
  </si>
  <si>
    <t>Washington High</t>
  </si>
  <si>
    <t>Yosemite Valley Charter</t>
  </si>
  <si>
    <t>Orland Joint Unified</t>
  </si>
  <si>
    <t>Orland High</t>
  </si>
  <si>
    <t>Eureka Senior High</t>
  </si>
  <si>
    <t>Ferndale Unified</t>
  </si>
  <si>
    <t>Ferndale High</t>
  </si>
  <si>
    <t>Fortuna Union High</t>
  </si>
  <si>
    <t>Southern Humboldt Joint Unified</t>
  </si>
  <si>
    <t>South Fork High</t>
  </si>
  <si>
    <t>Brawley Union High</t>
  </si>
  <si>
    <t>Calexico Unified</t>
  </si>
  <si>
    <t>Calexico High</t>
  </si>
  <si>
    <t>Central Union High</t>
  </si>
  <si>
    <t>Central Union High; Southwest High</t>
  </si>
  <si>
    <t>Holtville Unified</t>
  </si>
  <si>
    <t>Holtville High</t>
  </si>
  <si>
    <t>Bishop Unified</t>
  </si>
  <si>
    <t>Bishop Union High</t>
  </si>
  <si>
    <t>Kern High</t>
  </si>
  <si>
    <t>McFarland Unified</t>
  </si>
  <si>
    <t>Muroc Joint Unified</t>
  </si>
  <si>
    <t>Sherman E. Burroughs High</t>
  </si>
  <si>
    <t>Wasco Union High</t>
  </si>
  <si>
    <t>Wasco High</t>
  </si>
  <si>
    <t>Wonderful College Prep Academy - Lost Hills</t>
  </si>
  <si>
    <t>Hanford Joint Union High</t>
  </si>
  <si>
    <t>Hanford High; Hanford West High; Sierra Pacific High</t>
  </si>
  <si>
    <t>Lemoore Union High</t>
  </si>
  <si>
    <t>Lemoore High; Lemoore Middle College High</t>
  </si>
  <si>
    <t>Middletown High</t>
  </si>
  <si>
    <t>Lassen Union High</t>
  </si>
  <si>
    <t>Lassen High</t>
  </si>
  <si>
    <t>Alhambra Unified</t>
  </si>
  <si>
    <t>Alhambra High; Mark Keppel High; San Gabriel High</t>
  </si>
  <si>
    <t>Arcadia Unified</t>
  </si>
  <si>
    <t>Arcadia High</t>
  </si>
  <si>
    <t>Azusa Unified</t>
  </si>
  <si>
    <t>Azusa High</t>
  </si>
  <si>
    <t>Bassett Unified</t>
  </si>
  <si>
    <t>Bassett Senior High</t>
  </si>
  <si>
    <t>Bellflower Unified</t>
  </si>
  <si>
    <t>Bellflower High; Mayfair High</t>
  </si>
  <si>
    <t>Beverly Hills Unified</t>
  </si>
  <si>
    <t>Beverly Hills High</t>
  </si>
  <si>
    <t>Birmingham Community Charter High</t>
  </si>
  <si>
    <t>Bonita Unified</t>
  </si>
  <si>
    <t>Bonita High; San Dimas High</t>
  </si>
  <si>
    <t>Burbank Unified</t>
  </si>
  <si>
    <t>California School of the Arts - San Gabriel Valley</t>
  </si>
  <si>
    <t>CATCH Prep Charter High, Inc.</t>
  </si>
  <si>
    <t>Centinela Valley Union High</t>
  </si>
  <si>
    <t>Hawthorne High; Lawndale High; Leuzinger High</t>
  </si>
  <si>
    <t>Charter Oak Unified</t>
  </si>
  <si>
    <t>Charter Oak High</t>
  </si>
  <si>
    <t>Claremont Unified</t>
  </si>
  <si>
    <t>Claremont High</t>
  </si>
  <si>
    <t>Compton Unified</t>
  </si>
  <si>
    <t>Culver City Unified</t>
  </si>
  <si>
    <t>Culver City High</t>
  </si>
  <si>
    <t>Desert Sands Charter</t>
  </si>
  <si>
    <t>Downey Unified</t>
  </si>
  <si>
    <t>Duarte Unified</t>
  </si>
  <si>
    <t>El Camino Real Charter High</t>
  </si>
  <si>
    <t>Arroyo High; El Monte High; Mountain View High; Rosemead High; South El Monte High</t>
  </si>
  <si>
    <t>Environmental Charter High - Lawndale</t>
  </si>
  <si>
    <t>Glendora High</t>
  </si>
  <si>
    <t>Glendora Unified</t>
  </si>
  <si>
    <t>iLEAD Hybrid</t>
  </si>
  <si>
    <t>iLEAD Online Charter</t>
  </si>
  <si>
    <t>La Canada Unified</t>
  </si>
  <si>
    <t>La Canada High</t>
  </si>
  <si>
    <t>Las Virgenes Unified</t>
  </si>
  <si>
    <t>Agoura High; Calabasas High</t>
  </si>
  <si>
    <t>Long Beach Unified</t>
  </si>
  <si>
    <t>L.A. County High School for the Arts</t>
  </si>
  <si>
    <t>Lynwood High; Marco Antonio Firebaugh High</t>
  </si>
  <si>
    <t>Magnolia Science Academy 2</t>
  </si>
  <si>
    <t>Magnolia Science Academy 3</t>
  </si>
  <si>
    <t>Mira Costa High</t>
  </si>
  <si>
    <t>Monrovia Unified</t>
  </si>
  <si>
    <t>Monrovia High</t>
  </si>
  <si>
    <t>New Designs Charter</t>
  </si>
  <si>
    <t>New West Charter</t>
  </si>
  <si>
    <t>Pomona Unified</t>
  </si>
  <si>
    <t>Redondo Beach Unified</t>
  </si>
  <si>
    <t>Redondo Union High</t>
  </si>
  <si>
    <t>Rowland Unified</t>
  </si>
  <si>
    <t>San Gabriel Unified</t>
  </si>
  <si>
    <t>Gabrielino High</t>
  </si>
  <si>
    <t>San Marino Unified</t>
  </si>
  <si>
    <t>San Marino High</t>
  </si>
  <si>
    <t>Santa Monica-Malibu Unified</t>
  </si>
  <si>
    <t>Malibu High; Santa Monica High</t>
  </si>
  <si>
    <t>Palmdale Aerospace Academy</t>
  </si>
  <si>
    <t>Torrance Unified</t>
  </si>
  <si>
    <t>Walnut Valley Unified</t>
  </si>
  <si>
    <t>Diamond Bar High; Walnut High</t>
  </si>
  <si>
    <t>Whittier Union High</t>
  </si>
  <si>
    <t>William S. Hart Union High</t>
  </si>
  <si>
    <t>Academy of the Canyons; Canyon High; Castaic High; Golden Valley High; Learning Post Academy (Alternative); Saugus High; Valencia High; West Ranch High; William S. Hart High</t>
  </si>
  <si>
    <t>WISH Academy High</t>
  </si>
  <si>
    <t>Bell Senior High</t>
  </si>
  <si>
    <t>Venice Senior High</t>
  </si>
  <si>
    <t>Phineas Banning Senior High</t>
  </si>
  <si>
    <t>South Gate Senior High</t>
  </si>
  <si>
    <t>North Hollywood Senior High</t>
  </si>
  <si>
    <t>Francisco Bravo Medical Magnet High</t>
  </si>
  <si>
    <t>Theodore Roosevelt Senior High</t>
  </si>
  <si>
    <t>Grover Cleveland Charter High</t>
  </si>
  <si>
    <t>King/Drew Medical Magnet High</t>
  </si>
  <si>
    <t>Panorama High</t>
  </si>
  <si>
    <t>San Fernando Senior High</t>
  </si>
  <si>
    <t>Van Nuys Senior High</t>
  </si>
  <si>
    <t>Linda Esperanza Marquez High A Huntington Park Institute of Applied Medicine</t>
  </si>
  <si>
    <t>Woodrow Wilson Senior High</t>
  </si>
  <si>
    <t>Santee Education Complex</t>
  </si>
  <si>
    <t>John C. Fremont Senior High</t>
  </si>
  <si>
    <t>Hollywood Senior High</t>
  </si>
  <si>
    <t>Reseda Charter High</t>
  </si>
  <si>
    <t>James Monroe High</t>
  </si>
  <si>
    <t>Orthopaedic Hospital</t>
  </si>
  <si>
    <t>Los Angeles Center for Enriched Studies</t>
  </si>
  <si>
    <t>San Pedro Senior High</t>
  </si>
  <si>
    <t>Verdugo Hills Senior High</t>
  </si>
  <si>
    <t>John Marshall Senior High</t>
  </si>
  <si>
    <t>Fairfax Senior High</t>
  </si>
  <si>
    <t>Diego Rivera Learning Complex Green Design STEAM Academy</t>
  </si>
  <si>
    <t>Huntington Park Senior High</t>
  </si>
  <si>
    <t>Nathaniel Narbonne Senior High</t>
  </si>
  <si>
    <t>Foshay Learning Center</t>
  </si>
  <si>
    <t>Los Angeles Senior High</t>
  </si>
  <si>
    <t>Carson Senior High</t>
  </si>
  <si>
    <t>Nava College Preparatory Academy</t>
  </si>
  <si>
    <t>Robert Fulton College Preparatory</t>
  </si>
  <si>
    <t>Abraham Lincoln Senior High</t>
  </si>
  <si>
    <t>Valley Academy of Arts and Sciences</t>
  </si>
  <si>
    <t>Gardena Senior High</t>
  </si>
  <si>
    <t>Thomas Jefferson Senior High</t>
  </si>
  <si>
    <t>Elizabeth Learning Center</t>
  </si>
  <si>
    <t>Jordan High</t>
  </si>
  <si>
    <t>Northridge Academy High</t>
  </si>
  <si>
    <t>Belmont Senior High</t>
  </si>
  <si>
    <t>Manual Arts Senior High</t>
  </si>
  <si>
    <t>Thirty-Second Street USC Performing Arts</t>
  </si>
  <si>
    <t>George Washington Preparatory High</t>
  </si>
  <si>
    <t>Helen Bernstein High</t>
  </si>
  <si>
    <t>University High School Charter</t>
  </si>
  <si>
    <t>Susan Miller Dorsey Senior High</t>
  </si>
  <si>
    <t>Lake Balboa College Preparatory Magnet K-12</t>
  </si>
  <si>
    <t>Virtual Academy STEAM</t>
  </si>
  <si>
    <t>Marlton</t>
  </si>
  <si>
    <t>(Refer to next sheet titled "Los Angeles Unified" for the list of participating schools.)</t>
  </si>
  <si>
    <t>Chowchilla Union High</t>
  </si>
  <si>
    <t>Golden Valley Unified</t>
  </si>
  <si>
    <t>Liberty High</t>
  </si>
  <si>
    <t>Madera Unified</t>
  </si>
  <si>
    <t>Novato Unified</t>
  </si>
  <si>
    <t>Novato High; San Marin High</t>
  </si>
  <si>
    <t>San Rafael City High</t>
  </si>
  <si>
    <t>Tomales High</t>
  </si>
  <si>
    <t>Tamalpais Union High</t>
  </si>
  <si>
    <t>Anderson Valley Junior-Senior High</t>
  </si>
  <si>
    <t>Fort Bragg Unified</t>
  </si>
  <si>
    <t>Fort Bragg High</t>
  </si>
  <si>
    <t>Ukiah Unified</t>
  </si>
  <si>
    <t>Delhi Unified</t>
  </si>
  <si>
    <t>Delhi High</t>
  </si>
  <si>
    <t>Dos Palos High</t>
  </si>
  <si>
    <t>Gustine High</t>
  </si>
  <si>
    <t>Hilmar High</t>
  </si>
  <si>
    <t>Le Grand Union High</t>
  </si>
  <si>
    <t>Le Grand High</t>
  </si>
  <si>
    <t>Merced Scholars Charter</t>
  </si>
  <si>
    <t>Merced Union High</t>
  </si>
  <si>
    <t>Atwater High; Buhach Colony High; El Capitan High; Golden Valley High; Livingston High; Merced High</t>
  </si>
  <si>
    <t>Mammoth Unified</t>
  </si>
  <si>
    <t>Mammoth High</t>
  </si>
  <si>
    <t>Carmel Unified</t>
  </si>
  <si>
    <t>Carmel High</t>
  </si>
  <si>
    <t>Monterey Peninsula Unified</t>
  </si>
  <si>
    <t>Central Bay High (Continuation); North Monterey County High; North Monterey County Center for Independent Study</t>
  </si>
  <si>
    <t>North Monterey County Unified</t>
  </si>
  <si>
    <t>Pacific Grove High</t>
  </si>
  <si>
    <t>Salinas Union High</t>
  </si>
  <si>
    <t>Soledad Unified</t>
  </si>
  <si>
    <t>Soledad High</t>
  </si>
  <si>
    <t>South Monterey County Joint Union High</t>
  </si>
  <si>
    <t>Greenfield High; King City High</t>
  </si>
  <si>
    <t>Napa Valley Unified</t>
  </si>
  <si>
    <t>Anaheim Union High</t>
  </si>
  <si>
    <t>Brea-Olinda Unified</t>
  </si>
  <si>
    <t>Aliso Niguel High; California Preparatory Academy; Capistrano Union High; Capistrano Valley High; Dana Hills High; San Clemente High; San Juan Hills High; Tesoro High</t>
  </si>
  <si>
    <t>Citrus Springs Charter</t>
  </si>
  <si>
    <t>Ednovate - Legacy College Prep.</t>
  </si>
  <si>
    <t>Garden Grove Unified</t>
  </si>
  <si>
    <t>Huntington Beach Union High</t>
  </si>
  <si>
    <t>Irvine Unified</t>
  </si>
  <si>
    <t>Laguna Beach Unified</t>
  </si>
  <si>
    <t>Laguna Beach High</t>
  </si>
  <si>
    <t>Los Alamitos Unified</t>
  </si>
  <si>
    <t>Los Alamitos High</t>
  </si>
  <si>
    <t>Corona Del Mar High; Costa Mesa High; Early College High; Estancia High; Newport Harbor High</t>
  </si>
  <si>
    <t xml:space="preserve">	OCSA</t>
  </si>
  <si>
    <t>Orange Unified</t>
  </si>
  <si>
    <t>Placentia-Yorba Linda Unified</t>
  </si>
  <si>
    <t>Saddleback Valley Unified</t>
  </si>
  <si>
    <t>Santa Ana Unified</t>
  </si>
  <si>
    <t>Horizon Charter</t>
  </si>
  <si>
    <t>Placer Union High</t>
  </si>
  <si>
    <t>Rocklin Unified</t>
  </si>
  <si>
    <t>Rocklin High; Whitney High</t>
  </si>
  <si>
    <t>Roseville Joint Union High</t>
  </si>
  <si>
    <t>Adelante High; Antelope High; Granite Bay High; Independence High (Alternative); Oakmont High; Roseville High; West Park High; Woodcreek High</t>
  </si>
  <si>
    <t>Tahoe-Truckee Unified</t>
  </si>
  <si>
    <t>North Tahoe High; Tahoe-Truckee High</t>
  </si>
  <si>
    <t>Western Placer Unified</t>
  </si>
  <si>
    <t>Lincoln High; Twelve Bridges High</t>
  </si>
  <si>
    <t>Corona-Norco Unified</t>
  </si>
  <si>
    <t>Alvord Unified</t>
  </si>
  <si>
    <t>Banning Unified</t>
  </si>
  <si>
    <t>21st Century Learning Institute; Beaumont Middle College High; Beaumont Senior High; Glen View High</t>
  </si>
  <si>
    <t>Desert Sands Unified</t>
  </si>
  <si>
    <t>Hemet Unified</t>
  </si>
  <si>
    <t>Jurupa Unified</t>
  </si>
  <si>
    <t>Lake Elsinore Unified</t>
  </si>
  <si>
    <t>Elsinore High; Lakeside High; Temescal Canyon High</t>
  </si>
  <si>
    <t>Murrieta Valley Unified</t>
  </si>
  <si>
    <t>Murrieta Canyon Academy; Murrieta Mesa High; Murrieta Valley High; Vista Murrieta High</t>
  </si>
  <si>
    <t>Nuview Bridge Early College High</t>
  </si>
  <si>
    <t>Palm Springs Unified</t>
  </si>
  <si>
    <t>Palo Verde Unified</t>
  </si>
  <si>
    <t>Palo Verde High</t>
  </si>
  <si>
    <t>Perris Union High</t>
  </si>
  <si>
    <t>River Springs Charter</t>
  </si>
  <si>
    <t>Riverside Unified</t>
  </si>
  <si>
    <t>San Jacinto Unified</t>
  </si>
  <si>
    <t>Temecula Preparatory</t>
  </si>
  <si>
    <t>Temecula Valley Unified</t>
  </si>
  <si>
    <t>Val Verde Unified</t>
  </si>
  <si>
    <t>Citrus Hill High; Orange Vista High; Rancho Verde High; Val Verde High</t>
  </si>
  <si>
    <t>Total Districts: 23</t>
  </si>
  <si>
    <t>Center High</t>
  </si>
  <si>
    <t>Elk Grove Unified</t>
  </si>
  <si>
    <t>Folsom-Cordova Unified</t>
  </si>
  <si>
    <t>Cordova High; Folsom High; Vista del Lago High; Walnutwood High (Independent Study)</t>
  </si>
  <si>
    <t>Futures High</t>
  </si>
  <si>
    <t>Galt Joint Union High</t>
  </si>
  <si>
    <t>Fortune</t>
  </si>
  <si>
    <t>Sacramento City Unified</t>
  </si>
  <si>
    <t>San Juan Unified</t>
  </si>
  <si>
    <t>Twin Rivers Unified</t>
  </si>
  <si>
    <t>Westlake Charter</t>
  </si>
  <si>
    <t>Total Schools: 62</t>
  </si>
  <si>
    <t>Hollister High</t>
  </si>
  <si>
    <t>Apple Valley Unified</t>
  </si>
  <si>
    <t>Apple Valley High; Granite Hills High</t>
  </si>
  <si>
    <t>Chaffey Joint Union High</t>
  </si>
  <si>
    <t>Chino Valley Unified</t>
  </si>
  <si>
    <t>Buena Vista Continuation High; Chino High; Chino Hills High; Don Antonio Lugo High; Ruben S. Ayala High</t>
  </si>
  <si>
    <t>Empire Springs Charter</t>
  </si>
  <si>
    <t>Excel Academy Charter</t>
  </si>
  <si>
    <t>Fontana Unified</t>
  </si>
  <si>
    <t>Hesperia Unified</t>
  </si>
  <si>
    <t>Hesperia High; Oak Hills High; Sultana High</t>
  </si>
  <si>
    <t>Inland Empire Springs Charter</t>
  </si>
  <si>
    <t>Morongo Unified</t>
  </si>
  <si>
    <t>Twentynine Palms High; Yucca Valley High</t>
  </si>
  <si>
    <t>Rialto Unified</t>
  </si>
  <si>
    <t>Rim of the World High</t>
  </si>
  <si>
    <t>San Bernardino City Unified</t>
  </si>
  <si>
    <t>Silver Valley Unified</t>
  </si>
  <si>
    <t>Sky Mountain Charter</t>
  </si>
  <si>
    <t>Snowline Joint Unified</t>
  </si>
  <si>
    <t>Serrano High</t>
  </si>
  <si>
    <t>Grove</t>
  </si>
  <si>
    <t>Upland Unified</t>
  </si>
  <si>
    <t>Upland High</t>
  </si>
  <si>
    <t>Victor Valley Union High</t>
  </si>
  <si>
    <t>Adelanto High; Cobalt Institute of Math and Science; Lakeview Leadership Academy; Silverado High; University Preparatory; Victor Valley High</t>
  </si>
  <si>
    <t>Bonsall Unified</t>
  </si>
  <si>
    <t>Bonsall High</t>
  </si>
  <si>
    <t>Carlsbad Unified</t>
  </si>
  <si>
    <t>Carlsbad High; Sage Creek High</t>
  </si>
  <si>
    <t>Classical Academy High</t>
  </si>
  <si>
    <t>Coronado Unified</t>
  </si>
  <si>
    <t>Coronado High</t>
  </si>
  <si>
    <t>Escondido Charter High</t>
  </si>
  <si>
    <t>Escondido Union High</t>
  </si>
  <si>
    <t>Fallbrook Union High</t>
  </si>
  <si>
    <t>Fallbrook High; Oasis High (Alternative)</t>
  </si>
  <si>
    <t>Grossmont Union High</t>
  </si>
  <si>
    <t>Helix High</t>
  </si>
  <si>
    <t>Oceanside Unified</t>
  </si>
  <si>
    <t>Poway Unified</t>
  </si>
  <si>
    <t>Ramona City Unified</t>
  </si>
  <si>
    <t>Canyon Crest Academy; La Costa Canyon High; San Dieguito HS Academy; Sunset High (Continuation); Torrey Pines High</t>
  </si>
  <si>
    <t>Mission Hills High; San Marcos High</t>
  </si>
  <si>
    <t>Steele Canyon High</t>
  </si>
  <si>
    <t>Sweetwater Union High</t>
  </si>
  <si>
    <t>The O'Farrell Charter</t>
  </si>
  <si>
    <t>Valley Center-Pauma Unified</t>
  </si>
  <si>
    <t>Valley Center High</t>
  </si>
  <si>
    <t>Vista Unified</t>
  </si>
  <si>
    <t>City Arts &amp; Leadership Academy</t>
  </si>
  <si>
    <t>Gateway High</t>
  </si>
  <si>
    <t>San Francisco Unified</t>
  </si>
  <si>
    <t>Total Schools: 17</t>
  </si>
  <si>
    <t>Escalon High</t>
  </si>
  <si>
    <t>Lammersville Joint Unified</t>
  </si>
  <si>
    <t>Lincoln High</t>
  </si>
  <si>
    <t>Linden Unified</t>
  </si>
  <si>
    <t>Linden High</t>
  </si>
  <si>
    <t>Manteca Unified</t>
  </si>
  <si>
    <t>East Union High; Lathrop High; Manteca High; Sierra High; Weston Ranch High</t>
  </si>
  <si>
    <t>Rio Valley Charter</t>
  </si>
  <si>
    <t>Ripon High</t>
  </si>
  <si>
    <t xml:space="preserve">	Stockton Collegiate International Secondary</t>
  </si>
  <si>
    <t>Stockton Unified</t>
  </si>
  <si>
    <t>Tracy Joint Unified</t>
  </si>
  <si>
    <t>John C. Kimball High; Merrill F. West High; Tracy High</t>
  </si>
  <si>
    <t>Venture Academy</t>
  </si>
  <si>
    <t>Arroyo Grande High; Central Coast New Tech High; Nipomo High</t>
  </si>
  <si>
    <t>Paso Robles Joint Unified</t>
  </si>
  <si>
    <t>Morro Bay High; San Luis Obispo High</t>
  </si>
  <si>
    <t>Templeton Unified</t>
  </si>
  <si>
    <t>Templeton High</t>
  </si>
  <si>
    <t>Total Schools: 9</t>
  </si>
  <si>
    <t>Cabrillo Unified</t>
  </si>
  <si>
    <t>Half Moon Bay High</t>
  </si>
  <si>
    <t>Jefferson Union High</t>
  </si>
  <si>
    <t>KIPP Esperanza High</t>
  </si>
  <si>
    <t>Aragon High; Burlingame High; Capuchino High; Hillsdale High; Mills High; San Mateo High</t>
  </si>
  <si>
    <t>El Camino High; South San Francisco High</t>
  </si>
  <si>
    <t>Summit Preparatory Charter High</t>
  </si>
  <si>
    <t>Carpinteria Unified</t>
  </si>
  <si>
    <t>Carpinteria Senior High</t>
  </si>
  <si>
    <t>Orcutt Academy Charter</t>
  </si>
  <si>
    <t>Santa Barbara Unified</t>
  </si>
  <si>
    <t>Campbell Union High</t>
  </si>
  <si>
    <t>Fremont Union High</t>
  </si>
  <si>
    <t>Cupertino High; Fremont High; Homestead High; Lynbrook High; Monta Vista High</t>
  </si>
  <si>
    <t>Gilroy Unified</t>
  </si>
  <si>
    <t>Christopher High; Dr. TJ Owens Gilroy Early College Academy; Gilroy High</t>
  </si>
  <si>
    <t>Los Gatos High; Saratoga High</t>
  </si>
  <si>
    <t>Mountain View-Los Altos Union High</t>
  </si>
  <si>
    <t>Palo Alto Unified</t>
  </si>
  <si>
    <t>Santa Clara Unified</t>
  </si>
  <si>
    <t>Ocean Grove Charter</t>
  </si>
  <si>
    <t>Pacific Collegiate Charter</t>
  </si>
  <si>
    <t>Pajaro Valley Unified</t>
  </si>
  <si>
    <t>San Lorenzo Valley Unified</t>
  </si>
  <si>
    <t>Santa Cruz City High</t>
  </si>
  <si>
    <t>Harbor High; Santa Cruz High; Soquel High</t>
  </si>
  <si>
    <t>Scotts Valley Unified</t>
  </si>
  <si>
    <t>Scotts Valley High</t>
  </si>
  <si>
    <t>West Valley Early College High</t>
  </si>
  <si>
    <t>Gateway Unified</t>
  </si>
  <si>
    <t>Central Valley High</t>
  </si>
  <si>
    <t>Shasta Union High</t>
  </si>
  <si>
    <t>University Preparatory</t>
  </si>
  <si>
    <t>Total Schools: 8</t>
  </si>
  <si>
    <t>Sierra-Plumas Joint Unified</t>
  </si>
  <si>
    <t>Loyalton High</t>
  </si>
  <si>
    <t>Etna Union High</t>
  </si>
  <si>
    <t>Scott Valley Unified</t>
  </si>
  <si>
    <t>Benicia Unified</t>
  </si>
  <si>
    <t>Benicia High</t>
  </si>
  <si>
    <t>Dixon Unified</t>
  </si>
  <si>
    <t>Dixon High</t>
  </si>
  <si>
    <t>Fairfield-Suisun Unified</t>
  </si>
  <si>
    <t>MIT Academy</t>
  </si>
  <si>
    <t>Travis Unified</t>
  </si>
  <si>
    <t>Vanden High</t>
  </si>
  <si>
    <t>Vacaville Unified</t>
  </si>
  <si>
    <t>Jesse M. Bethel High; Vallejo High</t>
  </si>
  <si>
    <t>Total Schools: 13</t>
  </si>
  <si>
    <t>Healdsburg Unified</t>
  </si>
  <si>
    <t>Healdsburg High</t>
  </si>
  <si>
    <t>Petaluma Joint Union High</t>
  </si>
  <si>
    <t>Casa Grande High; Petaluma High</t>
  </si>
  <si>
    <t>Elsie Allen High; Maria Carrillo High; Montgomery High; Piner High; Santa Rosa High</t>
  </si>
  <si>
    <t>Santa Rosa High</t>
  </si>
  <si>
    <t>Sonoma Valley High</t>
  </si>
  <si>
    <t>West Sonoma County Union High</t>
  </si>
  <si>
    <t>Analy High</t>
  </si>
  <si>
    <t>Windsor High</t>
  </si>
  <si>
    <t>Newman-Crows Landing Unified</t>
  </si>
  <si>
    <t>Orestimba High</t>
  </si>
  <si>
    <t>Oakdale Joint Unified</t>
  </si>
  <si>
    <t>Oakdale High</t>
  </si>
  <si>
    <t>Patterson Joint Unified</t>
  </si>
  <si>
    <t>Patterson High</t>
  </si>
  <si>
    <t>Riverbank High</t>
  </si>
  <si>
    <t>Turlock Unified</t>
  </si>
  <si>
    <t>eCademy Charter at Crane; John H. Pitman High; Turlock High</t>
  </si>
  <si>
    <t>Waterford Unified</t>
  </si>
  <si>
    <t>Total Districts: 9</t>
  </si>
  <si>
    <t>East Nicolaus High</t>
  </si>
  <si>
    <t>Feather River Charter</t>
  </si>
  <si>
    <t>Live Oak Unified</t>
  </si>
  <si>
    <t>Live Oak High</t>
  </si>
  <si>
    <t>South Sutter Charter</t>
  </si>
  <si>
    <t>Sutter Union High</t>
  </si>
  <si>
    <t>Yuba City Unified</t>
  </si>
  <si>
    <t>Dinuba High</t>
  </si>
  <si>
    <t>Exeter Unified</t>
  </si>
  <si>
    <t>Exeter Union High</t>
  </si>
  <si>
    <t>Lindsay Unified</t>
  </si>
  <si>
    <t>Lindsay Senior High</t>
  </si>
  <si>
    <t>Porterville Unified</t>
  </si>
  <si>
    <t>Butterfield Charter; Granite Hills High; Harmony Magnet Academy; Monache High; Porterville High; Porterville Military Academy; Strathmore High</t>
  </si>
  <si>
    <t>Summit Charter Academy</t>
  </si>
  <si>
    <t>University Preparatory High</t>
  </si>
  <si>
    <t>Woodlake Unified</t>
  </si>
  <si>
    <t>Woodlake High</t>
  </si>
  <si>
    <t>Total Schools: 23</t>
  </si>
  <si>
    <t>Sonora Union High</t>
  </si>
  <si>
    <t>Sonora High</t>
  </si>
  <si>
    <t>Summerville Union High</t>
  </si>
  <si>
    <t>Conejo Valley Unified</t>
  </si>
  <si>
    <t>Fillmore Senior High</t>
  </si>
  <si>
    <t>Moorpark High; The High School at Moorpark College</t>
  </si>
  <si>
    <t>Oak Park Unified</t>
  </si>
  <si>
    <t>Oak Park High</t>
  </si>
  <si>
    <t>Ojai Unified</t>
  </si>
  <si>
    <t>Nordhoff High</t>
  </si>
  <si>
    <t>Adolfo Camarillo High; Channel Islands High; Hueneme High; Oxnard High; Oxnard Middle College High; Pacifica High; Rancho Campana High; Rio Mesa High</t>
  </si>
  <si>
    <t>Ventura Unified</t>
  </si>
  <si>
    <t>Davis Joint Unified</t>
  </si>
  <si>
    <t>Winters High</t>
  </si>
  <si>
    <t>Woodland Joint Unified</t>
  </si>
  <si>
    <t>Marysville Joint Unified</t>
  </si>
  <si>
    <t>OCSA</t>
  </si>
  <si>
    <t>Options for Youth-San Bernardino</t>
  </si>
  <si>
    <t>Options for Youth-San Juan</t>
  </si>
  <si>
    <t>Mueller Charter (Robert L.)</t>
  </si>
  <si>
    <t>Preuss School UCSD</t>
  </si>
  <si>
    <t>Stockton Collegiate International Secondary</t>
  </si>
  <si>
    <t>KIPP Navigate College Prep</t>
  </si>
  <si>
    <t>Los Gatos-Saratoga Union High</t>
  </si>
  <si>
    <t>Inglewood Unified</t>
  </si>
  <si>
    <t>Acalanes Union High</t>
  </si>
  <si>
    <t>San Ramon Valley Unified</t>
  </si>
  <si>
    <t>2025–26 State Seal of Biliteracy: List of Participating Counties, Districts, and Schools</t>
  </si>
  <si>
    <t>August 2026</t>
  </si>
  <si>
    <t>California School for the Deaf-Fremont (State Special Schl)</t>
  </si>
  <si>
    <t>Fremont Unified School District</t>
  </si>
  <si>
    <t>Hayward Twin Oaks Montessori</t>
  </si>
  <si>
    <t>LPS Oakland R &amp; D Campus</t>
  </si>
  <si>
    <t>Newark Unified</t>
  </si>
  <si>
    <t>Oakland Military Institute, College Preparatory Academy</t>
  </si>
  <si>
    <t>American High; Irvington High; John F. Kennedy High; Mission San Jose High; Vista Alternative; Washington High</t>
  </si>
  <si>
    <t>Granada High; Livermore High</t>
  </si>
  <si>
    <t>Newark Memorial High</t>
  </si>
  <si>
    <t>Castlemont High; Coliseum College Prep Academy; Fremont High; Gateway to College High at Laney College; Independent Study, Sojourner Truth; LIFE Academy; Madison Park Academy 6-12; MetWest High; Oakland High; Oakland International High; Oakland Technical High; Skyline High; Street Academy Alternative High</t>
  </si>
  <si>
    <t>Amador Valley High; Foothill High; The Pleasanton Virtual Academy</t>
  </si>
  <si>
    <t>Gridley Unified</t>
  </si>
  <si>
    <t>Oroville Union High</t>
  </si>
  <si>
    <t>Las Plumas High; Oroville High;  Prospect High (Continuation)</t>
  </si>
  <si>
    <t>Gridley High</t>
  </si>
  <si>
    <t>Total Schools: 11</t>
  </si>
  <si>
    <t>Calaveras Unified</t>
  </si>
  <si>
    <t>Bret Harte Union High; Vallecito Continuation High</t>
  </si>
  <si>
    <t>Calaveras High</t>
  </si>
  <si>
    <t>Williams Unified</t>
  </si>
  <si>
    <t>Williams Junior/Senior High</t>
  </si>
  <si>
    <t>Making Waves Academy</t>
  </si>
  <si>
    <t>Summit Public School K2</t>
  </si>
  <si>
    <t>Acalanes Center for Independent Study;  Acalanes High;  Campolindo High;  Las Lomas High;  Miramonte High</t>
  </si>
  <si>
    <t>Total Schools: 26</t>
  </si>
  <si>
    <t xml:space="preserve">	John Adams Academy - El Dorado Hills</t>
  </si>
  <si>
    <t>Cottonwood</t>
  </si>
  <si>
    <t>El Dorado High; Oak Ridge High; Ponderosa High; Union Mine High</t>
  </si>
  <si>
    <t>Central Unified</t>
  </si>
  <si>
    <t>Kingsburg Joint Union High</t>
  </si>
  <si>
    <t>University High</t>
  </si>
  <si>
    <t>Total Districts: 16</t>
  </si>
  <si>
    <t>Central East High; Central High; Justin Garza High</t>
  </si>
  <si>
    <t>Buchanan High; Clovis East High; Clovis High; Clovis North High; Clovis Online School; Clovis West High; Enterprise High; Gateway High</t>
  </si>
  <si>
    <t>Bullard High; Design Science Middle College; Edison High; Erma Duncan Polytechnical High; Farber School of Credit Attainment; Farber School of Independent Studies and Online; Fresno High; Herbert Hoover High; McLane High; Phillip J Patino School of Entrepreneurship; Roosevelt High; Sunnyside High</t>
  </si>
  <si>
    <t>Kingsburg High</t>
  </si>
  <si>
    <t>Sanger High</t>
  </si>
  <si>
    <t>Total Schools: 39</t>
  </si>
  <si>
    <t>Lake View Charter</t>
  </si>
  <si>
    <t>Willows High</t>
  </si>
  <si>
    <t>Northern Humboldt Union High</t>
  </si>
  <si>
    <t>Arcata High; McKinleyville High; Six Rivers Charter</t>
  </si>
  <si>
    <t xml:space="preserve">Academy of the Redwoods; Fortuna Union High </t>
  </si>
  <si>
    <t>Brawley Union High; Desert Valley High (Continuation)</t>
  </si>
  <si>
    <t>Delano Joint Union High</t>
  </si>
  <si>
    <t>Heartland Charter</t>
  </si>
  <si>
    <t>Valley Oaks Charter</t>
  </si>
  <si>
    <t>Cesar E. Chavez High; Delano High; Robert F. Kennedy High</t>
  </si>
  <si>
    <t>Boron Junior-Senior High; Desert Junior-Senior High</t>
  </si>
  <si>
    <t>Total Schools: 29</t>
  </si>
  <si>
    <t>Total Schools: 5</t>
  </si>
  <si>
    <t>Kelseyville Unified</t>
  </si>
  <si>
    <t>Kelseyville High</t>
  </si>
  <si>
    <t xml:space="preserve">	Acton-Agua Dulce Unified</t>
  </si>
  <si>
    <t xml:space="preserve">	Environmental Charter High - Gardena</t>
  </si>
  <si>
    <t xml:space="preserve">	Magnolia Science Academy</t>
  </si>
  <si>
    <t xml:space="preserve">	Options For Youth - Duarte, Inc</t>
  </si>
  <si>
    <t>Alliance Margaret M. Bloomfield High School; Alliance Judy Ivie Burton Technology High School; Alliance Collins Family College-Ready High School; Alliance Gertz-Ressler High School; Alliance Piera Barbaglia Shaheen Health Services Academy; Alliance Leichtman-Levine Family Foundation Environmental Science High School; Alliance Renee &amp; Meyer Luskin Academy High School; Alliance Morgan McKinzie High School; Alliance Joni &amp; Jeff Marine High School; Alliance Dr. Olga Mohan High School; Alliance Patti &amp; Peter Neuwirth Leadership Academy; Alliance William &amp; Carol Ouchi High School; Alliance Cindy &amp; Bill Simon Technology High School; Alliance Susan &amp; Eric Smidt Technology High School; Alliance Marc &amp; Eva Stern Math and Science School; Alliance Ted K. Tajima High School</t>
  </si>
  <si>
    <t>Animo Pat Brown; Animo Ralph Bunche, Animo City of Champions; Animo Compton Charter; Oscar de La Hoya Animo Charter; Animo Inglewood; Animo Leadership; Animo Jackie Robinson; Animo South Los Angeles; Animo Venice; Animo Watts, Alain Leroy Locke</t>
  </si>
  <si>
    <t>Antelope Valley Union High</t>
  </si>
  <si>
    <t>Aspire Pacific Academy</t>
  </si>
  <si>
    <t>California Pacific Charter - Los Angeles</t>
  </si>
  <si>
    <t>Camino Nuevo High #2</t>
  </si>
  <si>
    <t>Covina-Valley Unified</t>
  </si>
  <si>
    <t>Da Vinci Science High School</t>
  </si>
  <si>
    <t>Discovery Charter Preparatory #2</t>
  </si>
  <si>
    <t>Ednovate - Brio College Prep; Ednovate - East College Prep; Encore College Prep; Esperanza College Prep; South LA College Prep; USC Hybrid High College Prep</t>
  </si>
  <si>
    <t>EL Monte Union High</t>
  </si>
  <si>
    <t>Equitas Collegiate High</t>
  </si>
  <si>
    <t>Hacienda la Puente Unified</t>
  </si>
  <si>
    <t>Lifeline Education Charter</t>
  </si>
  <si>
    <t>Los Angeles Academy of Arts and Enterprise</t>
  </si>
  <si>
    <t>Options for Youth San Gabriel</t>
  </si>
  <si>
    <t>Palmdale Academy Charter</t>
  </si>
  <si>
    <t>Palos Verdes Peninsula Unified</t>
  </si>
  <si>
    <t>Paramount Unified</t>
  </si>
  <si>
    <t>Port of Los Angeles High School</t>
  </si>
  <si>
    <t>PUC Community Charter Early College High School (PUC CCECHS)</t>
  </si>
  <si>
    <t>PUC Lakeview Charter High</t>
  </si>
  <si>
    <t>South Pasadena Unified</t>
  </si>
  <si>
    <t>TEACH Tech Charter High</t>
  </si>
  <si>
    <t>University Preparatory Value High</t>
  </si>
  <si>
    <t>Valor Academy High</t>
  </si>
  <si>
    <t>West Covina Unified</t>
  </si>
  <si>
    <t>Vasquez High</t>
  </si>
  <si>
    <t>Academies of the Antelope Valley; Antelope Valley High; Eastside High; Highland High; Lancaster High; Littlerock High; Palmdale High; Quartz Hill High; SOAR High (Students On Academic Rise); William J. (Pete) Knight High</t>
  </si>
  <si>
    <t>Burbank High</t>
  </si>
  <si>
    <t>Centennial High; Cesar Chavez Continuation High; Compton High; Comptom Community Day High; Dominguez High School; Early College High School; Marshall High School</t>
  </si>
  <si>
    <t>Covina High; Northview High; South Hills High</t>
  </si>
  <si>
    <t>Downey High; Warren High</t>
  </si>
  <si>
    <t>Beardslee Dual Language Immersion Academy (PK-8)</t>
  </si>
  <si>
    <t>Anderson W. Clark Magnet High; Crescenta Valley High; Glendale High; Herbert Hoover High; Verdugo Academy</t>
  </si>
  <si>
    <t>Glen A. Wilson High; La Puente High; Los Altos High; Puente Hills High Valley Alternative High (Continuation); William Workman High</t>
  </si>
  <si>
    <t>Inglewood High; City Honors International Preparatory High</t>
  </si>
  <si>
    <t>Avalon K-12; Cabrillo High; California Academy for Mathematics and Science; Educational Partnerships High; Ernest S. McBride; Eunice Sato Academy of Math &amp; Science; Sr. High; Jordan High; Lakewood High; Millikan High; Polytechnic High; Renaissance High School for the Arts; Wilson High</t>
  </si>
  <si>
    <t>Palos Verdes High; Palos Verdes Peninsula High</t>
  </si>
  <si>
    <t>Buena Vista High; Odyssey STEM Academy; Paramount High</t>
  </si>
  <si>
    <t>John Muir High; Pasadena High; Thurgood Marshall Secondary; Blair High</t>
  </si>
  <si>
    <t>Diamond Ranch High; Fremont Academy of Engineering and Design; Ganesha High; Garey High; Pomona High; School of Extended Educational Options; Village Academy High School at Indian Hill</t>
  </si>
  <si>
    <t>Nogales High; John A. Rowland High</t>
  </si>
  <si>
    <t>South Pasadena Senior High</t>
  </si>
  <si>
    <t>North High; South High;Torrance High; West High</t>
  </si>
  <si>
    <t>Edgewood High; Mt. SAC Early College Academy at West Covina; West Covina High</t>
  </si>
  <si>
    <t>California High; La Serna High; Pioneer High; Santa Fe High; Whittier High</t>
  </si>
  <si>
    <t>Madera High; Madera South High; Matilda Torres High</t>
  </si>
  <si>
    <t>Terra Linda High</t>
  </si>
  <si>
    <t>Archie Williams High; Redwood High; Tamalpais High; Tamiscal High</t>
  </si>
  <si>
    <t>Laytonville Unified</t>
  </si>
  <si>
    <t>Round Valley Unified</t>
  </si>
  <si>
    <t>Ukiah High; Ukiah Independent Study Academy</t>
  </si>
  <si>
    <t>Round Valley High</t>
  </si>
  <si>
    <t>Laytonville High</t>
  </si>
  <si>
    <t xml:space="preserve">Gustine Unified </t>
  </si>
  <si>
    <t>Hilmar Unified</t>
  </si>
  <si>
    <t>Valley Los Banos Community</t>
  </si>
  <si>
    <t>Los Banos High</t>
  </si>
  <si>
    <t>Eastern Sierra Unified</t>
  </si>
  <si>
    <t>Coleville High; Lee Vining High</t>
  </si>
  <si>
    <t xml:space="preserve">Pacific Grove Unified </t>
  </si>
  <si>
    <t>Alisal High; El Puente; Everett Alvarez High; North Salinas High; Rancho San Juan High; Salinas High</t>
  </si>
  <si>
    <t>Monterey High; Marina High; Seaside High</t>
  </si>
  <si>
    <t>Saint Helena Unified</t>
  </si>
  <si>
    <t>American Canyon High; Napa High; Napa Valley Independent Studies; New Technology High; Valley Oak High; Vintage High</t>
  </si>
  <si>
    <t>Saint Helena High</t>
  </si>
  <si>
    <t>Forest Charter</t>
  </si>
  <si>
    <t>Capistrano Unified</t>
  </si>
  <si>
    <t>Ednovate - Legacy College Prep</t>
  </si>
  <si>
    <t>Newport-Mesa Unified</t>
  </si>
  <si>
    <t>NOVA Academy Early College High</t>
  </si>
  <si>
    <t xml:space="preserve">Opportunities for Learning - Capistrano	</t>
  </si>
  <si>
    <t>Orange County Department of Education</t>
  </si>
  <si>
    <t>Suncoast Preparatory Academy</t>
  </si>
  <si>
    <t>Tustin Unified</t>
  </si>
  <si>
    <t>Anaheim High; Cambridge Virtual Academy; Cypress High; Gilbert High (Continuation); John F. Kennedy High; Katella High; Loara High; Magnolia High; Oxford Academy; Savanna High; Western High</t>
  </si>
  <si>
    <t>Brea-Olinda High</t>
  </si>
  <si>
    <t>Bolsa Grande High; Garden Grove High; La Quinta High; Los Amigos High; Marie L. Hare High; Pacifica High; Rancho Alamitos High; Santiago High</t>
  </si>
  <si>
    <t>Coast High; Edison High; Fountain Valley High; Huntington Beach High; Marina High; Ocean View High; Westminster High</t>
  </si>
  <si>
    <t>Alternative Education-San Joaquin High; Irvine High; Creekside High; Northwood High; Portola High; University High; Woodbridge High</t>
  </si>
  <si>
    <t>Corona Del Mar High; Costa Mesa High; Early College High; Estancia High; Monte Vista Independent Study; Newport Harbor High</t>
  </si>
  <si>
    <t xml:space="preserve">	OCCS:CHEP/PCHS</t>
  </si>
  <si>
    <t>Canyon High; El Modena School; Orange High; Villa Park High</t>
  </si>
  <si>
    <t>El Dorado High; Esperanza High; Valencia High; Yorba Linda High</t>
  </si>
  <si>
    <t>El Toro High; Laguna Hills High; Mission Viejo High; SVUSD Virtual Academy (Alternative); Trabuco Hills High</t>
  </si>
  <si>
    <t>Advanced Learning Academy; Cesar E. Chavez High; Century High; Hector G. Godinez; Lorin Griset Academy; Middle College High; Saddleback High; Santa Ana High; Santa Ana Virtual Academy; Segerstrom High; Valley High</t>
  </si>
  <si>
    <t>Arnold O. Beckman High; Foothill High; Legacy Magnet Academy; Tustin Connect; Tustin High</t>
  </si>
  <si>
    <t xml:space="preserve">	John Adams Academy - Lincoln</t>
  </si>
  <si>
    <t xml:space="preserve">	John Adams Academy - Roseville</t>
  </si>
  <si>
    <t xml:space="preserve">Colfax High; Del Oro High; Foresthill High; Maidu Virtual Charter Academy; Placer High: </t>
  </si>
  <si>
    <t>Portola Junior/Senior High; Quincy Junior/Senior High; Chester Junior/Senior High</t>
  </si>
  <si>
    <t>San Jacinto Leadership Academy - Magnet</t>
  </si>
  <si>
    <t>Hillcrest High; La Sierra High; Norte Vista High</t>
  </si>
  <si>
    <t>Banning High; Banning Independent Study</t>
  </si>
  <si>
    <t>Coachella Valley High; Desert Mirage High; La Familia Continuation High; West Shores High</t>
  </si>
  <si>
    <t>Academy of Innovation; Centennial High; Corona High; Eleanor Roosevelt High; John F. Kennedy Middle College High; Norco High; Santiago High</t>
  </si>
  <si>
    <t>Amistad High (Continuation); Indio High; La Quinta High; Palm Desert High; Shadow Hills High</t>
  </si>
  <si>
    <t>Hemet High; West Valley High; Western Center Academy</t>
  </si>
  <si>
    <t>Jurupa Valley High; Patriot High; Rubidoux High; Nueva Vista High</t>
  </si>
  <si>
    <t>Cathedral City High; Desert Hot Springs High; ; Desert Learning Academy; Palm Springs High; Rancho Mirage High</t>
  </si>
  <si>
    <t>California Military Institute; Heritage High; Inland Online Academy; Liberty High; Paloma Valley High; Perris High</t>
  </si>
  <si>
    <t>Abraham Lincoln Continuation; Arlington High; John W. North High; Martin Luther King Jr. High; Polytechnic High; Ramona High; Riverside STEM Academy; Riverside Virtual</t>
  </si>
  <si>
    <t>San Jacinto High; San Jacinto Middle College High</t>
  </si>
  <si>
    <t>Chaparral High; Great Oak High; Temecula Valley High; Susan H. Nelson</t>
  </si>
  <si>
    <t>Natomas Unified</t>
  </si>
  <si>
    <t>Performing and Fine Arts Academy; Early College Academy</t>
  </si>
  <si>
    <t>Sacramento Charter High</t>
  </si>
  <si>
    <t>Visions in Education</t>
  </si>
  <si>
    <t>Total Districts: 17</t>
  </si>
  <si>
    <t>Calvine High; Cosumnes Oaks High; Elk Grove Charter Academy; Elk Grove High; Florin High; Franklin High; Laguna Creek High; Las Flores High (Alternative); Monterey Trail High; Pleasant Grove High; Rio Cazadero High; Sheldon High; Valley High; William Daylor High</t>
  </si>
  <si>
    <t>Inderkum High; Leroy Greene Academy; Natomas High; Natomas Pacific Pathways Prep</t>
  </si>
  <si>
    <t>Liberty Ranch High</t>
  </si>
  <si>
    <t>Delta High; Rio Vista High</t>
  </si>
  <si>
    <t>Bella Vista High; Casa Roble Fundamental High; Del Campo High; El Camino Fundamental High; El Sereno Alternative Education; Encina High; Mesa Verde High; Mira Loma High; Rio Americano High; San Juan Choices Charter; San Juan High</t>
  </si>
  <si>
    <t>Arthur A. Benjamin Health Professions High; C. K. McClatchy High; Capital City Independent Study; Hiram W. Johnson High; John F. Kennedy High; Luther Burbank High; Rosemont High; Sacramento New Technology Early College High; Sacramento Charter High; The MET; Umoja International Academy; West Campus</t>
  </si>
  <si>
    <t>Creative Connections Arts Academy; Foothill High; Grant Union High; Highlands High; Rio Linda High</t>
  </si>
  <si>
    <t>Total Schools: 63</t>
  </si>
  <si>
    <t>Aromas - San Juan Unified</t>
  </si>
  <si>
    <t>Anzar High</t>
  </si>
  <si>
    <t xml:space="preserve">	Mojave River Academy - Route 66</t>
  </si>
  <si>
    <t>Academy for Academic Excellence</t>
  </si>
  <si>
    <t>Barstow Unified</t>
  </si>
  <si>
    <t>Bear Valley Unified</t>
  </si>
  <si>
    <t>Granite Mountain Charter School</t>
  </si>
  <si>
    <t>Opportunities for Learning - Ridgecrest</t>
  </si>
  <si>
    <t>Options for Youth-Acton</t>
  </si>
  <si>
    <t>Options for Youth-Victorville</t>
  </si>
  <si>
    <t>Redlands Unified</t>
  </si>
  <si>
    <t>Southern California Flex Academy</t>
  </si>
  <si>
    <t>Yucaipa-Calimesa Joint Unified</t>
  </si>
  <si>
    <t>Alta Loma High; Chaffey District Online High; Chaffey High; Colony High; Etiwanda High; Los Osos High; Montclair High; Ontario High; Rancho Cucamonga High; Valley View High (Continuation)</t>
  </si>
  <si>
    <t>Barstow High</t>
  </si>
  <si>
    <t>Big Bear High</t>
  </si>
  <si>
    <t>Bloomington High; Colton High; Grand Terrace High; Washington High</t>
  </si>
  <si>
    <t>Eric Birch High (Continuation); Fontana A. B. Miller High; Fontana High; Henry J. Kaiser High; Jurupa Hills High; Summit High</t>
  </si>
  <si>
    <t>Citrus Valley High; Redlands East Valley High; Redlands Senior High</t>
  </si>
  <si>
    <t xml:space="preserve">Eisenhower High; Rialto High; Wilmer Amina Carter High; Zupanic Virtual Academy; </t>
  </si>
  <si>
    <t>Arroyo Valley High; Cajon High; Indian Springs High; San Bernardino High; San Gorgonio High; Middle College High School; Pacific High; San Andreas High; Sierra High; Virtual Academy</t>
  </si>
  <si>
    <t>Norton Science and Language Academy</t>
  </si>
  <si>
    <t>Calico Continuation High</t>
  </si>
  <si>
    <t>Yucaipa High</t>
  </si>
  <si>
    <t>Altus Schools Charter School of San Diego</t>
  </si>
  <si>
    <t>Bostonia Global</t>
  </si>
  <si>
    <t>Brookfield Engineering Science Technology Academy</t>
  </si>
  <si>
    <t>California Pacific Charter of San Diego</t>
  </si>
  <si>
    <t>City Heights Preparatory Charter</t>
  </si>
  <si>
    <t>Dimensions Collaborative</t>
  </si>
  <si>
    <t>Gompers Preparatory Academy</t>
  </si>
  <si>
    <t>Harbor Springs Charter</t>
  </si>
  <si>
    <t xml:space="preserve">High Tech High Mesa	</t>
  </si>
  <si>
    <t>High Tech High North County</t>
  </si>
  <si>
    <t>Literacy First Charter</t>
  </si>
  <si>
    <t>Pacific View Charter</t>
  </si>
  <si>
    <t>River Valley Charter</t>
  </si>
  <si>
    <t>San Diego Unified</t>
  </si>
  <si>
    <t>San Dieguito Union High</t>
  </si>
  <si>
    <t>San Marcos Unified</t>
  </si>
  <si>
    <t>Trivium Charter</t>
  </si>
  <si>
    <t>Del Lago Academy - Campus of Applied Science; Escondido High; Orange Glen High; San Pasqual High</t>
  </si>
  <si>
    <t>El Cajon Valley High; El Capitan High; Granite Hills High; Grossmont High; Grossmont Middle College High; IDEA Center; Monte Vista High; Mount Miguel High; Santana High; Valhalla High; West Hills High</t>
  </si>
  <si>
    <t>Mountain Empire High; Hillside Junior/Senior High; 	Sunrise High (Continuation)</t>
  </si>
  <si>
    <t>El Camino High; Oceanside High</t>
  </si>
  <si>
    <t>Del Norte High; Mt. Carmel High; New Directions; Poway High; Poway to Palomar Middle College High; Rancho Bernardo High; Westview High</t>
  </si>
  <si>
    <t>Ramona High</t>
  </si>
  <si>
    <t>Canyon Hills High; Clairemont High; Crawford High; East Village Middle College High; Garfield High; Henry High; Hoover High; Kearny College Connections; Kearny Eng Innov &amp; Design; Kearny Digital Media and Design; Kearny School of Biomedical Science and Technology; La Jolla High; Lincoln High; Logan Memorial Educational Campus; Madison High; Mira Mesa High; Mission Bay High; Morse High; Mt. Everest Academy; Point Loma High; San Diego High; San Diego Metro Career and Tech; San Diego SCPA; Scripps Ranch High; TRACE; Twain High; University City High</t>
  </si>
  <si>
    <t>Bonita Vista Senior High; Castle Park Senior High; Chula Vista Senior High; Eastlake High; Hilltop Senior High; Independent Studies; Launch Virtual Academy; Mar Vista Senior High; Montgomery Senior High; Olympian High; Options Secondary; Otay Ranch Senior High; San Ysidro High; Southwest Senior High; Sweetwater High</t>
  </si>
  <si>
    <t>Mission Vista High; Rancho Buena Vista High; Vista High</t>
  </si>
  <si>
    <t>Academy (The)- SF @McAteer; Asawa (Ruth) SF Sch of the Arts, A Public School	; Balboa High; Burton (Phillip and Sala) Academic High; Galileo High; Independence High; Jordan (June) School for Equity; Lincoln (Abraham) High; Lowell HighMarshall (Thurgood) High; Mission High; O'Connell (John) High; S.F. International High; Wallenberg (Raoul) Traditional High; Washington (George) High; Wells (Ida B.) High</t>
  </si>
  <si>
    <t>Total Schools: 18</t>
  </si>
  <si>
    <t>Aspire Benjamin Holt College Preparatory Academy</t>
  </si>
  <si>
    <t>Banta Unified</t>
  </si>
  <si>
    <t>Millennium High School</t>
  </si>
  <si>
    <t>Total Districts: 15</t>
  </si>
  <si>
    <t>River Islands High</t>
  </si>
  <si>
    <t>Mountain House High School</t>
  </si>
  <si>
    <t>Bear Creek High; Lodi High; Middle College High; Ronald E. McNair High; Tokay High</t>
  </si>
  <si>
    <t>Cesar Chavez High; Edison High; Franklin High; Health Careers Academy; Jane Frederick High; Merlo Environmental Institute; Pacific Law Academy; Stagg Senior High; Stockton Early College Academy; Stockton High; Weber Institute;</t>
  </si>
  <si>
    <t>Total Schools: 35</t>
  </si>
  <si>
    <t>Lucia Mar Unified</t>
  </si>
  <si>
    <t>Liberty High (Continuation); Paso Robles High</t>
  </si>
  <si>
    <t>San Mateo Union High School Distirct</t>
  </si>
  <si>
    <t>South San Francisco Unified</t>
  </si>
  <si>
    <t>Jefferson High; Oceana High; Terra Nova High; Thornton High; Westmoor High</t>
  </si>
  <si>
    <t>Adelante Charter</t>
  </si>
  <si>
    <t>Lompoc Unified</t>
  </si>
  <si>
    <t>Santa Maria Joint Union High</t>
  </si>
  <si>
    <t>Cabrillo High; Lompoc High</t>
  </si>
  <si>
    <t>Alta Vista; Dos Pueblos Senior High; La Cuesta Continuation High; San Marcos Senior High; Santa Barbara Senior High</t>
  </si>
  <si>
    <t>Delta High; Ernest Righetti High; Pioneer Valley High; Santa Maria High</t>
  </si>
  <si>
    <t>Total Schools: 15</t>
  </si>
  <si>
    <t>East Side Union High School District</t>
  </si>
  <si>
    <t>Morgan Hill Unified School District</t>
  </si>
  <si>
    <t>Boynton High; Branham High; Del Mar High; Leigh High; Prospect High; Westmont High</t>
  </si>
  <si>
    <t>Andrew P. Hill High; Apollo High; Calero High; Evergreen Valley High; Foothill High; Independence High; James Lick High; Mt. Pleasant High; Oak Grove High; Overfelt Adult; Pegasus High; Phoenix High; Piedmont Hills High; Santa Theresa High; Silver Creek High; William C. Overfelt High; Yerba Buena High</t>
  </si>
  <si>
    <t>Ann Sobrato High School, Live Oak High School</t>
  </si>
  <si>
    <t>Los Altos High; Mountain View High</t>
  </si>
  <si>
    <t>Henry M. Gunn High; Palo Alto High; Palo Alto Middle College High</t>
  </si>
  <si>
    <t>Abraham Lincoln High; Broadway High; Gunderson High; Leland High; Liberty Alternative; Pioneer High; San José High; Willow Glen High</t>
  </si>
  <si>
    <t>Adrian Wilcox High; Kathleen MacDonald High; Mission Early College High; New Valley Continuation High; Santa Clara High</t>
  </si>
  <si>
    <t>Aptos High; Diamond Technology Institute; Pajaro Valley High; Watsonville High</t>
  </si>
  <si>
    <t>San Lorenzo Valley High, SLVUSD Charter</t>
  </si>
  <si>
    <t>Total Schools: 12</t>
  </si>
  <si>
    <t>Enterprise High; Foothill High; Shasta High</t>
  </si>
  <si>
    <t>Vallejo City Unified</t>
  </si>
  <si>
    <t>Angelo Rodriguez High; Armijo High; Early College High; Fairfield High</t>
  </si>
  <si>
    <t>Buckingham Collegiate Charter Academy; Vacaville High; Will C. Wood High</t>
  </si>
  <si>
    <t>Orchard View</t>
  </si>
  <si>
    <t>Roseland Charter</t>
  </si>
  <si>
    <t>Credo High; Rancho Cotate High</t>
  </si>
  <si>
    <t>Denair Unified</t>
  </si>
  <si>
    <t>Riverbank Unified School District</t>
  </si>
  <si>
    <t>Central Valley High; Ceres High</t>
  </si>
  <si>
    <t>Denair High</t>
  </si>
  <si>
    <t>Fred C. Beyer High; Grace M. Davis High; James C. Enochs High; Joseph A. Gregori High;  Modesto High; Peter Johansen High; Thomas Downey High</t>
  </si>
  <si>
    <t>Sentinel High; Waterford High</t>
  </si>
  <si>
    <t>Albert Powell High School; River Valley High School; Yuba City High School; Yuba City Independence Academy</t>
  </si>
  <si>
    <t>Red Bluff Joint Union High</t>
  </si>
  <si>
    <t>Red Bluff High</t>
  </si>
  <si>
    <t>Trinity</t>
  </si>
  <si>
    <t>Mountain Valley Unified</t>
  </si>
  <si>
    <t>Trinity Alps Unified</t>
  </si>
  <si>
    <t>Trinity High</t>
  </si>
  <si>
    <t>Hayfork High</t>
  </si>
  <si>
    <t>Cutler-Orosi Joint Unified</t>
  </si>
  <si>
    <t>Eleanor Roosevelt Community Learning Center</t>
  </si>
  <si>
    <t>Farmersville Unified</t>
  </si>
  <si>
    <t>Total Districts: 13</t>
  </si>
  <si>
    <t>Cutler High</t>
  </si>
  <si>
    <t>Farmersville High</t>
  </si>
  <si>
    <t>MIssion Oak High School; Tulare Union High; Tulare Western High</t>
  </si>
  <si>
    <t>El Diamante High; Golden West High; Mt. Whitney High; Redwood High; Sequoia High; Visalia Charter Independent Study; Visalia Technical Early College</t>
  </si>
  <si>
    <t>Total Schools: 27</t>
  </si>
  <si>
    <t xml:space="preserve">Connections Visual and Performing Arts Academy; Summerville High </t>
  </si>
  <si>
    <t>Moorpark Unified</t>
  </si>
  <si>
    <t>Oak Park Independent</t>
  </si>
  <si>
    <t>Oxnard Union High School District</t>
  </si>
  <si>
    <t>Vista Real Charter High</t>
  </si>
  <si>
    <t>Century Academy; Newbury Park High; Thousand Oaks High; Westlake High</t>
  </si>
  <si>
    <t>Buena High; El Camino High; Foothill Technology High; Pacific High; Ventura High</t>
  </si>
  <si>
    <t>Total Schools: 28</t>
  </si>
  <si>
    <t>Esparto Unified</t>
  </si>
  <si>
    <t>Winters Joint Unified School District</t>
  </si>
  <si>
    <t>Davis Senior High; Da Vinci Charter Academy; Davis School for Independent Study</t>
  </si>
  <si>
    <t>River City High; Washington Middle College High</t>
  </si>
  <si>
    <t>Esparto High</t>
  </si>
  <si>
    <t>Cache Creek High (Continuation); Pioneer High; Woodland Senior High</t>
  </si>
  <si>
    <t>Total Schools: 10</t>
  </si>
  <si>
    <t>CORE Charter</t>
  </si>
  <si>
    <t>Lincoln (Abraham) (Alternative); Lindhurst High; Marysville Charter Academy for the Arts; Marysville High</t>
  </si>
  <si>
    <t>Grand Total: 55</t>
  </si>
  <si>
    <t>Total Schools: 48</t>
  </si>
  <si>
    <t>Clovis Unified</t>
  </si>
  <si>
    <t>Willows Unified</t>
  </si>
  <si>
    <t>Arvin High; Bakersfield High; Centennial High; Del Oro High; East Bakersfield High; Foothill High; Frontier High; Golden Valley High; Highland High; Independence High; Kern Valley High; Liberty High; Mira Monte High; North High; Ridgeview High; Shafter High School</t>
  </si>
  <si>
    <t>Middletown Unified</t>
  </si>
  <si>
    <t>Animo Charter Schools</t>
  </si>
  <si>
    <t>Alliance Charter Schools</t>
  </si>
  <si>
    <t>Ednovate Charter Schools</t>
  </si>
  <si>
    <t>Pasadena Unified</t>
  </si>
  <si>
    <t>Total Districts: 97</t>
  </si>
  <si>
    <t>Abraham Lincoln Senior High Science/Tech/Math Magnet</t>
  </si>
  <si>
    <t>Abraham Lincoln Senior High Sports Careers Magnet</t>
  </si>
  <si>
    <t>Alexander Hamilton Senior High</t>
  </si>
  <si>
    <t>Alexander Hamilton Senior High Humanities Magnet</t>
  </si>
  <si>
    <t>Alexander Hamilton Senior High Music &amp; Performing Arts Mag</t>
  </si>
  <si>
    <t>Arleta Senior High</t>
  </si>
  <si>
    <t>Augustus Hawkins Senior High</t>
  </si>
  <si>
    <t>Augustus Hawkins Senior High Critical Design/Gaming Magnet</t>
  </si>
  <si>
    <t>Bell Senior High Gifted Science/Tech/Eng/Math Magnet</t>
  </si>
  <si>
    <t>Benjamin Franklin High School</t>
  </si>
  <si>
    <t>Benjamin Franklin High School Dual Language Academy Magnet</t>
  </si>
  <si>
    <t>Benjamin Franklin High School Science/Tech/Math Magnet</t>
  </si>
  <si>
    <t>Canoga Park Senior High</t>
  </si>
  <si>
    <t>Canoga Park Senior High Communication Arts/Media Magnet</t>
  </si>
  <si>
    <t>Canoga Park Senior High Eng &amp; Evn/Vet Science Magnet</t>
  </si>
  <si>
    <t>Carson Senior High - Academy of Education and Empowerment</t>
  </si>
  <si>
    <t>Carson Senior High - Academy of Medical Arts</t>
  </si>
  <si>
    <t>Carson Senior High Musical Ent/Digital Art Magnet</t>
  </si>
  <si>
    <t>Cesar E Chavez Learning Academy - Academy of Sci Exploration</t>
  </si>
  <si>
    <t>Cesar E Chavez Learning Academy - Arts/Theatre/Entertain Mag</t>
  </si>
  <si>
    <t>Cesar E Chavez Learning Academy - Social Jst Humanitas Acad</t>
  </si>
  <si>
    <t>Cesar E Chavez Learning Academy - Technology Preparatory Aca</t>
  </si>
  <si>
    <t>Chatsworth Charter High School</t>
  </si>
  <si>
    <t>Chatsworth Charter High School GSTEAM Magnet</t>
  </si>
  <si>
    <t>City of Angels Independent Studies</t>
  </si>
  <si>
    <t>Crenshaw Magnets: Science Tech Engineer Math &amp; Medicine</t>
  </si>
  <si>
    <t>Daniel Pearl Senior High Journalism &amp; Communications Magnet</t>
  </si>
  <si>
    <t>Diego Rivera Learning Complex Communication &amp; Technology</t>
  </si>
  <si>
    <t>Diego Rivera Learning Complex Performing Arts</t>
  </si>
  <si>
    <t>Diego Rivera Learning Complex Public Service Community</t>
  </si>
  <si>
    <t>Downtown Business Magnet</t>
  </si>
  <si>
    <t>Downtown Computer Sci/Digital Media Arts/Eng Magnet</t>
  </si>
  <si>
    <t>Dr Maya Angelou Community Senior High</t>
  </si>
  <si>
    <t>Dr Richard A Vladovic Harbor Teacher Preparation Academy</t>
  </si>
  <si>
    <t>Eagle Rock High School</t>
  </si>
  <si>
    <t>Eagle Rock High School Gifted Magnet</t>
  </si>
  <si>
    <t>Early College Academy - LA Trade Tech College</t>
  </si>
  <si>
    <t>East Valley Senior High</t>
  </si>
  <si>
    <t>East Valley SH Media/Technology Magnet</t>
  </si>
  <si>
    <t>Eastside Senior High at Hilda L Solis Learning Complex</t>
  </si>
  <si>
    <t>Eastside Senior High at Hilda L Solis Learning Complex STEM</t>
  </si>
  <si>
    <t>Edward R Roybal LC Film/Television Magnet</t>
  </si>
  <si>
    <t>Edward R Roybal Learning Center</t>
  </si>
  <si>
    <t>Esteban Torres High School - East Los Angeles Performing Arts Magnet</t>
  </si>
  <si>
    <t>Esteban Torres High School - East Los Angeles Renaissance Academy</t>
  </si>
  <si>
    <t>Esteban Torres High School - Engineer &amp; Technology Academy</t>
  </si>
  <si>
    <t>Esteban Torres High School - Humanitas Academy of Art &amp; Technology</t>
  </si>
  <si>
    <t>Esteban Torres High School - Social Justice Leadership Acad Magnet</t>
  </si>
  <si>
    <t>Evergreen Continuation High</t>
  </si>
  <si>
    <t>Fairfax Senior High Police Academy Magnet</t>
  </si>
  <si>
    <t>Fairfax Senior High Visual Arts Magnet</t>
  </si>
  <si>
    <t>Felicitas And Gonzalo Mendez Senior High</t>
  </si>
  <si>
    <t>Gardena Senior High Engineering/Robotics Magnet</t>
  </si>
  <si>
    <t>Gardena Senior High Global Business Magnet</t>
  </si>
  <si>
    <t>George Washington Preparatory Senior High STEAM Magnet</t>
  </si>
  <si>
    <t>Girls Academic Leadership, Dr Michelle King School for STEM</t>
  </si>
  <si>
    <t>Grover Cleveland Charter High School GMS Magnet</t>
  </si>
  <si>
    <t>Grover Cleveland Charter High School Humanities Magnet</t>
  </si>
  <si>
    <t>Harold McAlister High (Opportunity)</t>
  </si>
  <si>
    <t>Harris Newmark Continuation</t>
  </si>
  <si>
    <t>Helen Bernstein Senior High Cine Arts/Creative Tech Magnet</t>
  </si>
  <si>
    <t>Helen Bernstein Senior High Science Tech Engineering Math</t>
  </si>
  <si>
    <t>Hollywood Senior High New Media Magnet</t>
  </si>
  <si>
    <t>Hollywood Senior High Performing Arts Magnet</t>
  </si>
  <si>
    <t>Huntington Park Senior High STEAM Magnet</t>
  </si>
  <si>
    <t>Independence Continuation</t>
  </si>
  <si>
    <t>International Studies Learning Center at Legacy High School Complex</t>
  </si>
  <si>
    <t>Jack London Continuation</t>
  </si>
  <si>
    <t>James A. Garfield Senior High</t>
  </si>
  <si>
    <t>James A Garfield Senior High Computer Science Magnet</t>
  </si>
  <si>
    <t>James Monroe Senior High Firefighter/EMS Magnet</t>
  </si>
  <si>
    <t>James Monroe Senior High Law/Government Magnet</t>
  </si>
  <si>
    <t>James Monroe Senior High Police Academy Magnet</t>
  </si>
  <si>
    <t>John C Fremont Senior High STEAM Magnet</t>
  </si>
  <si>
    <t>John F Kennedy Senior High Archtctre/Dgtl Dsgn/Filmmakng Mag</t>
  </si>
  <si>
    <t>John F Kennedy Senior High Gifted Medical Magnet</t>
  </si>
  <si>
    <t>John F Kennedy Senior High Global Lead/Env Action Magnet</t>
  </si>
  <si>
    <t>John H. Francis Polytechnic</t>
  </si>
  <si>
    <t>John H Francis Polytechnic SH Sci/Tech/Math Magnet</t>
  </si>
  <si>
    <t>John Marshall Senior High Gifted Magnet</t>
  </si>
  <si>
    <t>Legacy Senior High Sci Tech Engineering Arts Math</t>
  </si>
  <si>
    <t>Legacy Senior High Visual and Performing Arts</t>
  </si>
  <si>
    <t>Linda Esperanza Marquez Senior High Libra Academy</t>
  </si>
  <si>
    <t>Linda Esperanza Marquez Senior High Social Justice</t>
  </si>
  <si>
    <t>Los Angeles Senior High STEAM Magnet</t>
  </si>
  <si>
    <t>Manual Arts Senior High Visual &amp; Perf Arts Magnet</t>
  </si>
  <si>
    <t>Maywood Academy Senior High</t>
  </si>
  <si>
    <t>Maywood Center for Enriched Studies (MaCES) Magnet</t>
  </si>
  <si>
    <t>Mervyn M Dymally Senior High</t>
  </si>
  <si>
    <t>Mervyn M Dymally SH Biomed Science/Research Magnet</t>
  </si>
  <si>
    <t>Middle College High School</t>
  </si>
  <si>
    <t>Miguel Contreras Learning Complex - Acdemic Ldrshp Community</t>
  </si>
  <si>
    <t>Miguel Contreras Learning Complex - Business and Tourism</t>
  </si>
  <si>
    <t>Miguel Contreras Learning Complex - LA Sch of Global Studies</t>
  </si>
  <si>
    <t>Miguel Contreras Learning Complex - School of Social Justice</t>
  </si>
  <si>
    <t>Narbonne SH-Humanities &amp; Arts (HARTS) Academy of Los Angeles</t>
  </si>
  <si>
    <t>Nathaniel Narbonne Senior High Bus/Entrep/Tech Magnet</t>
  </si>
  <si>
    <t>Nathaniel Narbonne Senior High STEAM Magnet</t>
  </si>
  <si>
    <t>North Hollywood Senior High Highly Gifted Magnet</t>
  </si>
  <si>
    <t>North Hollywood Senior High LA Zoo/Biological Science Magnet</t>
  </si>
  <si>
    <t>North Hollywood Senior High STEM Magnet</t>
  </si>
  <si>
    <t>Panorama Senior High Gifted STEAM Magnet</t>
  </si>
  <si>
    <t>Panorama Senior High Social Justice/Lead Magnet</t>
  </si>
  <si>
    <t>Panorama Senior High Sports Med/Info Tech Magnet</t>
  </si>
  <si>
    <t>Phineas Banning Senior High College Preparatory Magnet</t>
  </si>
  <si>
    <t>Phineas Banning Senior High Firefighter/EMS Magnet</t>
  </si>
  <si>
    <t>Phineas Banning Senior High Police Academy Magnet</t>
  </si>
  <si>
    <t>Phineas Banning Senior High STEAM Magnet</t>
  </si>
  <si>
    <t>Ramon C Cortines School of Visual &amp; Performing Arts</t>
  </si>
  <si>
    <t>Rancho Dominguez Preparatory School</t>
  </si>
  <si>
    <t>Rancho Dominguez Preparatory School Law/Gov/Pub Serv Magnet</t>
  </si>
  <si>
    <t>Reseda Charter High School Arts/Media/Ent Magnet</t>
  </si>
  <si>
    <t>Reseda Charter High School Police Academy Magnet</t>
  </si>
  <si>
    <t>Reseda Charter High School Science Magnet</t>
  </si>
  <si>
    <t>RFK Comm Schls - Ambassador School - Global Leadership</t>
  </si>
  <si>
    <t>RFK Comm Schls - Los Angeles High School of the Arts</t>
  </si>
  <si>
    <t>RFK Comm Schls - New Open World Academy K-12</t>
  </si>
  <si>
    <t>RFK Comm Schls - School for Visual Arts and Humanities</t>
  </si>
  <si>
    <t>RFK Comm Schls - UCLA Community School K-12</t>
  </si>
  <si>
    <t>Robert Fulton College Prep Communication Arts/Music Magnet</t>
  </si>
  <si>
    <t>Roosevelt Senior High Science/Tech/Math Magnet</t>
  </si>
  <si>
    <t>Samuel Gompers MS University Pathways Medical Magnet Academy</t>
  </si>
  <si>
    <t>San Fernando Senior High Science/Tech/Math Magnet</t>
  </si>
  <si>
    <t>San Pedro Senior High Gifted STEAM Magnet</t>
  </si>
  <si>
    <t>San Pedro Senior High Marine Science/Tech/Math Magnet</t>
  </si>
  <si>
    <t>San Pedro Senior High Police Academy Magnet</t>
  </si>
  <si>
    <t>San Pedro Senior High Visual/Perf Arts Magnet</t>
  </si>
  <si>
    <t>Sherman Oaks Center for Enriched Studies (SOCES) Magnet</t>
  </si>
  <si>
    <t>Sonia Sotomayor Arts and Sciences Magnet</t>
  </si>
  <si>
    <t>South East Senior High</t>
  </si>
  <si>
    <t>South East Senior High STEAM Magnet</t>
  </si>
  <si>
    <t>South Gate Senior High Pub Service/Biomed Magnet</t>
  </si>
  <si>
    <t>Sun Valley Magnet: Biomed Science Engineering &amp; Leadership</t>
  </si>
  <si>
    <t>Susan Miller Dorsey Senior High Sports Medicine/Law Magnet</t>
  </si>
  <si>
    <t>Susan Miller Dorsey Senior High STEAM Magnet</t>
  </si>
  <si>
    <t>Sylmar Academy Biotech Health/Eng Magnet</t>
  </si>
  <si>
    <t>Sylmar Charter High School</t>
  </si>
  <si>
    <t>Sylmar Charter High School Sci/Tech/Math Magnet</t>
  </si>
  <si>
    <t>The Science Academy STEM Magnet</t>
  </si>
  <si>
    <t>Theodore Roosevelt Senior High Law/Public Services Magnet</t>
  </si>
  <si>
    <t>Ulysses S Grant Senior High</t>
  </si>
  <si>
    <t>Ulysses S Grant Senior High College Prep/Digital Arts Magnet</t>
  </si>
  <si>
    <t>Ulysses S Grant Senior High Hum for Interdis Studies Magnet</t>
  </si>
  <si>
    <t>University Charter High School Math/Art/Sci/Tech Magnet</t>
  </si>
  <si>
    <t>Valley Oaks Center for Enriched Studies (VOCES) Magnet</t>
  </si>
  <si>
    <t>Van Nuys Senior High Medical Magnet</t>
  </si>
  <si>
    <t>Van Nuys Senior High Performing Arts Magnet</t>
  </si>
  <si>
    <t>Van Nuys Senior High Science/Tech/Math Magnet</t>
  </si>
  <si>
    <t>Venice Senior High Science Tech Engineering Medical Math Mag</t>
  </si>
  <si>
    <t>Venice Senior High World Languages/Global Studies Magnet</t>
  </si>
  <si>
    <t>Verdugo Hills SH Science/Tech/Eng/Math/Multimedia Magnet</t>
  </si>
  <si>
    <t>Verdugo Hills SH Visual and Performing Arts Magnet</t>
  </si>
  <si>
    <t>Virtual Academy Arts &amp; Entertainment</t>
  </si>
  <si>
    <t>Virtual Academy Bus &amp; Entrepreneurship</t>
  </si>
  <si>
    <t>Virtual Academy Computer Science</t>
  </si>
  <si>
    <t>Virtual Academy Int Studies &amp; World Lang</t>
  </si>
  <si>
    <t>Virtual Academy Leadership &amp; Pub Service</t>
  </si>
  <si>
    <t>West Adams Prep Senior High Global Cuisine/Hosp. Magnet</t>
  </si>
  <si>
    <t>West Adams Prep Senior High Police Academy Magnet</t>
  </si>
  <si>
    <t>West Adams Preparatory Senior High</t>
  </si>
  <si>
    <t>Westchester Enriched Sciences Magnets- Gifted STEAM Magnet</t>
  </si>
  <si>
    <t>Westchester Enriched Sciences Magnets-Envrnmntl Ntrl Sci Eng</t>
  </si>
  <si>
    <t>Whitman Continuation High</t>
  </si>
  <si>
    <t>Will Rogers Continuation High</t>
  </si>
  <si>
    <t>William Howard Taft Charter High School</t>
  </si>
  <si>
    <t>William Howard Taft Charter High School Gifted STEAM Magnet</t>
  </si>
  <si>
    <t>Woodrow Wilson Senior High Administrative Law Magnet</t>
  </si>
  <si>
    <t>Woodrow Wilson Senior High Firefighter/EMS Magnet</t>
  </si>
  <si>
    <t>Woodrow Wilson Senior High Police Academy Magnet</t>
  </si>
  <si>
    <t>Zane Grey Continuation High</t>
  </si>
  <si>
    <t>John F Kennedy Senior High</t>
  </si>
  <si>
    <t>Total Schools: 429</t>
  </si>
  <si>
    <t>Fullerton Joint Union High</t>
  </si>
  <si>
    <t>Buena Park High; Fullerton Union High; La Habra High; Sonora High; Sunny Hills High; Troy High</t>
  </si>
  <si>
    <t>Total Districts: 24</t>
  </si>
  <si>
    <t>Total Schools: 98</t>
  </si>
  <si>
    <t>Pivot Charter School North Bay; Pivot Charter School Riverside; Pivot Charter School San Diego</t>
  </si>
  <si>
    <t>Canyon Springs High; Moreno Valley High; Valley View High; Vista del Lago High</t>
  </si>
  <si>
    <t>Total Schools: 82</t>
  </si>
  <si>
    <t>Mojave River Academy - Route 66</t>
  </si>
  <si>
    <t>Total Districts: 35</t>
  </si>
  <si>
    <t>Total Schools: 80</t>
  </si>
  <si>
    <t>Milpitas High; Milpitas Middle College High</t>
  </si>
  <si>
    <t>Total Districts: 18</t>
  </si>
  <si>
    <t>Sonoma Valley Unified</t>
  </si>
  <si>
    <t>Total Schools: 16</t>
  </si>
  <si>
    <t>Dinuba Joint Union High</t>
  </si>
  <si>
    <t>Tulare Joint Union High</t>
  </si>
  <si>
    <t>Simi Valley Unified</t>
  </si>
  <si>
    <t>Monte Vista; Royal High; Santa Susana High; Simi Valley High</t>
  </si>
  <si>
    <t>John Adams Academy - El Dorado Hills</t>
  </si>
  <si>
    <t>Environmental Charter High - Gardena</t>
  </si>
  <si>
    <t>Magnolia Science Academy</t>
  </si>
  <si>
    <t>Options For Youth - Duarte, Inc</t>
  </si>
  <si>
    <t>John Adams Academy - Lincoln</t>
  </si>
  <si>
    <t>John Adams Academy - Roseville</t>
  </si>
  <si>
    <t>Pivot Charter Schools</t>
  </si>
  <si>
    <t>Los Molinos Unified</t>
  </si>
  <si>
    <t>Los Molinos High School</t>
  </si>
  <si>
    <t>Elite Academic Academy - Mountain Empire</t>
  </si>
  <si>
    <t>Total Districts: 46</t>
  </si>
  <si>
    <t>Total Schools: 117</t>
  </si>
  <si>
    <t>Total Seals per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</si>
</sst>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E1F2"/>
        <bgColor rgb="FFD9E1F2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slantDashDot">
        <color rgb="FF00206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7" fillId="0" borderId="0" applyNumberFormat="0" applyFill="0" applyAlignment="0" applyProtection="0"/>
    <xf numFmtId="0" fontId="16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3" applyNumberFormat="0" applyAlignment="0" applyProtection="0"/>
    <xf numFmtId="0" fontId="8" fillId="6" borderId="4" applyNumberFormat="0" applyAlignment="0" applyProtection="0"/>
    <xf numFmtId="0" fontId="9" fillId="6" borderId="3" applyNumberFormat="0" applyAlignment="0" applyProtection="0"/>
    <xf numFmtId="0" fontId="10" fillId="0" borderId="5" applyNumberFormat="0" applyFill="0" applyAlignment="0" applyProtection="0"/>
    <xf numFmtId="0" fontId="11" fillId="7" borderId="6" applyNumberFormat="0" applyAlignment="0" applyProtection="0"/>
    <xf numFmtId="0" fontId="12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</cellStyleXfs>
  <cellXfs count="31">
    <xf numFmtId="0" fontId="0" fillId="0" borderId="0" xfId="0"/>
    <xf numFmtId="0" fontId="17" fillId="0" borderId="0" xfId="2"/>
    <xf numFmtId="0" fontId="0" fillId="0" borderId="0" xfId="0" applyAlignment="1">
      <alignment vertical="center" wrapText="1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8" fillId="0" borderId="0" xfId="0" applyFont="1" applyAlignment="1">
      <alignment wrapText="1"/>
    </xf>
    <xf numFmtId="3" fontId="0" fillId="0" borderId="0" xfId="0" applyNumberFormat="1" applyAlignment="1">
      <alignment vertical="center" wrapText="1"/>
    </xf>
    <xf numFmtId="0" fontId="16" fillId="0" borderId="0" xfId="2" applyFont="1" applyFill="1" applyAlignment="1">
      <alignment wrapText="1"/>
    </xf>
    <xf numFmtId="0" fontId="0" fillId="0" borderId="0" xfId="0" applyAlignment="1">
      <alignment horizontal="left" indent="1"/>
    </xf>
    <xf numFmtId="49" fontId="0" fillId="0" borderId="0" xfId="0" applyNumberFormat="1"/>
    <xf numFmtId="0" fontId="0" fillId="0" borderId="0" xfId="0" applyAlignment="1">
      <alignment horizontal="left" wrapText="1" inden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3" fontId="0" fillId="0" borderId="0" xfId="0" applyNumberFormat="1" applyAlignment="1">
      <alignment wrapText="1"/>
    </xf>
    <xf numFmtId="3" fontId="0" fillId="0" borderId="0" xfId="0" applyNumberFormat="1" applyAlignment="1">
      <alignment horizontal="right"/>
    </xf>
    <xf numFmtId="0" fontId="20" fillId="33" borderId="0" xfId="0" applyFont="1" applyFill="1" applyAlignment="1">
      <alignment horizontal="left" indent="1"/>
    </xf>
    <xf numFmtId="0" fontId="20" fillId="33" borderId="0" xfId="0" applyFont="1" applyFill="1" applyAlignment="1">
      <alignment wrapText="1"/>
    </xf>
    <xf numFmtId="0" fontId="20" fillId="33" borderId="0" xfId="0" applyFont="1" applyFill="1"/>
    <xf numFmtId="0" fontId="15" fillId="34" borderId="0" xfId="0" applyFont="1" applyFill="1"/>
    <xf numFmtId="3" fontId="15" fillId="34" borderId="9" xfId="0" applyNumberFormat="1" applyFont="1" applyFill="1" applyBorder="1"/>
    <xf numFmtId="0" fontId="16" fillId="0" borderId="0" xfId="3" applyBorder="1" applyAlignment="1">
      <alignment horizontal="left" wrapText="1"/>
    </xf>
    <xf numFmtId="0" fontId="16" fillId="0" borderId="0" xfId="3" applyBorder="1" applyAlignment="1">
      <alignment wrapText="1"/>
    </xf>
    <xf numFmtId="0" fontId="16" fillId="0" borderId="0" xfId="3" applyFill="1" applyBorder="1" applyAlignment="1">
      <alignment wrapText="1"/>
    </xf>
    <xf numFmtId="0" fontId="16" fillId="0" borderId="0" xfId="3" applyBorder="1"/>
    <xf numFmtId="0" fontId="16" fillId="0" borderId="0" xfId="3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5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0" formatCode="General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fill>
        <patternFill patternType="none">
          <fgColor indexed="64"/>
          <bgColor auto="1"/>
        </patternFill>
      </fill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solid">
          <fgColor indexed="64"/>
          <bgColor rgb="FFFFC000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0" formatCode="General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numFmt numFmtId="3" formatCode="#,##0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0" formatCode="General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numFmt numFmtId="3" formatCode="#,##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</dxf>
    <dxf>
      <numFmt numFmtId="0" formatCode="General"/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numFmt numFmtId="3" formatCode="#,##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left" vertical="bottom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general" vertical="bottom" textRotation="0" wrapText="1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1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" formatCode="#,##0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numFmt numFmtId="3" formatCode="#,##0"/>
      <fill>
        <patternFill patternType="solid">
          <fgColor indexed="64"/>
          <bgColor theme="1"/>
        </patternFill>
      </fill>
      <border diagonalUp="0" diagonalDown="0" outline="0">
        <left style="slantDashDot">
          <color rgb="FF002060"/>
        </left>
        <right/>
        <top/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</dxf>
    <dxf>
      <alignment horizontal="general" vertical="center" textRotation="0" indent="0" justifyLastLine="0" shrinkToFit="0" readingOrder="0"/>
    </dxf>
  </dxfs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5C594E87-15EC-4EF1-AE6D-6B96C70A4086}" name="Table3043" displayName="Table3043" ref="A4:AA60" totalsRowCount="1" headerRowDxfId="2544" totalsRowDxfId="2543">
  <autoFilter ref="A4:AA59" xr:uid="{00000000-0009-0000-0100-000003000000}"/>
  <tableColumns count="27">
    <tableColumn id="1" xr3:uid="{ACBFF693-740D-4C8C-893E-DA84BCCA6FDC}" name="Participating Counties" totalsRowLabel="Grand Total: 55" totalsRowDxfId="2542"/>
    <tableColumn id="14" xr3:uid="{34C8B25E-C959-4C0C-BF8B-0E0286B28F88}" name="Participating Districts Total" totalsRowFunction="custom" dataDxfId="2541" totalsRowDxfId="2540">
      <totalsRowFormula>SUM(B5:B59)</totalsRowFormula>
    </tableColumn>
    <tableColumn id="2" xr3:uid="{DC30CC23-70D1-4B53-A136-EEFB0940CB00}" name="Participating Schools Total" totalsRowFunction="custom" dataDxfId="2539" totalsRowDxfId="2538">
      <totalsRowFormula>SUM(C5:C59)</totalsRowFormula>
    </tableColumn>
    <tableColumn id="3" xr3:uid="{1215A1E8-1D74-457F-86E5-037AD7C67F45}" name="American Sign Language Total" totalsRowFunction="custom" dataDxfId="2537" totalsRowDxfId="2536">
      <totalsRowFormula>SUM(D5:D59)</totalsRowFormula>
    </tableColumn>
    <tableColumn id="16" xr3:uid="{A04EC3C6-378F-46F9-800E-1BB87F0BFD86}" name="Arabic Total" totalsRowFunction="custom" dataDxfId="2535" totalsRowDxfId="2534">
      <totalsRowFormula>SUM(E5:E59)</totalsRowFormula>
    </tableColumn>
    <tableColumn id="4" xr3:uid="{39403E78-4D8F-4370-AADB-4EDFD67F90AD}" name="Armenian Total" totalsRowFunction="custom" dataDxfId="2533" totalsRowDxfId="2532">
      <totalsRowFormula>SUM(F5:F59)</totalsRowFormula>
    </tableColumn>
    <tableColumn id="25" xr3:uid="{157DC12E-67C5-44C7-80E5-CC969D6D555F}" name="Bengali Total" totalsRowFunction="custom" dataDxfId="2531" totalsRowDxfId="2530">
      <totalsRowFormula>SUM(G5:G59)</totalsRowFormula>
    </tableColumn>
    <tableColumn id="20" xr3:uid="{2CDCFDDC-6135-4C12-AA25-82BD6CB922B0}" name="Chinese (Mandarin or Cantonese) Total" totalsRowFunction="custom" dataDxfId="2529" totalsRowDxfId="2528">
      <totalsRowFormula>SUM(H5:H59)</totalsRowFormula>
    </tableColumn>
    <tableColumn id="26" xr3:uid="{CB9A2D42-55A2-4A94-BB2E-7AD682B588B2}" name="Farsi (Persian) Total" totalsRowFunction="custom" dataDxfId="2527" totalsRowDxfId="2526">
      <totalsRowFormula>SUM(I5:I59)</totalsRowFormula>
    </tableColumn>
    <tableColumn id="5" xr3:uid="{D6CA6532-9E63-4F17-94F2-035C7658DCA5}" name="French Total" totalsRowFunction="custom" dataDxfId="2525" totalsRowDxfId="2524">
      <totalsRowFormula>SUM(J5:J59)</totalsRowFormula>
    </tableColumn>
    <tableColumn id="6" xr3:uid="{7CC74F2C-FC44-402F-8ABF-3299602BCD6A}" name="German Total" totalsRowFunction="custom" dataDxfId="2523" totalsRowDxfId="2522">
      <totalsRowFormula>SUM(K5:K59)</totalsRowFormula>
    </tableColumn>
    <tableColumn id="21" xr3:uid="{BC6B6339-A646-4BBE-8874-609E6B35866E}" name="Hebrew Total" totalsRowFunction="custom" dataDxfId="2521" totalsRowDxfId="2520">
      <totalsRowFormula>SUM(L5:L59)</totalsRowFormula>
    </tableColumn>
    <tableColumn id="27" xr3:uid="{D04C5FC7-344E-4FBC-A4DC-EB37C277B487}" name="Hindi Total" totalsRowFunction="custom" dataDxfId="2519" totalsRowDxfId="2518">
      <totalsRowFormula>SUM(M5:M59)</totalsRowFormula>
    </tableColumn>
    <tableColumn id="19" xr3:uid="{8DBF9C21-173F-468D-B517-24FEDC98BBF4}" name="Hmong Total" totalsRowFunction="custom" dataDxfId="2517" totalsRowDxfId="2516">
      <totalsRowFormula>SUM(N5:N59)</totalsRowFormula>
    </tableColumn>
    <tableColumn id="17" xr3:uid="{D9680CA8-278F-4995-9C77-7C79C2C7CC5B}" name="Italian Total" totalsRowFunction="custom" dataDxfId="2515" totalsRowDxfId="2514">
      <totalsRowFormula>SUM(O5:O59)</totalsRowFormula>
    </tableColumn>
    <tableColumn id="7" xr3:uid="{FA392F67-B1FA-4D0A-A8CB-0ED08ADB6E99}" name=" Japanese Total" totalsRowFunction="custom" dataDxfId="2513" totalsRowDxfId="2512">
      <totalsRowFormula>SUM(P5:P59)</totalsRowFormula>
    </tableColumn>
    <tableColumn id="8" xr3:uid="{D14E4E7D-2324-45C1-BBB4-4473F01106A8}" name="Korean Total" totalsRowFunction="custom" dataDxfId="2511" totalsRowDxfId="2510">
      <totalsRowFormula>SUM(Q5:Q59)</totalsRowFormula>
    </tableColumn>
    <tableColumn id="9" xr3:uid="{7C5F7216-4B66-4E7B-8795-D3490E1C1029}" name="Latin Total" totalsRowFunction="custom" dataDxfId="2509" totalsRowDxfId="2508">
      <totalsRowFormula>SUM(R5:R59)</totalsRowFormula>
    </tableColumn>
    <tableColumn id="10" xr3:uid="{614FBEB9-AF63-4ADD-80FD-A54E35604BD2}" name="Portuguese Total" totalsRowFunction="custom" dataDxfId="2507" totalsRowDxfId="2506">
      <totalsRowFormula>SUM(S5:S59)</totalsRowFormula>
    </tableColumn>
    <tableColumn id="28" xr3:uid="{59157D28-A5E2-45F0-99C3-545F87985DB0}" name="Punjabi Total" totalsRowFunction="custom" dataDxfId="2505" totalsRowDxfId="2504">
      <totalsRowFormula>SUM(T5:T59)</totalsRowFormula>
    </tableColumn>
    <tableColumn id="22" xr3:uid="{93C5F127-2FEE-4131-A1E5-9F8F1F03C396}" name="Russian Total" totalsRowFunction="custom" dataDxfId="2503" totalsRowDxfId="2502">
      <totalsRowFormula>SUM(U5:U59)</totalsRowFormula>
    </tableColumn>
    <tableColumn id="11" xr3:uid="{69E745C0-5843-433A-AFEB-0CAAFD9F230D}" name="Spanish Total" totalsRowFunction="custom" dataDxfId="2501" totalsRowDxfId="2500">
      <totalsRowFormula>SUM(V5:V59)</totalsRowFormula>
    </tableColumn>
    <tableColumn id="18" xr3:uid="{CAED86CC-14D2-446E-ABF0-4CCFFF6EAD35}" name="Tagalog (Filipino) Total" totalsRowFunction="custom" dataDxfId="2499" totalsRowDxfId="2498">
      <totalsRowFormula>SUM(W5:W59)</totalsRowFormula>
    </tableColumn>
    <tableColumn id="29" xr3:uid="{0D641531-5684-4F4B-A245-19ED0EA0B159}" name="Urdu Total" totalsRowFunction="custom" dataDxfId="2497" totalsRowDxfId="2496">
      <totalsRowFormula>SUM(X5:X59)</totalsRowFormula>
    </tableColumn>
    <tableColumn id="12" xr3:uid="{197EF0CD-F6E9-434E-8BF1-19632EF06D91}" name="Vietnamese Total" totalsRowFunction="custom" dataDxfId="2495" totalsRowDxfId="2494">
      <totalsRowFormula>SUM(Y5:Y59)</totalsRowFormula>
    </tableColumn>
    <tableColumn id="13" xr3:uid="{BA521A16-22D8-4283-B713-B6573F0291A0}" name="Other Total" totalsRowFunction="custom" dataDxfId="2493" totalsRowDxfId="2492">
      <totalsRowFormula>SUM(Z5:Z59)</totalsRowFormula>
    </tableColumn>
    <tableColumn id="23" xr3:uid="{7AA02BE9-A2F8-4A78-BEA1-BA048B6BFC6B}" name="Seal Total" totalsRowFunction="custom" dataDxfId="2491" totalsRowDxfId="2490">
      <calculatedColumnFormula>SUM(Table3043[[#This Row],[American Sign Language Total]:[Other Total]])</calculatedColumnFormula>
      <totalsRowFormula>SUM(AA5:AA59)</totalsRowFormula>
    </tableColumn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counties, districts, and schools that participated in the 2020-21 California State Seal of Biliteracy program and also includes language totals for every county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Z26" totalsRowCount="1" headerRowDxfId="2489" dataDxfId="2488">
  <autoFilter ref="A2:Z25" xr:uid="{00000000-0009-0000-0100-000002000000}"/>
  <sortState xmlns:xlrd2="http://schemas.microsoft.com/office/spreadsheetml/2017/richdata2" ref="A3:Z25">
    <sortCondition ref="A2:A25"/>
  </sortState>
  <tableColumns count="26">
    <tableColumn id="1" xr3:uid="{00000000-0010-0000-0100-000001000000}" name="Participating Districts" totalsRowLabel="Total Districts: 23" dataDxfId="2487" totalsRowDxfId="2486"/>
    <tableColumn id="2" xr3:uid="{00000000-0010-0000-0100-000002000000}" name="Participating Schools" totalsRowLabel="Total Schools: 48" dataDxfId="2485" totalsRowDxfId="2484"/>
    <tableColumn id="18" xr3:uid="{00000000-0010-0000-0100-000012000000}" name="American Sign Language Total" totalsRowFunction="sum" dataDxfId="2483" totalsRowDxfId="2482"/>
    <tableColumn id="3" xr3:uid="{00000000-0010-0000-0100-000003000000}" name="Arabic Total" totalsRowFunction="sum" dataDxfId="2481" totalsRowDxfId="2480"/>
    <tableColumn id="4" xr3:uid="{FE2F6E01-73F4-424C-8ACE-4A11F3162658}" name="Armenian Total" totalsRowFunction="sum" dataDxfId="2479" totalsRowDxfId="2478"/>
    <tableColumn id="22" xr3:uid="{68588E7F-EAC1-4BD0-89C2-DBEB76379895}" name="Bengali Total" totalsRowFunction="sum" dataDxfId="2477" totalsRowDxfId="2476"/>
    <tableColumn id="5" xr3:uid="{00000000-0010-0000-0100-000005000000}" name="Chinese (Mandarin or Cantonese) Total" totalsRowFunction="sum" dataDxfId="2475" totalsRowDxfId="2474"/>
    <tableColumn id="23" xr3:uid="{EC6BF2CA-0884-4BC9-B838-B5B7C4EAACF5}" name="Farsi (Persian) Total" totalsRowFunction="sum" dataDxfId="2473" totalsRowDxfId="2472"/>
    <tableColumn id="6" xr3:uid="{00000000-0010-0000-0100-000006000000}" name="French Total" totalsRowFunction="sum" dataDxfId="2471" totalsRowDxfId="2470"/>
    <tableColumn id="7" xr3:uid="{00000000-0010-0000-0100-000007000000}" name="German Total" totalsRowFunction="sum" dataDxfId="2469" totalsRowDxfId="2468"/>
    <tableColumn id="8" xr3:uid="{00000000-0010-0000-0100-000008000000}" name="Hebrew Total" totalsRowFunction="sum" dataDxfId="2467" totalsRowDxfId="2466"/>
    <tableColumn id="24" xr3:uid="{6D0987A4-A6BE-4FEE-ACC7-93A5B421239B}" name="Hindi Total" totalsRowFunction="sum" dataDxfId="2465" totalsRowDxfId="2464"/>
    <tableColumn id="9" xr3:uid="{00000000-0010-0000-0100-000009000000}" name="Hmong Total" totalsRowFunction="sum" dataDxfId="2463" totalsRowDxfId="2462"/>
    <tableColumn id="10" xr3:uid="{00000000-0010-0000-0100-00000A000000}" name="Italian Total" totalsRowFunction="sum" dataDxfId="2461" totalsRowDxfId="2460"/>
    <tableColumn id="11" xr3:uid="{00000000-0010-0000-0100-00000B000000}" name="Japanese Total" totalsRowFunction="sum" dataDxfId="2459" totalsRowDxfId="2458"/>
    <tableColumn id="12" xr3:uid="{00000000-0010-0000-0100-00000C000000}" name="Korean Total" totalsRowFunction="sum" dataDxfId="2457" totalsRowDxfId="2456"/>
    <tableColumn id="13" xr3:uid="{00000000-0010-0000-0100-00000D000000}" name="Latin Total" totalsRowFunction="sum" dataDxfId="2455" totalsRowDxfId="2454"/>
    <tableColumn id="19" xr3:uid="{3AB27456-C8A0-4F84-97A2-9B65B872BC68}" name="Portuguese Total" totalsRowFunction="sum" dataDxfId="2453" totalsRowDxfId="2452"/>
    <tableColumn id="25" xr3:uid="{98535F64-6044-44E7-925F-B8435E4EE05B}" name="Punjabi Total" totalsRowFunction="sum" dataDxfId="2451" totalsRowDxfId="2450"/>
    <tableColumn id="20" xr3:uid="{27F38954-6CB6-40B8-8B8E-B9B11311D980}" name="Russian Total" totalsRowFunction="sum" dataDxfId="2449" totalsRowDxfId="2448"/>
    <tableColumn id="14" xr3:uid="{00000000-0010-0000-0100-00000E000000}" name="Spanish Total" totalsRowFunction="sum" dataDxfId="2447" totalsRowDxfId="2446"/>
    <tableColumn id="15" xr3:uid="{00000000-0010-0000-0100-00000F000000}" name="Tagalog (Filipino) Total" totalsRowFunction="sum" dataDxfId="2445" totalsRowDxfId="2444"/>
    <tableColumn id="26" xr3:uid="{11ABA669-2E24-49AF-9D10-D44A62B16904}" name="Urdu Total" totalsRowFunction="sum" dataDxfId="2443" totalsRowDxfId="2442"/>
    <tableColumn id="16" xr3:uid="{00000000-0010-0000-0100-000010000000}" name="Vietnamese Total" totalsRowFunction="sum" dataDxfId="2441" totalsRowDxfId="2440"/>
    <tableColumn id="17" xr3:uid="{00000000-0010-0000-0100-000011000000}" name="Other Total" totalsRowFunction="sum" dataDxfId="2439" totalsRowDxfId="2438"/>
    <tableColumn id="21" xr3:uid="{E2CFAE4C-C294-4BD4-A235-4C30B9097555}" name="Total Seals per Local Educational Agency" totalsRowFunction="sum" dataDxfId="2437" totalsRowDxfId="2436">
      <calculatedColumnFormula>SUM(Table2[[#This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Alameda county and also includes language totals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Amador" displayName="Amador" ref="A2:Z4" totalsRowCount="1" headerRowDxfId="2435" dataDxfId="2434">
  <autoFilter ref="A2:Z3" xr:uid="{00000000-0009-0000-0100-000004000000}"/>
  <tableColumns count="26">
    <tableColumn id="1" xr3:uid="{00000000-0010-0000-0200-000001000000}" name="Participating District" totalsRowLabel="Total Districts: 1" dataDxfId="2433" totalsRowDxfId="2432"/>
    <tableColumn id="2" xr3:uid="{00000000-0010-0000-0200-000002000000}" name="Participating Schools" totalsRowLabel="Total Schools: 2" dataDxfId="2431" totalsRowDxfId="2430"/>
    <tableColumn id="3" xr3:uid="{00000000-0010-0000-0200-000003000000}" name="American Sign Language Total" totalsRowFunction="sum" dataDxfId="2429"/>
    <tableColumn id="4" xr3:uid="{00000000-0010-0000-0200-000004000000}" name="Arabic Total" totalsRowFunction="sum" dataDxfId="2428"/>
    <tableColumn id="5" xr3:uid="{00000000-0010-0000-0200-000005000000}" name="Armenian Total" totalsRowFunction="sum" dataDxfId="2427"/>
    <tableColumn id="23" xr3:uid="{DDC9312D-F2EF-4B77-A689-760C0CD9B9E5}" name="Bengali Total" totalsRowFunction="sum" dataDxfId="2426"/>
    <tableColumn id="18" xr3:uid="{2D76C348-7197-445E-9D71-FB981DACEBCB}" name="Chinese (Mandarin or Cantonese) Total" totalsRowFunction="sum" dataDxfId="2425"/>
    <tableColumn id="24" xr3:uid="{246295AD-46F5-4251-88A8-D2372F0B916B}" name="Farsi (Persian) Total" totalsRowFunction="sum" dataDxfId="2424"/>
    <tableColumn id="6" xr3:uid="{00000000-0010-0000-0200-000006000000}" name="French Total" totalsRowFunction="sum" dataDxfId="2423"/>
    <tableColumn id="7" xr3:uid="{00000000-0010-0000-0200-000007000000}" name="German Total" totalsRowFunction="sum" dataDxfId="2422"/>
    <tableColumn id="19" xr3:uid="{5660AF4B-FA2E-4C0D-9DA5-14682BF276C7}" name="Hebrew Total" totalsRowFunction="sum" dataDxfId="2421"/>
    <tableColumn id="28" xr3:uid="{68CD6444-24B2-4B3D-A8DC-680AE8254D97}" name="Hindi Total" totalsRowFunction="sum" dataDxfId="2420"/>
    <tableColumn id="8" xr3:uid="{00000000-0010-0000-0200-000008000000}" name="Hmong Total" totalsRowFunction="sum" dataDxfId="2419"/>
    <tableColumn id="9" xr3:uid="{00000000-0010-0000-0200-000009000000}" name="Italian Total" totalsRowFunction="sum" dataDxfId="2418"/>
    <tableColumn id="10" xr3:uid="{00000000-0010-0000-0200-00000A000000}" name="Japanese Total" totalsRowFunction="sum" dataDxfId="2417"/>
    <tableColumn id="11" xr3:uid="{00000000-0010-0000-0200-00000B000000}" name="Korean Total" totalsRowFunction="sum" dataDxfId="2416"/>
    <tableColumn id="12" xr3:uid="{00000000-0010-0000-0200-00000C000000}" name="Latin Total" totalsRowFunction="sum" dataDxfId="2415"/>
    <tableColumn id="13" xr3:uid="{00000000-0010-0000-0200-00000D000000}" name="Portuguese Total" totalsRowFunction="sum" dataDxfId="2414"/>
    <tableColumn id="26" xr3:uid="{1578CE5D-B05D-4D7B-B440-AB1927B12F51}" name="Punjabi Total" totalsRowFunction="sum" dataDxfId="2413"/>
    <tableColumn id="20" xr3:uid="{598C6059-684F-4560-A974-57BC45F309B5}" name="Russian Total" totalsRowFunction="sum" dataDxfId="2412"/>
    <tableColumn id="14" xr3:uid="{00000000-0010-0000-0200-00000E000000}" name="Spanish Total" totalsRowFunction="sum" dataDxfId="2411"/>
    <tableColumn id="15" xr3:uid="{00000000-0010-0000-0200-00000F000000}" name="Tagalog (Filipino) Total" totalsRowFunction="sum" dataDxfId="2410"/>
    <tableColumn id="27" xr3:uid="{770431CC-3729-4913-A02E-B851717741DF}" name="Urdu Total" totalsRowFunction="sum" dataDxfId="2409"/>
    <tableColumn id="16" xr3:uid="{00000000-0010-0000-0200-000010000000}" name="Vietnamese Total" totalsRowFunction="sum" dataDxfId="2408"/>
    <tableColumn id="17" xr3:uid="{00000000-0010-0000-0200-000011000000}" name="Other Total" totalsRowFunction="sum" dataDxfId="2407"/>
    <tableColumn id="21" xr3:uid="{44C6BE28-8183-43BD-AB9B-59F05515F435}" name="Total Seals per Local Educational Agency" totalsRowFunction="sum" dataDxfId="2406">
      <calculatedColumnFormula>SUM(Amador[[American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Amador county and also includes language totals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Butte" displayName="Butte" ref="A2:Z11" totalsRowCount="1" headerRowDxfId="2405">
  <autoFilter ref="A2:Z10" xr:uid="{00000000-0009-0000-0100-000005000000}"/>
  <sortState xmlns:xlrd2="http://schemas.microsoft.com/office/spreadsheetml/2017/richdata2" ref="A3:Z8">
    <sortCondition ref="A2:A8"/>
  </sortState>
  <tableColumns count="26">
    <tableColumn id="1" xr3:uid="{00000000-0010-0000-0300-000001000000}" name="Participating Districts" totalsRowLabel="Total Districts: 8" dataDxfId="2404" totalsRowDxfId="2403"/>
    <tableColumn id="2" xr3:uid="{00000000-0010-0000-0300-000002000000}" name="Participating Schools" totalsRowLabel="Total Schools: 11" dataDxfId="2402" totalsRowDxfId="2401"/>
    <tableColumn id="3" xr3:uid="{00000000-0010-0000-0300-000003000000}" name="American Sign Language Total" totalsRowFunction="sum" dataDxfId="2400"/>
    <tableColumn id="4" xr3:uid="{00000000-0010-0000-0300-000004000000}" name="Arabic Total" totalsRowFunction="sum" dataDxfId="2399"/>
    <tableColumn id="5" xr3:uid="{00000000-0010-0000-0300-000005000000}" name="Armenian Total" totalsRowFunction="sum" dataDxfId="2398"/>
    <tableColumn id="22" xr3:uid="{91ACFB92-61A5-4BD2-9424-2A2E8D2286FF}" name="Bengali Total" totalsRowFunction="sum" dataDxfId="2397"/>
    <tableColumn id="18" xr3:uid="{A1D6E862-391D-44BF-A6D8-078F476E721A}" name="Chinese (Mandarin or Cantonese) Total" totalsRowFunction="sum" dataDxfId="2396"/>
    <tableColumn id="23" xr3:uid="{3DBAF6C3-0164-413E-A831-1F899E2FC712}" name="Farsi (Persian) Total" totalsRowFunction="sum" dataDxfId="2395"/>
    <tableColumn id="6" xr3:uid="{00000000-0010-0000-0300-000006000000}" name="French Total" totalsRowFunction="sum" dataDxfId="2394"/>
    <tableColumn id="7" xr3:uid="{00000000-0010-0000-0300-000007000000}" name="German Total" totalsRowFunction="sum" dataDxfId="2393"/>
    <tableColumn id="19" xr3:uid="{DFAA0D3A-9D16-4D67-A0BB-01E4D14E20E0}" name="Hebrew Total" totalsRowFunction="sum" dataDxfId="2392"/>
    <tableColumn id="24" xr3:uid="{6D59F664-4A93-4B23-B5B7-F8B0838EB7A1}" name="Hindi Total" totalsRowFunction="sum" dataDxfId="2391"/>
    <tableColumn id="8" xr3:uid="{00000000-0010-0000-0300-000008000000}" name="Hmong Total" totalsRowFunction="sum" dataDxfId="2390"/>
    <tableColumn id="9" xr3:uid="{00000000-0010-0000-0300-000009000000}" name="Italian Total" totalsRowFunction="sum" dataDxfId="2389"/>
    <tableColumn id="10" xr3:uid="{00000000-0010-0000-0300-00000A000000}" name="Japanese Total" totalsRowFunction="sum" dataDxfId="2388"/>
    <tableColumn id="11" xr3:uid="{00000000-0010-0000-0300-00000B000000}" name="Korean Total" totalsRowFunction="sum" dataDxfId="2387"/>
    <tableColumn id="12" xr3:uid="{00000000-0010-0000-0300-00000C000000}" name="Latin Total" totalsRowFunction="sum" dataDxfId="2386"/>
    <tableColumn id="13" xr3:uid="{00000000-0010-0000-0300-00000D000000}" name="Portuguese Total" totalsRowFunction="sum" dataDxfId="2385"/>
    <tableColumn id="25" xr3:uid="{0C930DCE-7A8B-4609-9712-C9B295D888B3}" name="Punjabi Total" totalsRowFunction="sum" dataDxfId="2384"/>
    <tableColumn id="20" xr3:uid="{62F03FB2-DBBA-4418-A615-7D8A5CF03A74}" name="Russian Total" totalsRowFunction="sum" dataDxfId="2383"/>
    <tableColumn id="14" xr3:uid="{00000000-0010-0000-0300-00000E000000}" name="Spanish Total" totalsRowFunction="sum" dataDxfId="2382"/>
    <tableColumn id="15" xr3:uid="{00000000-0010-0000-0300-00000F000000}" name="Tagalog (Filipino) Total" totalsRowFunction="sum" dataDxfId="2381"/>
    <tableColumn id="26" xr3:uid="{37C8E67B-67D0-402B-9D0A-531ED2A7D7EE}" name="Urdu Total" totalsRowFunction="sum" dataDxfId="2380"/>
    <tableColumn id="16" xr3:uid="{00000000-0010-0000-0300-000010000000}" name="Vietnamese Total" totalsRowFunction="sum" dataDxfId="2379"/>
    <tableColumn id="17" xr3:uid="{00000000-0010-0000-0300-000011000000}" name="Other Total" totalsRowFunction="sum" dataDxfId="2378"/>
    <tableColumn id="21" xr3:uid="{0EE88F65-5D97-46C9-91E5-D8BFB3F7A54D}" name="Total Seals per Local Educational Agency" totalsRowFunction="sum" dataDxfId="2377">
      <calculatedColumnFormula>SUM(Butte[[#This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Butte county and also includes language totals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Calaveras" displayName="Calaveras" ref="A2:Z5" totalsRowCount="1" headerRowDxfId="2376">
  <autoFilter ref="A2:Z4" xr:uid="{00000000-0009-0000-0100-000006000000}"/>
  <tableColumns count="26">
    <tableColumn id="1" xr3:uid="{00000000-0010-0000-0400-000001000000}" name="Participating District" totalsRowLabel="Total Districts: 2" dataDxfId="2375" totalsRowDxfId="2374"/>
    <tableColumn id="2" xr3:uid="{00000000-0010-0000-0400-000002000000}" name="Participating School" totalsRowLabel="Total Schools: 3" dataDxfId="2373" totalsRowDxfId="2372"/>
    <tableColumn id="3" xr3:uid="{00000000-0010-0000-0400-000003000000}" name="American Sign Language Total" totalsRowFunction="sum" dataDxfId="2371"/>
    <tableColumn id="4" xr3:uid="{00000000-0010-0000-0400-000004000000}" name="Arabic Total" totalsRowFunction="sum" dataDxfId="2370"/>
    <tableColumn id="5" xr3:uid="{00000000-0010-0000-0400-000005000000}" name="Armenian Total" totalsRowFunction="sum" dataDxfId="2369"/>
    <tableColumn id="22" xr3:uid="{75ACA635-A67D-4771-BC61-4E79D623CCDC}" name="Bengali Total" totalsRowFunction="sum" dataDxfId="2368"/>
    <tableColumn id="18" xr3:uid="{A16E5BF0-3920-4A6D-8EA9-5CDC280B859F}" name="Chinese (Mandarin or Cantonese) Total" totalsRowFunction="sum" dataDxfId="2367"/>
    <tableColumn id="23" xr3:uid="{CD0183F6-8692-4112-9AE1-EDD50C821155}" name="Farsi (Persian) Total" totalsRowFunction="sum" dataDxfId="2366"/>
    <tableColumn id="6" xr3:uid="{00000000-0010-0000-0400-000006000000}" name="French Total" totalsRowFunction="sum" dataDxfId="2365"/>
    <tableColumn id="7" xr3:uid="{00000000-0010-0000-0400-000007000000}" name="German Total" totalsRowFunction="sum" dataDxfId="2364"/>
    <tableColumn id="19" xr3:uid="{B35892EC-4AAC-41BC-95FB-AFAFD0331FBE}" name="Hebrew Total" totalsRowFunction="sum" dataDxfId="2363"/>
    <tableColumn id="24" xr3:uid="{166B315E-BFAD-4556-AA5B-7CDA767C7D13}" name="Hindi Total" totalsRowFunction="sum" dataDxfId="2362"/>
    <tableColumn id="8" xr3:uid="{00000000-0010-0000-0400-000008000000}" name="Hmong Total" totalsRowFunction="sum" dataDxfId="2361"/>
    <tableColumn id="9" xr3:uid="{00000000-0010-0000-0400-000009000000}" name="Italian Total" totalsRowFunction="sum" dataDxfId="2360"/>
    <tableColumn id="10" xr3:uid="{00000000-0010-0000-0400-00000A000000}" name="Japanese Total" totalsRowFunction="sum" dataDxfId="2359"/>
    <tableColumn id="11" xr3:uid="{00000000-0010-0000-0400-00000B000000}" name="Korean Total" totalsRowFunction="sum" dataDxfId="2358"/>
    <tableColumn id="12" xr3:uid="{00000000-0010-0000-0400-00000C000000}" name="Latin Total" totalsRowFunction="sum" dataDxfId="2357"/>
    <tableColumn id="13" xr3:uid="{00000000-0010-0000-0400-00000D000000}" name="Portuguese Total" totalsRowFunction="sum" dataDxfId="2356"/>
    <tableColumn id="25" xr3:uid="{465CF2D0-2260-4DC3-A6D4-260619E9EABA}" name="Punjabi Total" totalsRowFunction="sum" dataDxfId="2355"/>
    <tableColumn id="20" xr3:uid="{507C5E14-2ABC-4D93-B968-7F2A3FB96EDC}" name="Russian Total" totalsRowFunction="sum" dataDxfId="2354"/>
    <tableColumn id="14" xr3:uid="{00000000-0010-0000-0400-00000E000000}" name="Spanish Total" totalsRowFunction="sum" dataDxfId="2353"/>
    <tableColumn id="15" xr3:uid="{00000000-0010-0000-0400-00000F000000}" name="Tagalog (Filipino) Total" totalsRowFunction="sum" dataDxfId="2352"/>
    <tableColumn id="26" xr3:uid="{276AF55D-559B-42BA-8EA1-DFB814B84C69}" name="Urdu Total" totalsRowFunction="sum" dataDxfId="2351"/>
    <tableColumn id="16" xr3:uid="{00000000-0010-0000-0400-000010000000}" name="Vietnamese Total" totalsRowFunction="sum" dataDxfId="2350"/>
    <tableColumn id="17" xr3:uid="{00000000-0010-0000-0400-000011000000}" name="Other Total" totalsRowFunction="sum" dataDxfId="2349"/>
    <tableColumn id="21" xr3:uid="{A4A3AD36-F93F-4F1B-850F-1C0808BFB6DE}" name="Total Seals per Local Educational Agency" totalsRowFunction="sum" dataDxfId="2348">
      <calculatedColumnFormula>SUM(Calaveras[[#This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Calaveras county and also includes language totals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Colusa" displayName="Colusa" ref="A2:Z7" totalsRowCount="1" headerRowDxfId="2347">
  <autoFilter ref="A2:Z6" xr:uid="{00000000-0009-0000-0100-000007000000}"/>
  <sortState xmlns:xlrd2="http://schemas.microsoft.com/office/spreadsheetml/2017/richdata2" ref="A3:Z5">
    <sortCondition ref="A2:A5"/>
  </sortState>
  <tableColumns count="26">
    <tableColumn id="1" xr3:uid="{00000000-0010-0000-0500-000001000000}" name="Participating Districts" totalsRowLabel="Total Districts: 4" dataDxfId="2346" totalsRowDxfId="2345"/>
    <tableColumn id="2" xr3:uid="{00000000-0010-0000-0500-000002000000}" name="Participating Schools" totalsRowLabel="Total Schools: 4" dataDxfId="2344" totalsRowDxfId="2343"/>
    <tableColumn id="3" xr3:uid="{00000000-0010-0000-0500-000003000000}" name="American Sign Language Total" totalsRowFunction="sum" dataDxfId="2342"/>
    <tableColumn id="4" xr3:uid="{00000000-0010-0000-0500-000004000000}" name="Arabic Total" totalsRowFunction="sum" dataDxfId="2341"/>
    <tableColumn id="5" xr3:uid="{00000000-0010-0000-0500-000005000000}" name="Armenian Total" totalsRowFunction="sum" dataDxfId="2340"/>
    <tableColumn id="22" xr3:uid="{E16F468F-2110-4140-BD81-F86069D1C6FD}" name="Bengali Total" totalsRowFunction="sum" dataDxfId="2339"/>
    <tableColumn id="18" xr3:uid="{D9C6B6B9-17F0-4AD5-AB2C-E0BBB9C07BC8}" name="Chinese (Mandarin or Cantonese) Total" totalsRowFunction="sum" dataDxfId="2338"/>
    <tableColumn id="23" xr3:uid="{3A049CDA-6F98-456B-BA6A-5A0CC63CBC82}" name="Farsi (Persian) Total" totalsRowFunction="sum" dataDxfId="2337"/>
    <tableColumn id="6" xr3:uid="{00000000-0010-0000-0500-000006000000}" name="French Total" totalsRowFunction="sum" dataDxfId="2336"/>
    <tableColumn id="7" xr3:uid="{00000000-0010-0000-0500-000007000000}" name="German Total" totalsRowFunction="sum" dataDxfId="2335"/>
    <tableColumn id="19" xr3:uid="{84BFA3FD-A508-4B0E-B7E5-D936B8319B98}" name="Hebrew Total" totalsRowFunction="sum" dataDxfId="2334"/>
    <tableColumn id="24" xr3:uid="{CBB26C44-95AA-464D-B565-884DB10FA77E}" name="Hindi Total" totalsRowFunction="sum" dataDxfId="2333"/>
    <tableColumn id="8" xr3:uid="{00000000-0010-0000-0500-000008000000}" name="Hmong Total" totalsRowFunction="sum" dataDxfId="2332"/>
    <tableColumn id="9" xr3:uid="{00000000-0010-0000-0500-000009000000}" name="Italian Total" totalsRowFunction="sum" dataDxfId="2331"/>
    <tableColumn id="10" xr3:uid="{00000000-0010-0000-0500-00000A000000}" name="Japanese Total" totalsRowFunction="sum" dataDxfId="2330"/>
    <tableColumn id="11" xr3:uid="{00000000-0010-0000-0500-00000B000000}" name="Korean Total" totalsRowFunction="sum" dataDxfId="2329"/>
    <tableColumn id="12" xr3:uid="{00000000-0010-0000-0500-00000C000000}" name="Latin Total" totalsRowFunction="sum" dataDxfId="2328"/>
    <tableColumn id="13" xr3:uid="{00000000-0010-0000-0500-00000D000000}" name="Portuguese Total" totalsRowFunction="sum" dataDxfId="2327"/>
    <tableColumn id="25" xr3:uid="{C83AA710-FB04-4B2E-B17A-26A3C6A70D62}" name="Punjabi Total" totalsRowFunction="sum" dataDxfId="2326"/>
    <tableColumn id="20" xr3:uid="{C331452E-322F-4718-B1B9-96010E23BD0A}" name="Russian Total" totalsRowFunction="sum" dataDxfId="2325"/>
    <tableColumn id="14" xr3:uid="{00000000-0010-0000-0500-00000E000000}" name="Spanish Total" totalsRowFunction="sum" dataDxfId="2324"/>
    <tableColumn id="15" xr3:uid="{00000000-0010-0000-0500-00000F000000}" name="Tagalog (Filipino) Total" totalsRowFunction="sum" dataDxfId="2323"/>
    <tableColumn id="26" xr3:uid="{8D0A8B2B-9384-46A1-A63C-0FDE9B9643CB}" name="Urdu Total " totalsRowFunction="sum" dataDxfId="2322"/>
    <tableColumn id="16" xr3:uid="{00000000-0010-0000-0500-000010000000}" name="Vietnamese Total" totalsRowFunction="sum" dataDxfId="2321"/>
    <tableColumn id="17" xr3:uid="{00000000-0010-0000-0500-000011000000}" name="Other Total" totalsRowFunction="sum" dataDxfId="2320"/>
    <tableColumn id="21" xr3:uid="{612AAC9D-DF19-40A3-97AD-43E326D095EB}" name="Total Seals per Local Educational Agency" totalsRowFunction="sum" dataDxfId="2319">
      <calculatedColumnFormula>SUM(Colusa[[#This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Colusa county and also includes language totals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ContraCosta" displayName="ContraCosta" ref="A2:Z14" totalsRowCount="1" headerRowDxfId="2318" dataDxfId="2317">
  <autoFilter ref="A2:Z13" xr:uid="{00000000-0009-0000-0100-000008000000}"/>
  <sortState xmlns:xlrd2="http://schemas.microsoft.com/office/spreadsheetml/2017/richdata2" ref="A3:Z13">
    <sortCondition ref="A2:A13"/>
  </sortState>
  <tableColumns count="26">
    <tableColumn id="1" xr3:uid="{00000000-0010-0000-0600-000001000000}" name="Participating Districts" totalsRowLabel="Total Districts: 11" dataDxfId="2316" totalsRowDxfId="2315"/>
    <tableColumn id="2" xr3:uid="{00000000-0010-0000-0600-000002000000}" name="Participating Schools" totalsRowLabel="Total Schools: 26" dataDxfId="2314" totalsRowDxfId="2313"/>
    <tableColumn id="3" xr3:uid="{00000000-0010-0000-0600-000003000000}" name="American Sign Language Total" totalsRowFunction="sum" dataDxfId="2312" totalsRowDxfId="2311"/>
    <tableColumn id="4" xr3:uid="{00000000-0010-0000-0600-000004000000}" name="Arabic Total" totalsRowFunction="sum" dataDxfId="2310" totalsRowDxfId="2309"/>
    <tableColumn id="5" xr3:uid="{00000000-0010-0000-0600-000005000000}" name="Armenian Total" totalsRowFunction="sum" dataDxfId="2308" totalsRowDxfId="2307"/>
    <tableColumn id="22" xr3:uid="{81FA89D9-30C8-407D-9CC1-E89D55C2AD43}" name="Bengali Total" totalsRowFunction="sum" dataDxfId="2306" totalsRowDxfId="2305"/>
    <tableColumn id="18" xr3:uid="{0F0823FB-F7B6-4D65-9107-1ADC57AC5FC0}" name="Chinese (Mandarin or Cantonese) Total" totalsRowFunction="sum" dataDxfId="2304" totalsRowDxfId="2303"/>
    <tableColumn id="23" xr3:uid="{DE6DADDD-0159-4DB7-BE03-5501100D9D3A}" name="Farsi (Persian) Total" totalsRowFunction="sum" dataDxfId="2302" totalsRowDxfId="2301"/>
    <tableColumn id="6" xr3:uid="{00000000-0010-0000-0600-000006000000}" name="French Total" totalsRowFunction="sum" dataDxfId="2300" totalsRowDxfId="2299"/>
    <tableColumn id="7" xr3:uid="{00000000-0010-0000-0600-000007000000}" name="German Total" totalsRowFunction="sum" dataDxfId="2298" totalsRowDxfId="2297"/>
    <tableColumn id="19" xr3:uid="{BF602199-83FD-46FC-A4DC-12D1B25D3083}" name="Hebrew Total" totalsRowFunction="sum" dataDxfId="2296" totalsRowDxfId="2295"/>
    <tableColumn id="24" xr3:uid="{795765A0-56AF-49FD-B61D-30DFCE99BF90}" name="Hindi Total" totalsRowFunction="sum" dataDxfId="2294" totalsRowDxfId="2293"/>
    <tableColumn id="8" xr3:uid="{00000000-0010-0000-0600-000008000000}" name="Hmong Total" totalsRowFunction="sum" dataDxfId="2292" totalsRowDxfId="2291"/>
    <tableColumn id="9" xr3:uid="{00000000-0010-0000-0600-000009000000}" name="Italian Total" totalsRowFunction="sum" dataDxfId="2290" totalsRowDxfId="2289"/>
    <tableColumn id="10" xr3:uid="{00000000-0010-0000-0600-00000A000000}" name="Japanese Total" totalsRowFunction="sum" dataDxfId="2288" totalsRowDxfId="2287"/>
    <tableColumn id="11" xr3:uid="{00000000-0010-0000-0600-00000B000000}" name="Korean Total" totalsRowFunction="sum" dataDxfId="2286" totalsRowDxfId="2285"/>
    <tableColumn id="12" xr3:uid="{00000000-0010-0000-0600-00000C000000}" name="Latin Total" totalsRowFunction="sum" dataDxfId="2284" totalsRowDxfId="2283"/>
    <tableColumn id="13" xr3:uid="{00000000-0010-0000-0600-00000D000000}" name="Portuguese Total" totalsRowFunction="sum" dataDxfId="2282" totalsRowDxfId="2281"/>
    <tableColumn id="25" xr3:uid="{3970A94C-3257-4E1C-9034-5B8CBE976DEE}" name="Punjabi Total" totalsRowFunction="sum" dataDxfId="2280" totalsRowDxfId="2279"/>
    <tableColumn id="20" xr3:uid="{2E044485-3016-4CC3-85E0-8FD77DF57977}" name="Russian Total" totalsRowFunction="sum" dataDxfId="2278" totalsRowDxfId="2277"/>
    <tableColumn id="14" xr3:uid="{00000000-0010-0000-0600-00000E000000}" name="Spanish Total" totalsRowFunction="sum" dataDxfId="2276" totalsRowDxfId="2275"/>
    <tableColumn id="15" xr3:uid="{00000000-0010-0000-0600-00000F000000}" name="Tagalog (Filipino) Total" totalsRowFunction="sum" dataDxfId="2274" totalsRowDxfId="2273"/>
    <tableColumn id="26" xr3:uid="{5FCC7A52-F4DC-4FCE-A0DE-8341F66E7823}" name="Urdu Total" totalsRowFunction="sum" dataDxfId="2272" totalsRowDxfId="2271"/>
    <tableColumn id="16" xr3:uid="{00000000-0010-0000-0600-000010000000}" name="Vietnamese Total" totalsRowFunction="sum" dataDxfId="2270" totalsRowDxfId="2269"/>
    <tableColumn id="17" xr3:uid="{00000000-0010-0000-0600-000011000000}" name="Other Total" totalsRowFunction="sum" dataDxfId="2268" totalsRowDxfId="2267"/>
    <tableColumn id="21" xr3:uid="{39C26AA3-725E-4AF8-A066-06533C94B998}" name="Total Seals per Local Educational Agency" totalsRowFunction="sum" dataDxfId="2266" totalsRowDxfId="2265">
      <calculatedColumnFormula>SUM(ContraCosta[[#This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Contra Costa county and also includes language totals.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DelNorte" displayName="DelNorte" ref="A2:Z4" totalsRowCount="1" headerRowDxfId="2264">
  <autoFilter ref="A2:Z3" xr:uid="{00000000-0009-0000-0100-000009000000}"/>
  <tableColumns count="26">
    <tableColumn id="1" xr3:uid="{00000000-0010-0000-0700-000001000000}" name="Participating District" totalsRowLabel="Total Districts: 1" dataDxfId="2263" totalsRowDxfId="2262"/>
    <tableColumn id="2" xr3:uid="{00000000-0010-0000-0700-000002000000}" name="Participating School" totalsRowLabel="Total Schools: 1" dataDxfId="2261" totalsRowDxfId="2260"/>
    <tableColumn id="3" xr3:uid="{00000000-0010-0000-0700-000003000000}" name="American Sign Language Total" totalsRowFunction="sum" dataDxfId="2259"/>
    <tableColumn id="4" xr3:uid="{00000000-0010-0000-0700-000004000000}" name="Arabic Total" totalsRowFunction="sum" dataDxfId="2258"/>
    <tableColumn id="5" xr3:uid="{00000000-0010-0000-0700-000005000000}" name="Armenian Total" totalsRowFunction="sum" dataDxfId="2257"/>
    <tableColumn id="22" xr3:uid="{F3BEB593-2BC6-4B38-9999-F8940383A0C8}" name="Bengali Total" totalsRowFunction="sum" dataDxfId="2256"/>
    <tableColumn id="18" xr3:uid="{BF64D2B3-F761-47BA-8154-941CFA2E229E}" name="Chinese (Mandarin or Cantonese) Total" totalsRowFunction="sum" dataDxfId="2255"/>
    <tableColumn id="23" xr3:uid="{7000A2AF-D5B6-41B2-82C5-012275FEA425}" name="Farsi (Persian) Total" totalsRowFunction="sum" dataDxfId="2254"/>
    <tableColumn id="6" xr3:uid="{00000000-0010-0000-0700-000006000000}" name="French Total" totalsRowFunction="sum" dataDxfId="2253"/>
    <tableColumn id="7" xr3:uid="{00000000-0010-0000-0700-000007000000}" name="German Total" totalsRowFunction="sum" dataDxfId="2252"/>
    <tableColumn id="19" xr3:uid="{7075123B-AC18-47D3-BFC5-5772044F479A}" name="Hebrew Total" totalsRowFunction="sum" dataDxfId="2251"/>
    <tableColumn id="24" xr3:uid="{9DE0968C-984B-4053-B9F6-B39E3DE4066A}" name="Hindi Total" totalsRowFunction="sum" dataDxfId="2250"/>
    <tableColumn id="8" xr3:uid="{00000000-0010-0000-0700-000008000000}" name="Hmong Total" totalsRowFunction="sum" dataDxfId="2249"/>
    <tableColumn id="9" xr3:uid="{00000000-0010-0000-0700-000009000000}" name="Italian Total" totalsRowFunction="sum" dataDxfId="2248"/>
    <tableColumn id="10" xr3:uid="{00000000-0010-0000-0700-00000A000000}" name="Japanese Total" totalsRowFunction="sum" dataDxfId="2247"/>
    <tableColumn id="11" xr3:uid="{00000000-0010-0000-0700-00000B000000}" name="Korean Total" totalsRowFunction="sum" dataDxfId="2246"/>
    <tableColumn id="12" xr3:uid="{00000000-0010-0000-0700-00000C000000}" name="Latin Total" totalsRowFunction="sum" dataDxfId="2245"/>
    <tableColumn id="13" xr3:uid="{00000000-0010-0000-0700-00000D000000}" name="Portuguese Total" totalsRowFunction="sum" dataDxfId="2244"/>
    <tableColumn id="25" xr3:uid="{42195BE9-4134-4A73-9AF5-7AEBB24856B0}" name="Punjabi Total" totalsRowFunction="sum" dataDxfId="2243"/>
    <tableColumn id="20" xr3:uid="{827CE5EC-6222-47E4-9C05-BEE7F1EB5747}" name="Russian Total" totalsRowFunction="sum" dataDxfId="2242"/>
    <tableColumn id="14" xr3:uid="{00000000-0010-0000-0700-00000E000000}" name="Spanish Total" totalsRowFunction="sum" dataDxfId="2241"/>
    <tableColumn id="15" xr3:uid="{00000000-0010-0000-0700-00000F000000}" name="Tagalog (Filipino) Total" totalsRowFunction="sum" dataDxfId="2240"/>
    <tableColumn id="26" xr3:uid="{116F6485-2376-4D6B-9D63-76420958D895}" name="Urdu Total" totalsRowFunction="sum" dataDxfId="2239"/>
    <tableColumn id="16" xr3:uid="{00000000-0010-0000-0700-000010000000}" name="Vietnamese Total" totalsRowFunction="sum" dataDxfId="2238"/>
    <tableColumn id="17" xr3:uid="{00000000-0010-0000-0700-000011000000}" name="Other Total" totalsRowFunction="sum" dataDxfId="2237"/>
    <tableColumn id="21" xr3:uid="{66019EDC-7265-4C31-8D1D-79557B7EF0D1}" name="Total Seals per Local Educational Agency" totalsRowFunction="sum" dataDxfId="2236">
      <calculatedColumnFormula>SUM(DelNorte[[American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Del Norte county and also includes language totals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8000000}" name="ElDorado" displayName="ElDorado" ref="A2:Z8" totalsRowCount="1" headerRowDxfId="2235" dataDxfId="2234">
  <autoFilter ref="A2:Z7" xr:uid="{00000000-0009-0000-0100-00000A000000}"/>
  <sortState xmlns:xlrd2="http://schemas.microsoft.com/office/spreadsheetml/2017/richdata2" ref="A3:Z7">
    <sortCondition ref="A2:A7"/>
  </sortState>
  <tableColumns count="26">
    <tableColumn id="1" xr3:uid="{00000000-0010-0000-0800-000001000000}" name="Participating Districts" totalsRowLabel="Total Districts: 5" dataDxfId="2233" totalsRowDxfId="2232"/>
    <tableColumn id="2" xr3:uid="{00000000-0010-0000-0800-000002000000}" name="Participating Schools" totalsRowLabel="Total Schools: 8" dataDxfId="2231" totalsRowDxfId="2230"/>
    <tableColumn id="3" xr3:uid="{00000000-0010-0000-0800-000003000000}" name="American Sign Language Total" totalsRowFunction="sum" dataDxfId="2229"/>
    <tableColumn id="4" xr3:uid="{00000000-0010-0000-0800-000004000000}" name="Arabic Total" totalsRowFunction="sum" dataDxfId="2228"/>
    <tableColumn id="5" xr3:uid="{00000000-0010-0000-0800-000005000000}" name="Armenian Total" totalsRowFunction="sum" dataDxfId="2227"/>
    <tableColumn id="22" xr3:uid="{4721017D-8FDE-464E-B09B-385CE427AE33}" name="Bengali Total" totalsRowFunction="sum" dataDxfId="2226"/>
    <tableColumn id="18" xr3:uid="{8E4E41BB-49D8-4649-AF46-253F9248A3A7}" name="Chinese (Mandarin or Cantonese) Total" totalsRowFunction="sum" dataDxfId="2225"/>
    <tableColumn id="23" xr3:uid="{4D091320-15C7-4750-A39C-58FFFAF7C57B}" name="Farsi (Persian) Total" totalsRowFunction="sum" dataDxfId="2224"/>
    <tableColumn id="6" xr3:uid="{00000000-0010-0000-0800-000006000000}" name="French Total" totalsRowFunction="sum" dataDxfId="2223"/>
    <tableColumn id="7" xr3:uid="{00000000-0010-0000-0800-000007000000}" name="German Total" totalsRowFunction="sum" dataDxfId="2222"/>
    <tableColumn id="19" xr3:uid="{2E980EAF-F8C5-4BD3-9F6F-42CC17DB1B9A}" name="Hebrew Total" totalsRowFunction="sum" dataDxfId="2221"/>
    <tableColumn id="24" xr3:uid="{1FD5FA1C-BA9E-432C-8FBE-EEAF86AB4E62}" name="Hindi Total" totalsRowFunction="sum" dataDxfId="2220"/>
    <tableColumn id="8" xr3:uid="{00000000-0010-0000-0800-000008000000}" name="Hmong Total" totalsRowFunction="sum" dataDxfId="2219"/>
    <tableColumn id="9" xr3:uid="{00000000-0010-0000-0800-000009000000}" name="Italian Total" totalsRowFunction="sum" dataDxfId="2218"/>
    <tableColumn id="10" xr3:uid="{00000000-0010-0000-0800-00000A000000}" name="Japanese Total" totalsRowFunction="sum" dataDxfId="2217"/>
    <tableColumn id="11" xr3:uid="{00000000-0010-0000-0800-00000B000000}" name="Korean Total" totalsRowFunction="sum" dataDxfId="2216"/>
    <tableColumn id="12" xr3:uid="{00000000-0010-0000-0800-00000C000000}" name="Latin Total" totalsRowFunction="sum" dataDxfId="2215"/>
    <tableColumn id="13" xr3:uid="{00000000-0010-0000-0800-00000D000000}" name="Portuguese Total" totalsRowFunction="sum" dataDxfId="2214"/>
    <tableColumn id="25" xr3:uid="{2C7FCBA3-286B-46F2-9578-C879F4EACB17}" name="Punjabi Total" totalsRowFunction="sum" dataDxfId="2213"/>
    <tableColumn id="20" xr3:uid="{3D0B147B-86A3-4453-8C54-ACAED832C059}" name="Russian Total" totalsRowFunction="sum" dataDxfId="2212"/>
    <tableColumn id="14" xr3:uid="{00000000-0010-0000-0800-00000E000000}" name="Spanish Total" totalsRowFunction="sum" dataDxfId="2211"/>
    <tableColumn id="15" xr3:uid="{00000000-0010-0000-0800-00000F000000}" name="Tagalog (Filipino) Total" totalsRowFunction="sum" dataDxfId="2210"/>
    <tableColumn id="26" xr3:uid="{504D6BE4-7F43-47CA-B916-014EEB931E3A}" name="Urdu Total" totalsRowFunction="sum" dataDxfId="2209"/>
    <tableColumn id="16" xr3:uid="{00000000-0010-0000-0800-000010000000}" name="Vietnamese Total" totalsRowFunction="sum" dataDxfId="2208"/>
    <tableColumn id="17" xr3:uid="{00000000-0010-0000-0800-000011000000}" name="Other Total" totalsRowFunction="sum" dataDxfId="2207"/>
    <tableColumn id="21" xr3:uid="{BD571434-6082-4B72-B681-A78A30248EDC}" name="Total Seals per Local Educational Agency" totalsRowFunction="sum" dataDxfId="2206">
      <calculatedColumnFormula>SUM(ElDorado[[#This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El Dorado county and also includes language totals.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9000000}" name="Fresno" displayName="Fresno" ref="A2:Z19" totalsRowCount="1" headerRowDxfId="2205" dataDxfId="2204">
  <autoFilter ref="A2:Z18" xr:uid="{00000000-0009-0000-0100-00000B000000}"/>
  <sortState xmlns:xlrd2="http://schemas.microsoft.com/office/spreadsheetml/2017/richdata2" ref="A3:Z17">
    <sortCondition ref="A2:A17"/>
  </sortState>
  <tableColumns count="26">
    <tableColumn id="1" xr3:uid="{00000000-0010-0000-0900-000001000000}" name="Participating Districts" totalsRowLabel="Total Districts: 16" dataDxfId="2203" totalsRowDxfId="2202"/>
    <tableColumn id="2" xr3:uid="{00000000-0010-0000-0900-000002000000}" name="Participating Schools" totalsRowLabel="Total Schools: 39" dataDxfId="2201" totalsRowDxfId="2200"/>
    <tableColumn id="3" xr3:uid="{00000000-0010-0000-0900-000003000000}" name="American Sign Language Total" totalsRowFunction="sum" dataDxfId="2199" totalsRowDxfId="2198"/>
    <tableColumn id="4" xr3:uid="{00000000-0010-0000-0900-000004000000}" name="Arabic Total" totalsRowFunction="sum" dataDxfId="2197" totalsRowDxfId="2196"/>
    <tableColumn id="5" xr3:uid="{00000000-0010-0000-0900-000005000000}" name="Armenian Total" totalsRowFunction="sum" dataDxfId="2195" totalsRowDxfId="2194"/>
    <tableColumn id="22" xr3:uid="{39612C87-3280-4ACB-82B6-B8186ECE0A28}" name="Bengali Total" totalsRowFunction="sum" dataDxfId="2193" totalsRowDxfId="2192"/>
    <tableColumn id="18" xr3:uid="{0432F91F-B62F-4325-AEC4-36B65A0A8973}" name="Chinese (Mandarin or Cantonese) Total" totalsRowFunction="sum" dataDxfId="2191" totalsRowDxfId="2190"/>
    <tableColumn id="23" xr3:uid="{ED143C35-37E6-407D-80F1-269C5D619DFE}" name="Farsi (Persian) Total" totalsRowFunction="sum" dataDxfId="2189" totalsRowDxfId="2188"/>
    <tableColumn id="6" xr3:uid="{00000000-0010-0000-0900-000006000000}" name="French Total" totalsRowFunction="sum" dataDxfId="2187" totalsRowDxfId="2186"/>
    <tableColumn id="7" xr3:uid="{00000000-0010-0000-0900-000007000000}" name="German Total" totalsRowFunction="sum" dataDxfId="2185" totalsRowDxfId="2184"/>
    <tableColumn id="19" xr3:uid="{8454CDA4-2382-47B8-9746-E481B87E32B9}" name="Hebrew Total" totalsRowFunction="sum" dataDxfId="2183" totalsRowDxfId="2182"/>
    <tableColumn id="24" xr3:uid="{BFC4CDB4-D3A8-42F2-B444-B0ECE767A5A6}" name="Hindi Total" totalsRowFunction="sum" dataDxfId="2181" totalsRowDxfId="2180"/>
    <tableColumn id="8" xr3:uid="{00000000-0010-0000-0900-000008000000}" name="Hmong Total" totalsRowFunction="sum" dataDxfId="2179" totalsRowDxfId="2178"/>
    <tableColumn id="9" xr3:uid="{00000000-0010-0000-0900-000009000000}" name="Italian Total" totalsRowFunction="sum" dataDxfId="2177" totalsRowDxfId="2176"/>
    <tableColumn id="10" xr3:uid="{00000000-0010-0000-0900-00000A000000}" name="Japanese Total" totalsRowFunction="sum" dataDxfId="2175" totalsRowDxfId="2174"/>
    <tableColumn id="11" xr3:uid="{00000000-0010-0000-0900-00000B000000}" name="Korean Total" totalsRowFunction="sum" dataDxfId="2173" totalsRowDxfId="2172"/>
    <tableColumn id="12" xr3:uid="{00000000-0010-0000-0900-00000C000000}" name="Latin Total" totalsRowFunction="sum" dataDxfId="2171" totalsRowDxfId="2170"/>
    <tableColumn id="13" xr3:uid="{00000000-0010-0000-0900-00000D000000}" name="Portuguese Total" totalsRowFunction="sum" dataDxfId="2169" totalsRowDxfId="2168"/>
    <tableColumn id="25" xr3:uid="{E5C2959B-9098-4B3C-B644-239FED9BE5D4}" name="Punjabi Total" totalsRowFunction="sum" dataDxfId="2167" totalsRowDxfId="2166"/>
    <tableColumn id="20" xr3:uid="{35C2F16C-65E9-4794-8D43-7953C77407CE}" name="Russian Total" totalsRowFunction="sum" dataDxfId="2165" totalsRowDxfId="2164"/>
    <tableColumn id="14" xr3:uid="{00000000-0010-0000-0900-00000E000000}" name="Spanish Total" totalsRowFunction="sum" dataDxfId="2163" totalsRowDxfId="2162"/>
    <tableColumn id="15" xr3:uid="{00000000-0010-0000-0900-00000F000000}" name="Tagalog (Filipino) Total" totalsRowFunction="sum" dataDxfId="2161" totalsRowDxfId="2160"/>
    <tableColumn id="26" xr3:uid="{B4F8E8D3-F1DA-49D9-B3FE-AADAE40B7695}" name="Urdu Total" totalsRowFunction="sum" dataDxfId="2159" totalsRowDxfId="2158"/>
    <tableColumn id="16" xr3:uid="{00000000-0010-0000-0900-000010000000}" name="Vietnamese Total" totalsRowFunction="sum" dataDxfId="2157" totalsRowDxfId="2156"/>
    <tableColumn id="17" xr3:uid="{00000000-0010-0000-0900-000011000000}" name="Other Total" totalsRowFunction="sum" dataDxfId="2155" totalsRowDxfId="2154"/>
    <tableColumn id="21" xr3:uid="{D0272581-4C4B-458F-BAF0-11132E639D22}" name="Total Seals per Local Educational Agency" totalsRowFunction="sum" dataDxfId="2153">
      <calculatedColumnFormula>SUM(Fresno[[#This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Fresno county and also includes language totals.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A000000}" name="Glenn" displayName="Glenn" ref="A2:Z6" totalsRowCount="1" headerRowDxfId="2152">
  <autoFilter ref="A2:Z5" xr:uid="{00000000-0009-0000-0100-00000C000000}"/>
  <sortState xmlns:xlrd2="http://schemas.microsoft.com/office/spreadsheetml/2017/richdata2" ref="A3:Z3">
    <sortCondition ref="A2:A3"/>
  </sortState>
  <tableColumns count="26">
    <tableColumn id="1" xr3:uid="{00000000-0010-0000-0A00-000001000000}" name="Participating Districts" totalsRowLabel="Total Districts: 3" dataDxfId="2151" totalsRowDxfId="2150"/>
    <tableColumn id="2" xr3:uid="{00000000-0010-0000-0A00-000002000000}" name="Participating Schools" totalsRowLabel="Total Schools: 3" dataDxfId="2149" totalsRowDxfId="2148"/>
    <tableColumn id="3" xr3:uid="{00000000-0010-0000-0A00-000003000000}" name="American Sign Language Total" totalsRowFunction="sum" dataDxfId="2147"/>
    <tableColumn id="4" xr3:uid="{00000000-0010-0000-0A00-000004000000}" name="Arabic Total" totalsRowFunction="sum" dataDxfId="2146"/>
    <tableColumn id="5" xr3:uid="{00000000-0010-0000-0A00-000005000000}" name="Armenian Total" totalsRowFunction="sum" dataDxfId="2145"/>
    <tableColumn id="21" xr3:uid="{79DF7C22-6750-489A-8329-82CF48E40187}" name="Bengali Total" totalsRowFunction="sum" dataDxfId="2144"/>
    <tableColumn id="23" xr3:uid="{B9EBA438-2F4B-4A96-978D-2E0131083AFF}" name="Chinese (Mandarin or Cantonese) Total" totalsRowFunction="sum" dataDxfId="2143"/>
    <tableColumn id="22" xr3:uid="{3903B94D-F401-416C-A11C-9A22D2282223}" name="Farsi (Persian) Total" totalsRowFunction="sum" dataDxfId="2142"/>
    <tableColumn id="6" xr3:uid="{00000000-0010-0000-0A00-000006000000}" name="French Total" totalsRowFunction="sum" dataDxfId="2141"/>
    <tableColumn id="7" xr3:uid="{00000000-0010-0000-0A00-000007000000}" name="German Total" totalsRowFunction="sum" dataDxfId="2140"/>
    <tableColumn id="18" xr3:uid="{55909E5B-710F-4E69-A1EE-C2CA233108C3}" name="Hebrew Total" totalsRowFunction="sum" dataDxfId="2139"/>
    <tableColumn id="24" xr3:uid="{FDB4930A-5FB2-4C0C-9BD9-5B581631EF47}" name="Hindi Total" totalsRowFunction="sum" dataDxfId="2138"/>
    <tableColumn id="8" xr3:uid="{00000000-0010-0000-0A00-000008000000}" name="Hmong Total" totalsRowFunction="sum" dataDxfId="2137"/>
    <tableColumn id="9" xr3:uid="{00000000-0010-0000-0A00-000009000000}" name="Italian Total" totalsRowFunction="sum" dataDxfId="2136"/>
    <tableColumn id="10" xr3:uid="{00000000-0010-0000-0A00-00000A000000}" name="Japanese Total" totalsRowFunction="sum" dataDxfId="2135"/>
    <tableColumn id="11" xr3:uid="{00000000-0010-0000-0A00-00000B000000}" name="Korean Total" totalsRowFunction="sum" dataDxfId="2134"/>
    <tableColumn id="12" xr3:uid="{00000000-0010-0000-0A00-00000C000000}" name="Latin Total" totalsRowFunction="sum" dataDxfId="2133"/>
    <tableColumn id="13" xr3:uid="{00000000-0010-0000-0A00-00000D000000}" name="Portuguese Total" totalsRowFunction="sum" dataDxfId="2132"/>
    <tableColumn id="25" xr3:uid="{40E38DC2-EFAF-47C4-B5FF-B56DE6177053}" name="Punjabi Total" totalsRowFunction="sum" dataDxfId="2131"/>
    <tableColumn id="19" xr3:uid="{0E0723D8-5FCB-4271-8F2A-AF9EEEB56FD4}" name="Russian Total" totalsRowFunction="sum" dataDxfId="2130"/>
    <tableColumn id="14" xr3:uid="{00000000-0010-0000-0A00-00000E000000}" name="Spanish Total" totalsRowFunction="sum" dataDxfId="2129"/>
    <tableColumn id="15" xr3:uid="{00000000-0010-0000-0A00-00000F000000}" name="Tagalog (Filipino) Total" totalsRowFunction="sum" dataDxfId="2128"/>
    <tableColumn id="26" xr3:uid="{A0AA2F69-2309-41F6-AFDA-A1D6CEF8ACB3}" name="Urdu Total" totalsRowFunction="sum" dataDxfId="2127"/>
    <tableColumn id="16" xr3:uid="{00000000-0010-0000-0A00-000010000000}" name="Vietnamese Total" totalsRowFunction="sum" dataDxfId="2126"/>
    <tableColumn id="17" xr3:uid="{00000000-0010-0000-0A00-000011000000}" name="Other Total" totalsRowFunction="sum" dataDxfId="2125"/>
    <tableColumn id="20" xr3:uid="{E2D86AE9-3569-41E5-B538-73256EF81096}" name="Total Seals per Local Educational Agency" totalsRowFunction="sum" dataDxfId="2124">
      <calculatedColumnFormula>SUM(Glenn[[#This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Glenn county and also includes language totals.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Humboldt" displayName="Humboldt" ref="A2:Z8" totalsRowCount="1" headerRowDxfId="2123">
  <autoFilter ref="A2:Z7" xr:uid="{00000000-0009-0000-0100-00000D000000}"/>
  <sortState xmlns:xlrd2="http://schemas.microsoft.com/office/spreadsheetml/2017/richdata2" ref="A3:Z7">
    <sortCondition ref="A2:A7"/>
  </sortState>
  <tableColumns count="26">
    <tableColumn id="1" xr3:uid="{00000000-0010-0000-0B00-000001000000}" name="Participating Districts" totalsRowLabel="Total Districts: 5" dataDxfId="2122" totalsRowDxfId="2121"/>
    <tableColumn id="2" xr3:uid="{00000000-0010-0000-0B00-000002000000}" name="Participating Schools" totalsRowLabel="Total Schools: 8" dataDxfId="2120" totalsRowDxfId="2119"/>
    <tableColumn id="3" xr3:uid="{00000000-0010-0000-0B00-000003000000}" name="American Sign Language Total" totalsRowFunction="sum" dataDxfId="2118"/>
    <tableColumn id="4" xr3:uid="{00000000-0010-0000-0B00-000004000000}" name="Arabic Total" totalsRowFunction="sum" dataDxfId="2117"/>
    <tableColumn id="5" xr3:uid="{00000000-0010-0000-0B00-000005000000}" name="Armenian Total" totalsRowFunction="sum" dataDxfId="2116"/>
    <tableColumn id="22" xr3:uid="{F8145B4D-EE17-4CA0-B3B4-7A629A12F9CD}" name="Bengali Total" totalsRowFunction="sum" dataDxfId="2115"/>
    <tableColumn id="18" xr3:uid="{3A2035EB-F525-47D3-A7D3-F9C75E5ECD29}" name="Chinese (Mandarin or Cantonese) Total" totalsRowFunction="sum" dataDxfId="2114"/>
    <tableColumn id="23" xr3:uid="{42F7AEAD-34B5-46A3-BDE3-146CC48953A6}" name="Farsi (Persian) Total" totalsRowFunction="sum" dataDxfId="2113"/>
    <tableColumn id="6" xr3:uid="{00000000-0010-0000-0B00-000006000000}" name="French Total" totalsRowFunction="sum" dataDxfId="2112"/>
    <tableColumn id="7" xr3:uid="{00000000-0010-0000-0B00-000007000000}" name="German Total" totalsRowFunction="sum" dataDxfId="2111"/>
    <tableColumn id="19" xr3:uid="{2A9D3EDE-E8EC-4AE6-9090-DCC989B7D6CA}" name="Hebrew Total" totalsRowFunction="sum" dataDxfId="2110"/>
    <tableColumn id="24" xr3:uid="{325F0F28-553C-43EC-B1BC-07B9569444B1}" name="Hindi Total" totalsRowFunction="sum" dataDxfId="2109"/>
    <tableColumn id="8" xr3:uid="{00000000-0010-0000-0B00-000008000000}" name="Hmong Total" totalsRowFunction="sum" dataDxfId="2108"/>
    <tableColumn id="9" xr3:uid="{00000000-0010-0000-0B00-000009000000}" name="Italian Total" totalsRowFunction="sum" dataDxfId="2107"/>
    <tableColumn id="10" xr3:uid="{00000000-0010-0000-0B00-00000A000000}" name="Japanese Total" totalsRowFunction="sum" dataDxfId="2106"/>
    <tableColumn id="11" xr3:uid="{00000000-0010-0000-0B00-00000B000000}" name="Korean Total" totalsRowFunction="sum" dataDxfId="2105"/>
    <tableColumn id="12" xr3:uid="{00000000-0010-0000-0B00-00000C000000}" name="Latin Total" totalsRowFunction="sum" dataDxfId="2104"/>
    <tableColumn id="13" xr3:uid="{00000000-0010-0000-0B00-00000D000000}" name="Portuguese Total" totalsRowFunction="sum" dataDxfId="2103"/>
    <tableColumn id="25" xr3:uid="{125C3C5C-263F-45D3-B19E-83FA5EC9B170}" name="Punjabi Total" totalsRowFunction="sum" dataDxfId="2102"/>
    <tableColumn id="20" xr3:uid="{425845BC-0864-4E79-B367-F104D302DBC0}" name="Russian Total" totalsRowFunction="sum" dataDxfId="2101"/>
    <tableColumn id="14" xr3:uid="{00000000-0010-0000-0B00-00000E000000}" name="Spanish Total" totalsRowFunction="sum" dataDxfId="2100"/>
    <tableColumn id="15" xr3:uid="{00000000-0010-0000-0B00-00000F000000}" name="Tagalog (Filipino) Total" totalsRowFunction="sum" dataDxfId="2099"/>
    <tableColumn id="26" xr3:uid="{D638EC3A-5166-4913-894E-F162B810E851}" name="Urdu Total" totalsRowFunction="sum" dataDxfId="2098"/>
    <tableColumn id="16" xr3:uid="{00000000-0010-0000-0B00-000010000000}" name="Vietnamese Total" totalsRowFunction="sum" dataDxfId="2097"/>
    <tableColumn id="17" xr3:uid="{00000000-0010-0000-0B00-000011000000}" name="Other Total" totalsRowFunction="sum" dataDxfId="2096"/>
    <tableColumn id="21" xr3:uid="{5DB46CF1-B662-4479-8B4C-74AA2A126C4E}" name="Total Seals per Local Educational Agency" totalsRowFunction="sum" dataDxfId="2095">
      <calculatedColumnFormula>SUM(Humboldt[[#This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Humboldt county and also includes language totals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Imperial" displayName="Imperial" ref="A2:Z7" totalsRowCount="1" headerRowDxfId="2094" dataDxfId="2093">
  <autoFilter ref="A2:Z6" xr:uid="{00000000-0009-0000-0100-00000E000000}"/>
  <sortState xmlns:xlrd2="http://schemas.microsoft.com/office/spreadsheetml/2017/richdata2" ref="A3:Z6">
    <sortCondition ref="A2:A6"/>
  </sortState>
  <tableColumns count="26">
    <tableColumn id="1" xr3:uid="{00000000-0010-0000-0C00-000001000000}" name="Participating Districts" totalsRowLabel="Total Districts: 4" dataDxfId="2092" totalsRowDxfId="2091"/>
    <tableColumn id="2" xr3:uid="{00000000-0010-0000-0C00-000002000000}" name="Participating Schools" totalsRowLabel="Total Schools: 6" dataDxfId="2090" totalsRowDxfId="2089"/>
    <tableColumn id="3" xr3:uid="{00000000-0010-0000-0C00-000003000000}" name="American Sign Language Total" totalsRowFunction="sum" dataDxfId="2088"/>
    <tableColumn id="4" xr3:uid="{00000000-0010-0000-0C00-000004000000}" name="Arabic Total" totalsRowFunction="sum" dataDxfId="2087"/>
    <tableColumn id="5" xr3:uid="{00000000-0010-0000-0C00-000005000000}" name="Armenian Total" totalsRowFunction="sum" dataDxfId="2086"/>
    <tableColumn id="22" xr3:uid="{0EC4DE8F-D38A-4540-B69E-35C676133C44}" name="Bengali Total" totalsRowFunction="sum" dataDxfId="2085"/>
    <tableColumn id="18" xr3:uid="{03277F98-130F-4C88-937D-C4B9113C0A2D}" name="Chinese (Mandarin or Cantonese) Total" totalsRowFunction="sum" dataDxfId="2084"/>
    <tableColumn id="23" xr3:uid="{85E831F7-7502-4576-8877-BADDF6B612B7}" name="Farsi (Persian) Total" totalsRowFunction="sum" dataDxfId="2083"/>
    <tableColumn id="6" xr3:uid="{00000000-0010-0000-0C00-000006000000}" name="French Total" totalsRowFunction="sum" dataDxfId="2082"/>
    <tableColumn id="7" xr3:uid="{00000000-0010-0000-0C00-000007000000}" name="German Total" totalsRowFunction="sum" dataDxfId="2081"/>
    <tableColumn id="19" xr3:uid="{54222E2C-CBC1-4673-A25E-2743E439840D}" name="Hebrew Total" totalsRowFunction="sum" dataDxfId="2080"/>
    <tableColumn id="24" xr3:uid="{B0DD678A-F9D3-4270-A3B9-14DB0C32E672}" name="Hindi Total" totalsRowFunction="sum" dataDxfId="2079"/>
    <tableColumn id="8" xr3:uid="{00000000-0010-0000-0C00-000008000000}" name="Hmong Total" totalsRowFunction="sum" dataDxfId="2078"/>
    <tableColumn id="9" xr3:uid="{00000000-0010-0000-0C00-000009000000}" name="Italian Total" totalsRowFunction="sum" dataDxfId="2077"/>
    <tableColumn id="10" xr3:uid="{00000000-0010-0000-0C00-00000A000000}" name="Japanese Total" totalsRowFunction="sum" dataDxfId="2076"/>
    <tableColumn id="11" xr3:uid="{00000000-0010-0000-0C00-00000B000000}" name="Korean Total" totalsRowFunction="sum" dataDxfId="2075"/>
    <tableColumn id="12" xr3:uid="{00000000-0010-0000-0C00-00000C000000}" name="Latin Total" totalsRowFunction="sum" dataDxfId="2074"/>
    <tableColumn id="13" xr3:uid="{00000000-0010-0000-0C00-00000D000000}" name="Portuguese Total" totalsRowFunction="sum" dataDxfId="2073"/>
    <tableColumn id="25" xr3:uid="{09D8AF32-550B-4E14-AE75-F3A8BDE72953}" name="Punjabi Total" totalsRowFunction="sum" dataDxfId="2072"/>
    <tableColumn id="20" xr3:uid="{D32A0357-BC2D-4365-8F65-CC57AC54862E}" name="Russian Total" totalsRowFunction="sum" dataDxfId="2071"/>
    <tableColumn id="14" xr3:uid="{00000000-0010-0000-0C00-00000E000000}" name="Spanish Total" totalsRowFunction="sum" dataDxfId="2070"/>
    <tableColumn id="15" xr3:uid="{00000000-0010-0000-0C00-00000F000000}" name="Tagalog (Filipino) Total" totalsRowFunction="sum" dataDxfId="2069"/>
    <tableColumn id="26" xr3:uid="{6AA9637A-C66B-4141-9233-3CED327C12F6}" name="Urdu Total" totalsRowFunction="sum" dataDxfId="2068"/>
    <tableColumn id="16" xr3:uid="{00000000-0010-0000-0C00-000010000000}" name="Vietnamese Total" totalsRowFunction="sum" dataDxfId="2067"/>
    <tableColumn id="17" xr3:uid="{00000000-0010-0000-0C00-000011000000}" name="Other Total" totalsRowFunction="sum" dataDxfId="2066"/>
    <tableColumn id="21" xr3:uid="{AB152DAF-789F-4AA5-A07C-9BB34914928D}" name="Total Seals per Local Educational Agency" totalsRowFunction="sum" dataDxfId="2065">
      <calculatedColumnFormula>SUM(Imperial[[#This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Imperial county and also includes language totals.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CF3ABEC-F181-4E6B-9C3C-20778EA32A00}" name="Inyo" displayName="Inyo" ref="A2:Z4" totalsRowCount="1" headerRowDxfId="2064" dataDxfId="2063">
  <autoFilter ref="A2:Z3" xr:uid="{00000000-0009-0000-0100-00000E000000}"/>
  <tableColumns count="26">
    <tableColumn id="1" xr3:uid="{038CF285-EB4D-481C-A87C-C716A093068E}" name="Participating Districts" totalsRowLabel="Total Districts: 1" dataDxfId="2062" totalsRowDxfId="2061"/>
    <tableColumn id="2" xr3:uid="{DCEF91F3-CF42-4921-BEC1-670A314C6712}" name="Participating Schools" totalsRowLabel="Total Schools: 1" dataDxfId="2060" totalsRowDxfId="2059"/>
    <tableColumn id="3" xr3:uid="{D9B9A219-B5CE-4791-9F4F-92AB76291011}" name="American Sign Language Total" totalsRowFunction="sum" dataDxfId="2058"/>
    <tableColumn id="4" xr3:uid="{DAC0DD72-AAC3-49C4-A588-88900218342A}" name="Arabic Total" totalsRowFunction="sum" dataDxfId="2057"/>
    <tableColumn id="5" xr3:uid="{CDA73840-A1F8-4F26-B313-CC6D03D4EC26}" name="Armenian Total" totalsRowFunction="sum" dataDxfId="2056"/>
    <tableColumn id="22" xr3:uid="{34AB279F-3993-4D5B-95A2-3D2951BB29D6}" name="Bengali Total" totalsRowFunction="sum" dataDxfId="2055"/>
    <tableColumn id="18" xr3:uid="{67FF82CC-5750-45F5-8DD8-470CB66CBE0C}" name="Chinese (Mandarin or Cantonese) Total" totalsRowFunction="sum" dataDxfId="2054"/>
    <tableColumn id="23" xr3:uid="{FC79BF6D-A26B-453E-9EF7-BB049E569515}" name="Farsi (Persian) Total" totalsRowFunction="sum" dataDxfId="2053"/>
    <tableColumn id="6" xr3:uid="{DDE3366F-3F83-4793-BCA1-D450AEB9B9A1}" name="French Total" totalsRowFunction="sum" dataDxfId="2052"/>
    <tableColumn id="7" xr3:uid="{3CC77FB5-583C-40C7-95E0-61D1B339817B}" name="German Total" totalsRowFunction="sum" dataDxfId="2051"/>
    <tableColumn id="19" xr3:uid="{7FD50FDD-E208-45FD-94ED-CA1C57589332}" name="Hebrew Total" totalsRowFunction="sum" dataDxfId="2050"/>
    <tableColumn id="24" xr3:uid="{185B1E95-CD62-46F7-964C-433AF74CFDA6}" name="Hindi Total" totalsRowFunction="sum" dataDxfId="2049"/>
    <tableColumn id="8" xr3:uid="{18CD96B8-B151-4F26-B4C7-9518CCD86682}" name="Hmong Total" totalsRowFunction="sum" dataDxfId="2048"/>
    <tableColumn id="9" xr3:uid="{21401A75-B35A-4AB5-BE2A-C844947A674C}" name="Italian Total" totalsRowFunction="sum" dataDxfId="2047"/>
    <tableColumn id="10" xr3:uid="{5167B37B-6B73-4519-B40A-ED3311F26F9D}" name="Japanese Total" totalsRowFunction="sum" dataDxfId="2046"/>
    <tableColumn id="11" xr3:uid="{DF8A14D6-5990-4E47-BFFE-2DEA9DBCD8E2}" name="Korean Total" totalsRowFunction="sum" dataDxfId="2045"/>
    <tableColumn id="12" xr3:uid="{F5BDBDE4-7AB3-4A2D-8594-74BD1275776C}" name="Latin Total" totalsRowFunction="sum" dataDxfId="2044"/>
    <tableColumn id="13" xr3:uid="{D543A431-828A-442D-982C-3DBD862C0FEA}" name="Portuguese Total" totalsRowFunction="sum" dataDxfId="2043"/>
    <tableColumn id="25" xr3:uid="{0A87A047-34F3-4927-85DF-F25270A85C36}" name="Punjabi Total" totalsRowFunction="sum" dataDxfId="2042"/>
    <tableColumn id="20" xr3:uid="{2949413D-F969-4724-82E5-91E8E4FB9BFE}" name="Russian Total" totalsRowFunction="sum" dataDxfId="2041"/>
    <tableColumn id="14" xr3:uid="{C4EA7B8E-F986-4568-A1B4-41B547CF9551}" name="Spanish Total" totalsRowFunction="sum" dataDxfId="2040"/>
    <tableColumn id="15" xr3:uid="{7EA9A6FD-27FE-40D7-A026-722004A30D09}" name="Tagalog (Filipino) Total" totalsRowFunction="sum" dataDxfId="2039"/>
    <tableColumn id="26" xr3:uid="{5E2C8CDC-8DC0-42B7-A96C-989D688A10EA}" name="Urdu Total" totalsRowFunction="sum" dataDxfId="2038"/>
    <tableColumn id="16" xr3:uid="{FCECB4BD-7C12-40C4-AE90-03B6112F28AC}" name="Vietnamese Total" totalsRowFunction="sum" dataDxfId="2037"/>
    <tableColumn id="17" xr3:uid="{7EAB945E-CC0B-49BA-A8B6-3B5361F13E96}" name="Other Total" totalsRowFunction="sum" dataDxfId="2036"/>
    <tableColumn id="21" xr3:uid="{C8246734-DA16-4BF3-A76A-2C2C0CDCADFB}" name="Total Seals per Local Educational Agency" totalsRowFunction="sum" dataDxfId="2035">
      <calculatedColumnFormula>SUM(Inyo[[American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Inyo county and also includes language totals.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D000000}" name="Kern" displayName="Kern" ref="A2:Z14" totalsRowCount="1" headerRowDxfId="2034" dataDxfId="2033">
  <autoFilter ref="A2:Z13" xr:uid="{00000000-0009-0000-0100-00000F000000}"/>
  <sortState xmlns:xlrd2="http://schemas.microsoft.com/office/spreadsheetml/2017/richdata2" ref="A3:Z12">
    <sortCondition ref="A2:A12"/>
  </sortState>
  <tableColumns count="26">
    <tableColumn id="1" xr3:uid="{00000000-0010-0000-0D00-000001000000}" name="Participating Districts" totalsRowLabel="Total Districts: 11" dataDxfId="2032" totalsRowDxfId="2031"/>
    <tableColumn id="2" xr3:uid="{00000000-0010-0000-0D00-000002000000}" name="Participating Schools" totalsRowLabel="Total Schools: 29" dataDxfId="2030" totalsRowDxfId="2029"/>
    <tableColumn id="3" xr3:uid="{00000000-0010-0000-0D00-000003000000}" name="American Sign Language Total" totalsRowFunction="sum" dataDxfId="2028" totalsRowDxfId="2027"/>
    <tableColumn id="4" xr3:uid="{00000000-0010-0000-0D00-000004000000}" name="Arabic Total" totalsRowFunction="sum" dataDxfId="2026" totalsRowDxfId="2025"/>
    <tableColumn id="5" xr3:uid="{00000000-0010-0000-0D00-000005000000}" name="Armenian Total" totalsRowFunction="sum" dataDxfId="2024" totalsRowDxfId="2023"/>
    <tableColumn id="22" xr3:uid="{7F1B5E66-AFFE-48F9-A8F1-08DFCCEC177A}" name="Bengali Total" totalsRowFunction="sum" dataDxfId="2022" totalsRowDxfId="2021"/>
    <tableColumn id="18" xr3:uid="{F49FC476-B928-450E-ADA3-53D93EF825F8}" name="Chinese (Mandarin or Cantonese) Total" totalsRowFunction="sum" dataDxfId="2020" totalsRowDxfId="2019"/>
    <tableColumn id="23" xr3:uid="{EAE3468F-0127-4DBA-BF81-D922C37D8E79}" name="Farsi (Persian) Total" totalsRowFunction="sum" dataDxfId="2018" totalsRowDxfId="2017"/>
    <tableColumn id="6" xr3:uid="{00000000-0010-0000-0D00-000006000000}" name="French Total" totalsRowFunction="sum" dataDxfId="2016" totalsRowDxfId="2015"/>
    <tableColumn id="7" xr3:uid="{00000000-0010-0000-0D00-000007000000}" name="German Total" totalsRowFunction="sum" dataDxfId="2014" totalsRowDxfId="2013"/>
    <tableColumn id="19" xr3:uid="{186FAFF0-790C-4597-9C7F-D90BCBAAC645}" name="Hebrew Total" totalsRowFunction="sum" dataDxfId="2012" totalsRowDxfId="2011"/>
    <tableColumn id="24" xr3:uid="{0FD9030B-A817-4166-8CF6-CB21B107E85E}" name="Hindi Total" totalsRowFunction="sum" dataDxfId="2010" totalsRowDxfId="2009"/>
    <tableColumn id="8" xr3:uid="{00000000-0010-0000-0D00-000008000000}" name="Hmong Total" totalsRowFunction="sum" dataDxfId="2008" totalsRowDxfId="2007"/>
    <tableColumn id="9" xr3:uid="{00000000-0010-0000-0D00-000009000000}" name="Italian Total" totalsRowFunction="sum" dataDxfId="2006" totalsRowDxfId="2005"/>
    <tableColumn id="10" xr3:uid="{00000000-0010-0000-0D00-00000A000000}" name="Japanese Total" totalsRowFunction="sum" dataDxfId="2004" totalsRowDxfId="2003"/>
    <tableColumn id="11" xr3:uid="{00000000-0010-0000-0D00-00000B000000}" name="Korean Total" totalsRowFunction="sum" dataDxfId="2002" totalsRowDxfId="2001"/>
    <tableColumn id="12" xr3:uid="{00000000-0010-0000-0D00-00000C000000}" name="Latin Total" totalsRowFunction="sum" dataDxfId="2000" totalsRowDxfId="1999"/>
    <tableColumn id="13" xr3:uid="{00000000-0010-0000-0D00-00000D000000}" name="Portuguese Total" totalsRowFunction="sum" dataDxfId="1998" totalsRowDxfId="1997"/>
    <tableColumn id="25" xr3:uid="{30B52E7E-ECBE-45BD-A1AC-4938A8AC55D3}" name="Punjabi Total" totalsRowFunction="sum" dataDxfId="1996" totalsRowDxfId="1995"/>
    <tableColumn id="20" xr3:uid="{6EBF68AC-BFCD-4478-B2CB-698E4D4AD692}" name="Russian Total" totalsRowFunction="sum" dataDxfId="1994" totalsRowDxfId="1993"/>
    <tableColumn id="14" xr3:uid="{00000000-0010-0000-0D00-00000E000000}" name="Spanish Total" totalsRowFunction="sum" dataDxfId="1992" totalsRowDxfId="1991"/>
    <tableColumn id="15" xr3:uid="{00000000-0010-0000-0D00-00000F000000}" name="Tagalog (Filipino) Total" totalsRowFunction="sum" dataDxfId="1990" totalsRowDxfId="1989"/>
    <tableColumn id="26" xr3:uid="{86DF0F6B-2CEC-402F-8CC0-2D5BD763380B}" name="Urdu Total" totalsRowFunction="sum" dataDxfId="1988" totalsRowDxfId="1987"/>
    <tableColumn id="16" xr3:uid="{00000000-0010-0000-0D00-000010000000}" name="Vietnamese Total" totalsRowFunction="sum" dataDxfId="1986" totalsRowDxfId="1985"/>
    <tableColumn id="17" xr3:uid="{00000000-0010-0000-0D00-000011000000}" name="Other Total" totalsRowFunction="sum" dataDxfId="1984" totalsRowDxfId="1983"/>
    <tableColumn id="21" xr3:uid="{3CBF2BA1-F178-4015-81D8-A5C9F1400523}" name="Total Seals per Local Educational Agency" totalsRowFunction="sum" dataDxfId="1982" totalsRowDxfId="1981">
      <calculatedColumnFormula>SUM(Kern[[#This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Kern county and also includes language totals.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E000000}" name="Kings" displayName="Kings" ref="A2:Z5" totalsRowCount="1" headerRowDxfId="1980" dataDxfId="1979">
  <autoFilter ref="A2:Z4" xr:uid="{00000000-0009-0000-0100-000010000000}"/>
  <sortState xmlns:xlrd2="http://schemas.microsoft.com/office/spreadsheetml/2017/richdata2" ref="A3:Z4">
    <sortCondition ref="A2:A4"/>
  </sortState>
  <tableColumns count="26">
    <tableColumn id="1" xr3:uid="{00000000-0010-0000-0E00-000001000000}" name="Participating Districts" totalsRowLabel="Total Districts: 2" dataDxfId="1978" totalsRowDxfId="1977"/>
    <tableColumn id="2" xr3:uid="{00000000-0010-0000-0E00-000002000000}" name="Participating Schools" totalsRowLabel="Total Schools: 5" dataDxfId="1976" totalsRowDxfId="1975"/>
    <tableColumn id="3" xr3:uid="{00000000-0010-0000-0E00-000003000000}" name="American Sign Language Total" totalsRowFunction="sum" dataDxfId="1974"/>
    <tableColumn id="4" xr3:uid="{00000000-0010-0000-0E00-000004000000}" name="Arabic Total" totalsRowFunction="sum" dataDxfId="1973"/>
    <tableColumn id="5" xr3:uid="{00000000-0010-0000-0E00-000005000000}" name="Armenian Total" totalsRowFunction="sum" dataDxfId="1972"/>
    <tableColumn id="22" xr3:uid="{B9F35F79-0D6E-4D99-9FC9-0E5BA0C9AA47}" name="Bengali Total" totalsRowFunction="sum" dataDxfId="1971"/>
    <tableColumn id="18" xr3:uid="{0ED752D0-EC43-4693-91FE-5551747E2A03}" name="Chinese (Mandarin or Cantonese) Total" totalsRowFunction="sum" dataDxfId="1970"/>
    <tableColumn id="23" xr3:uid="{12B83D7C-FB49-47F3-A9ED-519B1DB80C57}" name="Farsi (Persian) Total" totalsRowFunction="sum" dataDxfId="1969"/>
    <tableColumn id="6" xr3:uid="{00000000-0010-0000-0E00-000006000000}" name="French Total" totalsRowFunction="sum" dataDxfId="1968"/>
    <tableColumn id="7" xr3:uid="{00000000-0010-0000-0E00-000007000000}" name="German Total" totalsRowFunction="sum" dataDxfId="1967"/>
    <tableColumn id="19" xr3:uid="{1332E72A-8808-472F-9D15-DD1A483474DD}" name="Hebrew Total" totalsRowFunction="sum" dataDxfId="1966"/>
    <tableColumn id="24" xr3:uid="{6E470A07-BD3E-47C5-98B3-B41B623555BA}" name="Hindi Total" totalsRowFunction="sum" dataDxfId="1965"/>
    <tableColumn id="8" xr3:uid="{00000000-0010-0000-0E00-000008000000}" name="Hmong Total" totalsRowFunction="sum" dataDxfId="1964"/>
    <tableColumn id="9" xr3:uid="{00000000-0010-0000-0E00-000009000000}" name="Italian Total" totalsRowFunction="sum" dataDxfId="1963"/>
    <tableColumn id="10" xr3:uid="{00000000-0010-0000-0E00-00000A000000}" name="Japanese Total" totalsRowFunction="sum" dataDxfId="1962"/>
    <tableColumn id="11" xr3:uid="{00000000-0010-0000-0E00-00000B000000}" name="Korean Total" totalsRowFunction="sum" dataDxfId="1961"/>
    <tableColumn id="12" xr3:uid="{00000000-0010-0000-0E00-00000C000000}" name="Latin Total" totalsRowFunction="sum" dataDxfId="1960"/>
    <tableColumn id="13" xr3:uid="{00000000-0010-0000-0E00-00000D000000}" name="Portuguese Total" totalsRowFunction="sum" dataDxfId="1959"/>
    <tableColumn id="25" xr3:uid="{EC0A2389-D3F3-4531-885B-8F60901B3C02}" name="Punjabi Total" totalsRowFunction="sum" dataDxfId="1958"/>
    <tableColumn id="20" xr3:uid="{C4A9B077-EF8B-40AA-AF4E-95DD678C1079}" name="Russian Total" totalsRowFunction="sum" dataDxfId="1957"/>
    <tableColumn id="14" xr3:uid="{00000000-0010-0000-0E00-00000E000000}" name="Spanish Total" totalsRowFunction="sum" dataDxfId="1956"/>
    <tableColumn id="15" xr3:uid="{00000000-0010-0000-0E00-00000F000000}" name="Tagalog (Filipino) Total" totalsRowFunction="sum" dataDxfId="1955"/>
    <tableColumn id="26" xr3:uid="{B7FF1AB2-81F4-42F8-A54F-CC26E044E6F9}" name="Urdu Total" totalsRowFunction="sum" dataDxfId="1954"/>
    <tableColumn id="16" xr3:uid="{00000000-0010-0000-0E00-000010000000}" name="Vietnamese Total" totalsRowFunction="sum" dataDxfId="1953"/>
    <tableColumn id="17" xr3:uid="{00000000-0010-0000-0E00-000011000000}" name="Other Total" totalsRowFunction="sum" dataDxfId="1952"/>
    <tableColumn id="21" xr3:uid="{3C5952A8-D3D5-4A95-BC25-9FFFBB683F48}" name="Total Seals per Local Educational Agency" totalsRowFunction="sum" dataDxfId="1951">
      <calculatedColumnFormula>SUM(Kings[[#This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Kings county and also includes language totals.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F000000}" name="Lake" displayName="Lake" ref="A2:Z5" totalsRowCount="1" headerRowDxfId="1950">
  <autoFilter ref="A2:Z4" xr:uid="{00000000-0009-0000-0100-000011000000}"/>
  <sortState xmlns:xlrd2="http://schemas.microsoft.com/office/spreadsheetml/2017/richdata2" ref="A3:Z4">
    <sortCondition ref="A2:A4"/>
  </sortState>
  <tableColumns count="26">
    <tableColumn id="1" xr3:uid="{00000000-0010-0000-0F00-000001000000}" name="Participating Districts" totalsRowLabel="Total Districts: 2" dataDxfId="1949" totalsRowDxfId="1948"/>
    <tableColumn id="2" xr3:uid="{00000000-0010-0000-0F00-000002000000}" name="Participating Schools" totalsRowLabel="Total Schools: 2" dataDxfId="1947" totalsRowDxfId="1946"/>
    <tableColumn id="3" xr3:uid="{00000000-0010-0000-0F00-000003000000}" name="American Sign Language Total" totalsRowFunction="sum" dataDxfId="1945"/>
    <tableColumn id="4" xr3:uid="{00000000-0010-0000-0F00-000004000000}" name="Arabic Total" totalsRowFunction="sum" dataDxfId="1944"/>
    <tableColumn id="5" xr3:uid="{00000000-0010-0000-0F00-000005000000}" name="Armenian Total" totalsRowFunction="sum" dataDxfId="1943"/>
    <tableColumn id="22" xr3:uid="{B3D92626-FB40-4A93-8A77-AC0D33EDE27E}" name="Bengali Total" totalsRowFunction="sum" dataDxfId="1942"/>
    <tableColumn id="18" xr3:uid="{495F133B-A9A5-49FD-99AE-AD66AAFCD12E}" name="Chinese (Mandarin or Cantonese) Total" totalsRowFunction="sum" dataDxfId="1941"/>
    <tableColumn id="23" xr3:uid="{0584EF07-E0CF-4210-9030-0DCE03CB567B}" name="Farsi (Persian) Total" totalsRowFunction="sum" dataDxfId="1940"/>
    <tableColumn id="6" xr3:uid="{00000000-0010-0000-0F00-000006000000}" name="French Total" totalsRowFunction="sum" dataDxfId="1939"/>
    <tableColumn id="7" xr3:uid="{00000000-0010-0000-0F00-000007000000}" name="German Total" totalsRowFunction="sum" dataDxfId="1938"/>
    <tableColumn id="19" xr3:uid="{721552F2-979A-427E-872E-A26BEB554885}" name="Hebrew Total" totalsRowFunction="sum" dataDxfId="1937"/>
    <tableColumn id="24" xr3:uid="{18754836-3EF0-4CD5-9E4B-69A5F2A39D81}" name="Hindi Total" totalsRowFunction="sum" dataDxfId="1936"/>
    <tableColumn id="8" xr3:uid="{00000000-0010-0000-0F00-000008000000}" name="Hmong Total" totalsRowFunction="sum" dataDxfId="1935"/>
    <tableColumn id="9" xr3:uid="{00000000-0010-0000-0F00-000009000000}" name="Italian Total" totalsRowFunction="sum" dataDxfId="1934"/>
    <tableColumn id="10" xr3:uid="{00000000-0010-0000-0F00-00000A000000}" name="Japanese Total" totalsRowFunction="sum" dataDxfId="1933"/>
    <tableColumn id="11" xr3:uid="{00000000-0010-0000-0F00-00000B000000}" name="Korean Total" totalsRowFunction="sum" dataDxfId="1932"/>
    <tableColumn id="12" xr3:uid="{00000000-0010-0000-0F00-00000C000000}" name="Latin Total" totalsRowFunction="sum" dataDxfId="1931"/>
    <tableColumn id="13" xr3:uid="{00000000-0010-0000-0F00-00000D000000}" name="Portuguese Total" totalsRowFunction="sum" dataDxfId="1930"/>
    <tableColumn id="25" xr3:uid="{FCA344B1-8984-4831-92A7-6068D6150B9B}" name="Punjabi Total" totalsRowFunction="sum" dataDxfId="1929"/>
    <tableColumn id="20" xr3:uid="{017C9197-B74F-4E7E-9CD5-F59B718A952E}" name="Russian Total" totalsRowFunction="sum" dataDxfId="1928"/>
    <tableColumn id="14" xr3:uid="{00000000-0010-0000-0F00-00000E000000}" name="Spanish Total" totalsRowFunction="sum" dataDxfId="1927"/>
    <tableColumn id="15" xr3:uid="{00000000-0010-0000-0F00-00000F000000}" name="Tagalog (Filipino) Total" totalsRowFunction="sum" dataDxfId="1926"/>
    <tableColumn id="26" xr3:uid="{ECB6EAFA-46A0-419E-88D7-5D3A3CAEAC8C}" name="Urdu Total" totalsRowFunction="sum" dataDxfId="1925"/>
    <tableColumn id="16" xr3:uid="{00000000-0010-0000-0F00-000010000000}" name="Vietnamese Total" totalsRowFunction="sum" dataDxfId="1924"/>
    <tableColumn id="17" xr3:uid="{00000000-0010-0000-0F00-000011000000}" name="Other Total" totalsRowFunction="sum" dataDxfId="1923"/>
    <tableColumn id="21" xr3:uid="{9623DDAB-EFC8-4B13-B78B-3E95BAA4D961}" name="Total Seals per Local Educational Agency" totalsRowFunction="sum" dataDxfId="1922">
      <calculatedColumnFormula>SUM(Lake[[#This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Lake county and also includes language totals.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0000000}" name="Lassen" displayName="Lassen" ref="A2:Z4" totalsRowCount="1" headerRowDxfId="1921">
  <autoFilter ref="A2:Z3" xr:uid="{00000000-0009-0000-0100-000012000000}"/>
  <sortState xmlns:xlrd2="http://schemas.microsoft.com/office/spreadsheetml/2017/richdata2" ref="A3:Z3">
    <sortCondition ref="A2:A3"/>
  </sortState>
  <tableColumns count="26">
    <tableColumn id="1" xr3:uid="{00000000-0010-0000-1000-000001000000}" name="Participating District" totalsRowLabel="Total Districts: 1" dataDxfId="1920" totalsRowDxfId="1919"/>
    <tableColumn id="2" xr3:uid="{00000000-0010-0000-1000-000002000000}" name="Participating School" totalsRowLabel="Total Schools: 1" dataDxfId="1918" totalsRowDxfId="1917"/>
    <tableColumn id="3" xr3:uid="{00000000-0010-0000-1000-000003000000}" name="American Sign Language Total" totalsRowFunction="sum" dataDxfId="1916"/>
    <tableColumn id="4" xr3:uid="{00000000-0010-0000-1000-000004000000}" name="Arabic Total" totalsRowFunction="sum" dataDxfId="1915"/>
    <tableColumn id="5" xr3:uid="{00000000-0010-0000-1000-000005000000}" name="Armenian Total" totalsRowFunction="sum" dataDxfId="1914"/>
    <tableColumn id="22" xr3:uid="{3A105161-E48A-4FD9-B6EA-A8CF17263F85}" name="Bengali Total" totalsRowFunction="sum" dataDxfId="1913"/>
    <tableColumn id="18" xr3:uid="{305BE9A7-5C7E-4F69-B163-1E48E4277321}" name="Chinese (Mandarin or Cantonese) Total" totalsRowFunction="sum" dataDxfId="1912"/>
    <tableColumn id="23" xr3:uid="{270B7F50-59E6-4AB3-B292-CBFAE9257102}" name="Farsi (Persian) Total" totalsRowFunction="sum" dataDxfId="1911"/>
    <tableColumn id="6" xr3:uid="{00000000-0010-0000-1000-000006000000}" name="French Total" totalsRowFunction="sum" dataDxfId="1910"/>
    <tableColumn id="7" xr3:uid="{00000000-0010-0000-1000-000007000000}" name="German Total" totalsRowFunction="sum" dataDxfId="1909"/>
    <tableColumn id="19" xr3:uid="{CAD98D34-B9E5-4057-9DDC-6650D1133D3F}" name="Hebrew Total" totalsRowFunction="sum" dataDxfId="1908"/>
    <tableColumn id="24" xr3:uid="{0474E44F-155C-41CC-BA1B-B689DB04C7F9}" name="Hindi Total" totalsRowFunction="sum" dataDxfId="1907"/>
    <tableColumn id="8" xr3:uid="{00000000-0010-0000-1000-000008000000}" name="Hmong Total" totalsRowFunction="sum" dataDxfId="1906"/>
    <tableColumn id="9" xr3:uid="{00000000-0010-0000-1000-000009000000}" name="Italian Total" totalsRowFunction="sum" dataDxfId="1905"/>
    <tableColumn id="10" xr3:uid="{00000000-0010-0000-1000-00000A000000}" name="Japanese Total" totalsRowFunction="sum" dataDxfId="1904"/>
    <tableColumn id="11" xr3:uid="{00000000-0010-0000-1000-00000B000000}" name="Korean Total" totalsRowFunction="sum" dataDxfId="1903"/>
    <tableColumn id="12" xr3:uid="{00000000-0010-0000-1000-00000C000000}" name="Latin Total" totalsRowFunction="sum" dataDxfId="1902"/>
    <tableColumn id="13" xr3:uid="{00000000-0010-0000-1000-00000D000000}" name="Portuguese Total" totalsRowFunction="sum" dataDxfId="1901"/>
    <tableColumn id="25" xr3:uid="{F2CDEB3A-649C-4BA4-B95F-01D2315CEA62}" name="Punjabi Total " totalsRowFunction="sum" dataDxfId="1900"/>
    <tableColumn id="20" xr3:uid="{DF72FF0E-DB9B-4368-AE1D-6EAD26B08B89}" name="Russian Total" totalsRowFunction="sum" dataDxfId="1899"/>
    <tableColumn id="14" xr3:uid="{00000000-0010-0000-1000-00000E000000}" name="Spanish Total" totalsRowFunction="sum" dataDxfId="1898"/>
    <tableColumn id="15" xr3:uid="{00000000-0010-0000-1000-00000F000000}" name="Tagalog (Filipino) Total" totalsRowFunction="sum" dataDxfId="1897"/>
    <tableColumn id="26" xr3:uid="{6C9DF5F6-A4DB-4BB3-8547-701BDEBDB7D1}" name="Urdu Total" totalsRowFunction="sum" dataDxfId="1896"/>
    <tableColumn id="16" xr3:uid="{00000000-0010-0000-1000-000010000000}" name="Vietnamese Total" totalsRowFunction="sum" dataDxfId="1895"/>
    <tableColumn id="17" xr3:uid="{00000000-0010-0000-1000-000011000000}" name="Other Total" totalsRowFunction="sum" dataDxfId="1894"/>
    <tableColumn id="21" xr3:uid="{9E96504D-0A28-4E6F-BD99-88AEAC575CD7}" name="Total Seals per Local Educational Agency" totalsRowFunction="sum" dataDxfId="1893">
      <calculatedColumnFormula>SUM(Lassen[[American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Lassen county and also includes language totals.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1000000}" name="LosAngeles" displayName="LosAngeles" ref="A2:Z100" totalsRowCount="1" headerRowDxfId="1892">
  <autoFilter ref="A2:Z99" xr:uid="{00000000-0009-0000-0100-000013000000}"/>
  <sortState xmlns:xlrd2="http://schemas.microsoft.com/office/spreadsheetml/2017/richdata2" ref="A3:Z99">
    <sortCondition ref="A2:A99"/>
  </sortState>
  <tableColumns count="26">
    <tableColumn id="1" xr3:uid="{00000000-0010-0000-1100-000001000000}" name="Participating Districts" totalsRowLabel="Total Districts: 97" dataDxfId="1891" totalsRowDxfId="1890"/>
    <tableColumn id="2" xr3:uid="{00000000-0010-0000-1100-000002000000}" name="Participating Schools" totalsRowLabel="Total Schools: 429" dataDxfId="1889" totalsRowDxfId="1888"/>
    <tableColumn id="3" xr3:uid="{00000000-0010-0000-1100-000003000000}" name="American Sign Language Total" totalsRowFunction="sum" dataDxfId="1887" totalsRowDxfId="1886"/>
    <tableColumn id="4" xr3:uid="{00000000-0010-0000-1100-000004000000}" name="Arabic Total" totalsRowFunction="sum" dataDxfId="1885" totalsRowDxfId="1884"/>
    <tableColumn id="5" xr3:uid="{00000000-0010-0000-1100-000005000000}" name="Armenian Total" totalsRowFunction="sum" dataDxfId="1883" totalsRowDxfId="1882"/>
    <tableColumn id="22" xr3:uid="{2AECE8AD-C972-4E50-975F-423621D5E0B1}" name="Bengali Total" totalsRowFunction="sum" dataDxfId="1881" totalsRowDxfId="1880"/>
    <tableColumn id="18" xr3:uid="{BA3AE528-3E2D-4F34-A558-CC296FFD1212}" name="Chinese (Mandarin or Cantonese) Total" totalsRowFunction="sum" dataDxfId="1879" totalsRowDxfId="1878"/>
    <tableColumn id="23" xr3:uid="{6AAF18F1-415D-4164-87E4-D52ABCC852F5}" name="Farsi (Persian) Total" totalsRowFunction="sum" dataDxfId="1877" totalsRowDxfId="1876"/>
    <tableColumn id="6" xr3:uid="{00000000-0010-0000-1100-000006000000}" name="French Total" totalsRowFunction="sum" dataDxfId="1875" totalsRowDxfId="1874"/>
    <tableColumn id="7" xr3:uid="{00000000-0010-0000-1100-000007000000}" name="German Total" totalsRowFunction="sum" dataDxfId="1873" totalsRowDxfId="1872"/>
    <tableColumn id="19" xr3:uid="{CEF23F97-838D-45FE-B656-7F218BE668F9}" name="Hebrew Total" totalsRowFunction="sum" dataDxfId="1871" totalsRowDxfId="1870"/>
    <tableColumn id="24" xr3:uid="{AC0A1816-0ED4-401F-8547-E9322837A970}" name="Hindi Total" totalsRowFunction="sum" dataDxfId="1869" totalsRowDxfId="1868"/>
    <tableColumn id="8" xr3:uid="{00000000-0010-0000-1100-000008000000}" name="Hmong Total" totalsRowFunction="sum" dataDxfId="1867" totalsRowDxfId="1866"/>
    <tableColumn id="9" xr3:uid="{00000000-0010-0000-1100-000009000000}" name="Italian Total" totalsRowFunction="sum" dataDxfId="1865" totalsRowDxfId="1864"/>
    <tableColumn id="10" xr3:uid="{00000000-0010-0000-1100-00000A000000}" name="Japanese Total" totalsRowFunction="sum" dataDxfId="1863" totalsRowDxfId="1862"/>
    <tableColumn id="11" xr3:uid="{00000000-0010-0000-1100-00000B000000}" name="Korean Total" totalsRowFunction="sum" dataDxfId="1861" totalsRowDxfId="1860"/>
    <tableColumn id="12" xr3:uid="{00000000-0010-0000-1100-00000C000000}" name="Latin Total" totalsRowFunction="sum" dataDxfId="1859" totalsRowDxfId="1858"/>
    <tableColumn id="13" xr3:uid="{00000000-0010-0000-1100-00000D000000}" name="Portuguese Total" totalsRowFunction="sum" dataDxfId="1857" totalsRowDxfId="1856"/>
    <tableColumn id="25" xr3:uid="{0B28417E-F333-4161-82A3-C5333E04C2A5}" name="Punjabi Total" totalsRowFunction="sum" dataDxfId="1855" totalsRowDxfId="1854"/>
    <tableColumn id="20" xr3:uid="{3FCA8658-5464-45F2-83ED-A5A7F78CB169}" name="Russian Total" totalsRowFunction="sum" dataDxfId="1853" totalsRowDxfId="1852"/>
    <tableColumn id="14" xr3:uid="{00000000-0010-0000-1100-00000E000000}" name="Spanish Total" totalsRowFunction="sum" dataDxfId="1851" totalsRowDxfId="1850"/>
    <tableColumn id="15" xr3:uid="{00000000-0010-0000-1100-00000F000000}" name="Tagalog (Filipino) Total" totalsRowFunction="sum" dataDxfId="1849" totalsRowDxfId="1848"/>
    <tableColumn id="26" xr3:uid="{96353DB5-2BA4-43D0-9751-6F1696FE4634}" name="Urdu Total" totalsRowFunction="sum" dataDxfId="1847" totalsRowDxfId="1846"/>
    <tableColumn id="16" xr3:uid="{00000000-0010-0000-1100-000010000000}" name="Vietnamese Total" totalsRowFunction="sum" dataDxfId="1845" totalsRowDxfId="1844"/>
    <tableColumn id="17" xr3:uid="{00000000-0010-0000-1100-000011000000}" name="Other Total" totalsRowFunction="sum" dataDxfId="1843" totalsRowDxfId="1842"/>
    <tableColumn id="21" xr3:uid="{E41DABD1-9048-45CF-BA4A-85053EE0F7AC}" name="Total Seals per Local Educational Agency" totalsRowFunction="sum" dataDxfId="1841" totalsRowDxfId="1840">
      <calculatedColumnFormula>SUM(LosAngeles[[#This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Los Angeles county and also includes language totals.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56FD45BE-F86C-4560-BC24-2CE3D7898926}" name="LAUSD" displayName="LAUSD" ref="A2:A223" totalsRowShown="0">
  <autoFilter ref="A2:A223" xr:uid="{56FD45BE-F86C-4560-BC24-2CE3D7898926}"/>
  <sortState xmlns:xlrd2="http://schemas.microsoft.com/office/spreadsheetml/2017/richdata2" ref="A3:A137">
    <sortCondition ref="A2:A137"/>
  </sortState>
  <tableColumns count="1">
    <tableColumn id="1" xr3:uid="{C5F65FC3-97F5-476D-A54B-2EE22E9699E8}" name="Los Angeles Unified - Participating Schools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able of Los Angeles Unified Participating Schools."/>
    </ext>
  </extLst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2000000}" name="Madera" displayName="Madera" ref="A2:Z6" totalsRowCount="1" headerRowDxfId="1839">
  <autoFilter ref="A2:Z5" xr:uid="{00000000-0009-0000-0100-000014000000}"/>
  <sortState xmlns:xlrd2="http://schemas.microsoft.com/office/spreadsheetml/2017/richdata2" ref="A3:Z5">
    <sortCondition ref="A2:A5"/>
  </sortState>
  <tableColumns count="26">
    <tableColumn id="1" xr3:uid="{00000000-0010-0000-1200-000001000000}" name="Participating Districts" totalsRowLabel="Total Districts: 3" dataDxfId="1838" totalsRowDxfId="1837"/>
    <tableColumn id="2" xr3:uid="{00000000-0010-0000-1200-000002000000}" name="Participating Schools" totalsRowLabel="Total Schools: 5" dataDxfId="1836" totalsRowDxfId="1835"/>
    <tableColumn id="3" xr3:uid="{00000000-0010-0000-1200-000003000000}" name="American Sign Language Total" totalsRowFunction="sum" dataDxfId="1834"/>
    <tableColumn id="4" xr3:uid="{00000000-0010-0000-1200-000004000000}" name="Arabic Total" totalsRowFunction="sum" dataDxfId="1833"/>
    <tableColumn id="5" xr3:uid="{00000000-0010-0000-1200-000005000000}" name="Armenian Total" totalsRowFunction="sum" dataDxfId="1832"/>
    <tableColumn id="22" xr3:uid="{79AE5D4D-F4DB-4B04-B389-0E1C561612E2}" name="Bengali Total" totalsRowFunction="sum" dataDxfId="1831"/>
    <tableColumn id="18" xr3:uid="{B2EF307D-EFE0-4E07-BAAC-AB16C2C88D45}" name="Chinese (Mandarin or Cantonese) Total" totalsRowFunction="sum" dataDxfId="1830"/>
    <tableColumn id="23" xr3:uid="{DED694E7-609B-4D69-9633-08C114248D24}" name="Farsi (Persian) Total" totalsRowFunction="sum" dataDxfId="1829"/>
    <tableColumn id="6" xr3:uid="{00000000-0010-0000-1200-000006000000}" name="French Total" totalsRowFunction="sum" dataDxfId="1828"/>
    <tableColumn id="7" xr3:uid="{00000000-0010-0000-1200-000007000000}" name="German Total" totalsRowFunction="sum" dataDxfId="1827"/>
    <tableColumn id="19" xr3:uid="{0288805B-9BF2-4DF0-ADA1-305B04D0C175}" name="Hebrew Total" totalsRowFunction="sum" dataDxfId="1826"/>
    <tableColumn id="24" xr3:uid="{F5B39D3F-B199-4721-8FDA-910EAC039537}" name="Hindi Total" totalsRowFunction="sum" dataDxfId="1825"/>
    <tableColumn id="8" xr3:uid="{00000000-0010-0000-1200-000008000000}" name="Hmong Total" totalsRowFunction="sum" dataDxfId="1824"/>
    <tableColumn id="9" xr3:uid="{00000000-0010-0000-1200-000009000000}" name="Italian Total" totalsRowFunction="sum" dataDxfId="1823"/>
    <tableColumn id="10" xr3:uid="{00000000-0010-0000-1200-00000A000000}" name="Japanese Total" totalsRowFunction="sum" dataDxfId="1822"/>
    <tableColumn id="11" xr3:uid="{00000000-0010-0000-1200-00000B000000}" name="Korean Total" totalsRowFunction="sum" dataDxfId="1821"/>
    <tableColumn id="12" xr3:uid="{00000000-0010-0000-1200-00000C000000}" name="Latin Total" totalsRowFunction="sum" dataDxfId="1820"/>
    <tableColumn id="13" xr3:uid="{00000000-0010-0000-1200-00000D000000}" name="Portuguese Total" totalsRowFunction="sum" dataDxfId="1819"/>
    <tableColumn id="25" xr3:uid="{888D7B59-1770-4424-A697-70927C4B366C}" name="Punjabi Total" totalsRowFunction="sum" dataDxfId="1818"/>
    <tableColumn id="20" xr3:uid="{A457FA86-59FF-4CDF-8618-1804C0CCE47F}" name="Russian Total" totalsRowFunction="sum" dataDxfId="1817"/>
    <tableColumn id="14" xr3:uid="{00000000-0010-0000-1200-00000E000000}" name="Spanish Total" totalsRowFunction="sum" dataDxfId="1816"/>
    <tableColumn id="15" xr3:uid="{00000000-0010-0000-1200-00000F000000}" name="Tagalog (Filipino) Total" totalsRowFunction="sum" dataDxfId="1815"/>
    <tableColumn id="26" xr3:uid="{0D794E25-EF99-45DC-BA04-147ED4A371F8}" name="Urdu Total" totalsRowFunction="sum" dataDxfId="1814"/>
    <tableColumn id="16" xr3:uid="{00000000-0010-0000-1200-000010000000}" name="Vietnamese Total" totalsRowFunction="sum" dataDxfId="1813"/>
    <tableColumn id="17" xr3:uid="{00000000-0010-0000-1200-000011000000}" name="Other Total" totalsRowFunction="sum" dataDxfId="1812"/>
    <tableColumn id="21" xr3:uid="{78251EC7-1FEC-4EBB-A201-A5DC94C037E7}" name="Total Seals per Local Educational Agency" totalsRowFunction="sum" dataDxfId="1811">
      <calculatedColumnFormula>SUM(Madera[[#This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adera county and also includes language totals."/>
    </ext>
  </extLst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3000000}" name="Marin" displayName="Marin" ref="A2:Z9" totalsRowCount="1" headerRowDxfId="1810" dataDxfId="1809">
  <autoFilter ref="A2:Z8" xr:uid="{00000000-0009-0000-0100-000015000000}"/>
  <sortState xmlns:xlrd2="http://schemas.microsoft.com/office/spreadsheetml/2017/richdata2" ref="A3:Z6">
    <sortCondition ref="A2:A6"/>
  </sortState>
  <tableColumns count="26">
    <tableColumn id="1" xr3:uid="{00000000-0010-0000-1300-000001000000}" name="Participating Districts" totalsRowLabel="Total Districts: 6" dataDxfId="1808" totalsRowDxfId="1807"/>
    <tableColumn id="2" xr3:uid="{00000000-0010-0000-1300-000002000000}" name="Participating Schools" totalsRowLabel="Total Schools: 10" dataDxfId="1806" totalsRowDxfId="1805"/>
    <tableColumn id="3" xr3:uid="{00000000-0010-0000-1300-000003000000}" name="American Sign Language Total" totalsRowFunction="sum" dataDxfId="1804"/>
    <tableColumn id="4" xr3:uid="{00000000-0010-0000-1300-000004000000}" name="Arabic Total" totalsRowFunction="sum" dataDxfId="1803"/>
    <tableColumn id="5" xr3:uid="{00000000-0010-0000-1300-000005000000}" name="Armenian Total" totalsRowFunction="sum" dataDxfId="1802"/>
    <tableColumn id="22" xr3:uid="{5C659472-4B33-46C3-9346-4D7135D5DE85}" name="Bengali Total" totalsRowFunction="sum" dataDxfId="1801"/>
    <tableColumn id="18" xr3:uid="{38FEE3E9-DD73-455B-8856-BDB75668D561}" name="Chinese (Mandarin or Cantonese) Total" totalsRowFunction="sum" dataDxfId="1800"/>
    <tableColumn id="23" xr3:uid="{C1FE93CB-281F-4731-BEFF-17CEB5DD19A1}" name="Farsi (Persian) Total" totalsRowFunction="sum" dataDxfId="1799"/>
    <tableColumn id="6" xr3:uid="{00000000-0010-0000-1300-000006000000}" name="French Total" totalsRowFunction="sum" dataDxfId="1798"/>
    <tableColumn id="7" xr3:uid="{00000000-0010-0000-1300-000007000000}" name="German Total" totalsRowFunction="sum" dataDxfId="1797"/>
    <tableColumn id="19" xr3:uid="{041C3CCD-A5E8-48C6-82D7-3754EC8BF12D}" name="Hebrew Total" totalsRowFunction="sum" dataDxfId="1796"/>
    <tableColumn id="24" xr3:uid="{C920A8C8-C545-4E49-AE7D-F7F2476EF584}" name="Hindi Total" totalsRowFunction="sum" dataDxfId="1795"/>
    <tableColumn id="8" xr3:uid="{00000000-0010-0000-1300-000008000000}" name="Hmong Total" totalsRowFunction="sum" dataDxfId="1794"/>
    <tableColumn id="9" xr3:uid="{00000000-0010-0000-1300-000009000000}" name="Italian Total" totalsRowFunction="sum" dataDxfId="1793"/>
    <tableColumn id="10" xr3:uid="{00000000-0010-0000-1300-00000A000000}" name="Japanese Total" totalsRowFunction="sum" dataDxfId="1792"/>
    <tableColumn id="11" xr3:uid="{00000000-0010-0000-1300-00000B000000}" name="Korean Total" totalsRowFunction="sum" dataDxfId="1791"/>
    <tableColumn id="12" xr3:uid="{00000000-0010-0000-1300-00000C000000}" name="Latin Total" totalsRowFunction="sum" dataDxfId="1790"/>
    <tableColumn id="13" xr3:uid="{00000000-0010-0000-1300-00000D000000}" name="Portuguese Total" totalsRowFunction="sum" dataDxfId="1789"/>
    <tableColumn id="25" xr3:uid="{09365142-FF8C-469F-B9C3-E7572DCCA545}" name="Punjabi Total" totalsRowFunction="sum" dataDxfId="1788"/>
    <tableColumn id="20" xr3:uid="{E22A27D8-BDE1-4E9A-84EB-3857674B736C}" name="Russian Total" totalsRowFunction="sum" dataDxfId="1787"/>
    <tableColumn id="14" xr3:uid="{00000000-0010-0000-1300-00000E000000}" name="Spanish Total" totalsRowFunction="sum" dataDxfId="1786"/>
    <tableColumn id="15" xr3:uid="{00000000-0010-0000-1300-00000F000000}" name="Tagalog (Filipino) Total" totalsRowFunction="sum" dataDxfId="1785"/>
    <tableColumn id="26" xr3:uid="{9D081350-5094-4C6A-B8DE-698F76FE839F}" name="Urdu Total" totalsRowFunction="sum" dataDxfId="1784"/>
    <tableColumn id="16" xr3:uid="{00000000-0010-0000-1300-000010000000}" name="Vietnamese Total" totalsRowFunction="sum" dataDxfId="1783"/>
    <tableColumn id="17" xr3:uid="{00000000-0010-0000-1300-000011000000}" name="Other Total" totalsRowFunction="sum" dataDxfId="1782"/>
    <tableColumn id="21" xr3:uid="{D8B00520-DADD-4956-862D-EAA9075CD461}" name="Total Seals per Local Educational Agency" totalsRowFunction="sum" dataDxfId="1781">
      <calculatedColumnFormula>SUM(Marin[[#This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arin county and also includes language totals."/>
    </ext>
  </extLst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4000000}" name="Mendocino" displayName="Mendocino" ref="A2:Z8" totalsRowCount="1" headerRowDxfId="1780">
  <autoFilter ref="A2:Z7" xr:uid="{00000000-0009-0000-0100-000016000000}"/>
  <sortState xmlns:xlrd2="http://schemas.microsoft.com/office/spreadsheetml/2017/richdata2" ref="A3:Z6">
    <sortCondition ref="A2:A6"/>
  </sortState>
  <tableColumns count="26">
    <tableColumn id="1" xr3:uid="{00000000-0010-0000-1400-000001000000}" name="Participating Districts" totalsRowLabel="Total Districts: 5" dataDxfId="1779" totalsRowDxfId="1778"/>
    <tableColumn id="2" xr3:uid="{00000000-0010-0000-1400-000002000000}" name="Participating Schools" totalsRowLabel="Total Schools: 6" dataDxfId="1777" totalsRowDxfId="1776"/>
    <tableColumn id="3" xr3:uid="{00000000-0010-0000-1400-000003000000}" name="American Sign Language Total" totalsRowFunction="sum" dataDxfId="1775"/>
    <tableColumn id="4" xr3:uid="{00000000-0010-0000-1400-000004000000}" name="Arabic Total" totalsRowFunction="sum" dataDxfId="1774"/>
    <tableColumn id="5" xr3:uid="{00000000-0010-0000-1400-000005000000}" name="Armenian Total" totalsRowFunction="sum" dataDxfId="1773"/>
    <tableColumn id="22" xr3:uid="{80C0C61A-F1EC-4952-BABA-2F2B629BEA80}" name="Bengali Total" totalsRowFunction="sum" dataDxfId="1772"/>
    <tableColumn id="21" xr3:uid="{5727EC65-574C-4752-A072-8317522731ED}" name="Chinese (Mandarin or Cantonese) Total" totalsRowFunction="sum" dataDxfId="1771"/>
    <tableColumn id="23" xr3:uid="{E1F98CC4-23B4-449A-ADEC-244CCD7C7F0E}" name="Farsi (Persian) Total" totalsRowFunction="sum" dataDxfId="1770"/>
    <tableColumn id="6" xr3:uid="{00000000-0010-0000-1400-000006000000}" name="French Total" totalsRowFunction="sum" dataDxfId="1769"/>
    <tableColumn id="7" xr3:uid="{00000000-0010-0000-1400-000007000000}" name="German Total" totalsRowFunction="sum" dataDxfId="1768"/>
    <tableColumn id="19" xr3:uid="{1B7C87A6-888A-4CDA-8C46-02EF63B4AEF7}" name="Hebrew Total" totalsRowFunction="sum" dataDxfId="1767"/>
    <tableColumn id="24" xr3:uid="{0B20624D-ADAA-4474-BE3F-AADFE365A4A7}" name="Hindi Total" totalsRowFunction="sum" dataDxfId="1766"/>
    <tableColumn id="8" xr3:uid="{00000000-0010-0000-1400-000008000000}" name="Hmong Total" totalsRowFunction="sum" dataDxfId="1765"/>
    <tableColumn id="9" xr3:uid="{00000000-0010-0000-1400-000009000000}" name="Italian Total" totalsRowFunction="sum" dataDxfId="1764"/>
    <tableColumn id="10" xr3:uid="{00000000-0010-0000-1400-00000A000000}" name="Japanese Total" totalsRowFunction="sum" dataDxfId="1763"/>
    <tableColumn id="11" xr3:uid="{00000000-0010-0000-1400-00000B000000}" name="Korean Total" totalsRowFunction="sum" dataDxfId="1762"/>
    <tableColumn id="12" xr3:uid="{00000000-0010-0000-1400-00000C000000}" name="Latin Total" totalsRowFunction="sum" dataDxfId="1761"/>
    <tableColumn id="20" xr3:uid="{4217E9A9-4A0F-493D-B9C0-ADE119468A0C}" name="Russian Total" totalsRowFunction="sum" dataDxfId="1760"/>
    <tableColumn id="13" xr3:uid="{00000000-0010-0000-1400-00000D000000}" name="Portuguese Total" totalsRowFunction="sum" dataDxfId="1759"/>
    <tableColumn id="25" xr3:uid="{4A39BA52-E756-4907-87F6-0F37648AB980}" name="Punjabi Total" totalsRowFunction="sum" dataDxfId="1758"/>
    <tableColumn id="14" xr3:uid="{00000000-0010-0000-1400-00000E000000}" name="Spanish Total" totalsRowFunction="sum" dataDxfId="1757"/>
    <tableColumn id="15" xr3:uid="{00000000-0010-0000-1400-00000F000000}" name="Tagalog (Filipino) Total" totalsRowFunction="sum" dataDxfId="1756"/>
    <tableColumn id="26" xr3:uid="{8025965F-6309-4DAA-8CFD-4A3855F00A88}" name="Urdu Total" totalsRowFunction="sum" dataDxfId="1755"/>
    <tableColumn id="16" xr3:uid="{00000000-0010-0000-1400-000010000000}" name="Vietnamese Total" totalsRowFunction="sum" dataDxfId="1754"/>
    <tableColumn id="17" xr3:uid="{00000000-0010-0000-1400-000011000000}" name="Other Total" totalsRowFunction="sum" dataDxfId="1753"/>
    <tableColumn id="18" xr3:uid="{1117297E-C7C5-49D8-8290-F23A2BC58E37}" name="Total Seals per Local Educational Agency" totalsRowFunction="sum" dataDxfId="1752">
      <calculatedColumnFormula>SUM(Mendocino[[#This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endocino county and also includes language totals."/>
    </ext>
  </extLst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5000000}" name="Merced" displayName="Merced" ref="A2:Z12" totalsRowCount="1" headerRowDxfId="1751" dataDxfId="1750">
  <autoFilter ref="A2:Z11" xr:uid="{00000000-0009-0000-0100-000017000000}"/>
  <sortState xmlns:xlrd2="http://schemas.microsoft.com/office/spreadsheetml/2017/richdata2" ref="A3:Z10">
    <sortCondition ref="A2:A10"/>
  </sortState>
  <tableColumns count="26">
    <tableColumn id="1" xr3:uid="{00000000-0010-0000-1500-000001000000}" name="Participating Districts" totalsRowLabel="Total Districts: 9" dataDxfId="1749" totalsRowDxfId="1748"/>
    <tableColumn id="2" xr3:uid="{00000000-0010-0000-1500-000002000000}" name="Participating Schools" totalsRowLabel="Total Schools: 14" dataDxfId="1747" totalsRowDxfId="1746"/>
    <tableColumn id="3" xr3:uid="{00000000-0010-0000-1500-000003000000}" name="American Sign Language Total" totalsRowFunction="sum" dataDxfId="1745"/>
    <tableColumn id="4" xr3:uid="{00000000-0010-0000-1500-000004000000}" name="Arabic Total" totalsRowFunction="sum" dataDxfId="1744"/>
    <tableColumn id="5" xr3:uid="{00000000-0010-0000-1500-000005000000}" name="Armenian Total" totalsRowFunction="sum" dataDxfId="1743"/>
    <tableColumn id="22" xr3:uid="{FF5C478A-0250-4E47-8A5A-2C90A8AB6CD1}" name="Bengali Total" totalsRowFunction="sum" dataDxfId="1742"/>
    <tableColumn id="18" xr3:uid="{1A9C1240-0C99-4A63-B1F7-FC0DEA6B4D9B}" name="Chinese (Mandarin or Cantonese) Total" totalsRowFunction="sum" dataDxfId="1741"/>
    <tableColumn id="26" xr3:uid="{FFFD7BDC-8BC3-4DCD-8B61-503886510736}" name="Farsi (Persian) Total" totalsRowFunction="sum" dataDxfId="1740"/>
    <tableColumn id="6" xr3:uid="{00000000-0010-0000-1500-000006000000}" name="French Total" totalsRowFunction="sum" dataDxfId="1739"/>
    <tableColumn id="7" xr3:uid="{00000000-0010-0000-1500-000007000000}" name="German Total" totalsRowFunction="sum" dataDxfId="1738"/>
    <tableColumn id="19" xr3:uid="{E621819A-D420-4088-A245-1DA7A912D1D4}" name="Hebrew Total" totalsRowFunction="sum" dataDxfId="1737"/>
    <tableColumn id="23" xr3:uid="{6180A395-ADCE-4F78-8F49-EAA16670B4FF}" name="Hindi Total" totalsRowFunction="sum" dataDxfId="1736"/>
    <tableColumn id="8" xr3:uid="{00000000-0010-0000-1500-000008000000}" name="Hmong Total" totalsRowFunction="sum" dataDxfId="1735"/>
    <tableColumn id="9" xr3:uid="{00000000-0010-0000-1500-000009000000}" name="Italian Total" totalsRowFunction="sum" dataDxfId="1734"/>
    <tableColumn id="10" xr3:uid="{00000000-0010-0000-1500-00000A000000}" name="Japanese Total" totalsRowFunction="sum" dataDxfId="1733"/>
    <tableColumn id="11" xr3:uid="{00000000-0010-0000-1500-00000B000000}" name="Korean Total" totalsRowFunction="sum" dataDxfId="1732"/>
    <tableColumn id="12" xr3:uid="{00000000-0010-0000-1500-00000C000000}" name="Latin Total" totalsRowFunction="sum" dataDxfId="1731"/>
    <tableColumn id="13" xr3:uid="{00000000-0010-0000-1500-00000D000000}" name="Portuguese Total" totalsRowFunction="sum" dataDxfId="1730"/>
    <tableColumn id="24" xr3:uid="{7E91CE50-70B1-4610-8F81-E3381CE642F4}" name="Punjabi Total" totalsRowFunction="sum" dataDxfId="1729"/>
    <tableColumn id="20" xr3:uid="{00F67901-1548-4073-9917-2929E1E11BE0}" name="Russian Total" totalsRowFunction="sum" dataDxfId="1728"/>
    <tableColumn id="14" xr3:uid="{00000000-0010-0000-1500-00000E000000}" name="Spanish Total" totalsRowFunction="sum" dataDxfId="1727"/>
    <tableColumn id="15" xr3:uid="{00000000-0010-0000-1500-00000F000000}" name="Tagalog (Filipino) Total" totalsRowFunction="sum" dataDxfId="1726"/>
    <tableColumn id="25" xr3:uid="{AC3B9EB6-72CE-4655-AE25-EB277F399F1D}" name="Urdu Total" totalsRowFunction="sum" dataDxfId="1725"/>
    <tableColumn id="16" xr3:uid="{00000000-0010-0000-1500-000010000000}" name="Vietnamese Total" totalsRowFunction="sum" dataDxfId="1724"/>
    <tableColumn id="17" xr3:uid="{00000000-0010-0000-1500-000011000000}" name="Other Total" totalsRowFunction="sum" dataDxfId="1723"/>
    <tableColumn id="21" xr3:uid="{3BCB57E9-7A80-48EA-A381-22FBE3B30A5A}" name="Total Seals per Local Educational Agency" totalsRowFunction="sum" dataDxfId="1722">
      <calculatedColumnFormula>SUM(Merced[[#This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erced county and also includes language totals."/>
    </ext>
  </extLst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6000000}" name="Mono" displayName="Mono" ref="A2:Z5" totalsRowCount="1" headerRowDxfId="1721" dataDxfId="1720">
  <autoFilter ref="A2:Z4" xr:uid="{00000000-0009-0000-0100-000018000000}"/>
  <tableColumns count="26">
    <tableColumn id="1" xr3:uid="{00000000-0010-0000-1600-000001000000}" name="Participating Districts" totalsRowLabel="Total Districts: 2" dataDxfId="1719" totalsRowDxfId="1718"/>
    <tableColumn id="2" xr3:uid="{00000000-0010-0000-1600-000002000000}" name="Participating Schools" totalsRowLabel="Total Schools: 3" dataDxfId="1717" totalsRowDxfId="1716"/>
    <tableColumn id="3" xr3:uid="{00000000-0010-0000-1600-000003000000}" name="American Sign Language Total" totalsRowFunction="sum" dataDxfId="1715"/>
    <tableColumn id="4" xr3:uid="{00000000-0010-0000-1600-000004000000}" name="Arabic Total" totalsRowFunction="sum" dataDxfId="1714"/>
    <tableColumn id="5" xr3:uid="{00000000-0010-0000-1600-000005000000}" name="Armenian Total" totalsRowFunction="sum" dataDxfId="1713"/>
    <tableColumn id="22" xr3:uid="{B5EF5756-3DEF-4878-B3C7-CDC1C22C4A82}" name="Bengali Total" totalsRowFunction="sum" dataDxfId="1712"/>
    <tableColumn id="18" xr3:uid="{C7312AD9-6F70-4599-9FB5-0C8B3F59C943}" name="Chinese (Mandarin or Cantonese) Total" totalsRowFunction="sum" dataDxfId="1711"/>
    <tableColumn id="23" xr3:uid="{26B548FF-DCB2-49B3-98EF-C83EA7E1C23F}" name="Farsi (Persian) Total" totalsRowFunction="sum" dataDxfId="1710"/>
    <tableColumn id="6" xr3:uid="{00000000-0010-0000-1600-000006000000}" name="French Total" totalsRowFunction="sum" dataDxfId="1709"/>
    <tableColumn id="7" xr3:uid="{00000000-0010-0000-1600-000007000000}" name="German Total" totalsRowFunction="sum" dataDxfId="1708"/>
    <tableColumn id="19" xr3:uid="{946AAB3F-8A21-431B-A470-C6E88AB2A78F}" name="Hebrew Total" totalsRowFunction="sum" dataDxfId="1707"/>
    <tableColumn id="24" xr3:uid="{0F70FB45-8D09-46FF-BC58-025C5DA33575}" name="Hindi Total" totalsRowFunction="sum" dataDxfId="1706"/>
    <tableColumn id="8" xr3:uid="{00000000-0010-0000-1600-000008000000}" name="Hmong Total" totalsRowFunction="sum" dataDxfId="1705"/>
    <tableColumn id="9" xr3:uid="{00000000-0010-0000-1600-000009000000}" name="Italian Total" totalsRowFunction="sum" dataDxfId="1704"/>
    <tableColumn id="10" xr3:uid="{00000000-0010-0000-1600-00000A000000}" name="Japanese Total" totalsRowFunction="sum" dataDxfId="1703"/>
    <tableColumn id="11" xr3:uid="{00000000-0010-0000-1600-00000B000000}" name="Korean Total" totalsRowFunction="sum" dataDxfId="1702"/>
    <tableColumn id="12" xr3:uid="{00000000-0010-0000-1600-00000C000000}" name="Latin Total" totalsRowFunction="sum" dataDxfId="1701"/>
    <tableColumn id="13" xr3:uid="{00000000-0010-0000-1600-00000D000000}" name="Portuguese Total" totalsRowFunction="sum" dataDxfId="1700"/>
    <tableColumn id="25" xr3:uid="{59F8D003-92C3-4431-80DC-B3AEECE6892A}" name="Punjabi Total" totalsRowFunction="sum" dataDxfId="1699"/>
    <tableColumn id="20" xr3:uid="{085E8907-77F5-45E7-BD3A-72A34E2F044B}" name="Russian Total" totalsRowFunction="sum" dataDxfId="1698"/>
    <tableColumn id="14" xr3:uid="{00000000-0010-0000-1600-00000E000000}" name="Spanish Total" totalsRowFunction="sum" dataDxfId="1697"/>
    <tableColumn id="15" xr3:uid="{00000000-0010-0000-1600-00000F000000}" name="Tagalog (Filipino) Total" totalsRowFunction="sum" dataDxfId="1696"/>
    <tableColumn id="26" xr3:uid="{454401BA-4690-46E4-9FD0-948832D464CC}" name="Urdu Total" totalsRowFunction="sum" dataDxfId="1695"/>
    <tableColumn id="16" xr3:uid="{00000000-0010-0000-1600-000010000000}" name="Vietnamese Total" totalsRowFunction="sum" dataDxfId="1694"/>
    <tableColumn id="17" xr3:uid="{00000000-0010-0000-1600-000011000000}" name="Other Total" totalsRowFunction="sum" dataDxfId="1693"/>
    <tableColumn id="21" xr3:uid="{63A4E1C2-59EC-4FF7-8C0F-795C08FD61C6}" name="Total Seals per Local Educational Agency" totalsRowFunction="sum" dataDxfId="1692">
      <calculatedColumnFormula>SUM(Mono[[#This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ono county and also includes language totals."/>
    </ext>
  </extLst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7000000}" name="Monterey" displayName="Monterey" ref="A2:Z10" totalsRowCount="1" headerRowDxfId="1691" dataDxfId="1690">
  <autoFilter ref="A2:Z9" xr:uid="{00000000-0009-0000-0100-000019000000}"/>
  <sortState xmlns:xlrd2="http://schemas.microsoft.com/office/spreadsheetml/2017/richdata2" ref="A3:Z9">
    <sortCondition ref="A2:A9"/>
  </sortState>
  <tableColumns count="26">
    <tableColumn id="1" xr3:uid="{00000000-0010-0000-1700-000001000000}" name="Participating Districts" totalsRowLabel="Total Districts: 7" dataDxfId="1689" totalsRowDxfId="1688"/>
    <tableColumn id="2" xr3:uid="{00000000-0010-0000-1700-000002000000}" name="Participating Schools" totalsRowLabel="Total Schools: 17" dataDxfId="1687" totalsRowDxfId="1686"/>
    <tableColumn id="3" xr3:uid="{00000000-0010-0000-1700-000003000000}" name="American Sign Language Total" totalsRowFunction="sum" dataDxfId="1685" totalsRowDxfId="1684"/>
    <tableColumn id="4" xr3:uid="{00000000-0010-0000-1700-000004000000}" name="Arabic Total" totalsRowFunction="sum" dataDxfId="1683" totalsRowDxfId="1682"/>
    <tableColumn id="5" xr3:uid="{00000000-0010-0000-1700-000005000000}" name="Armenian Total" totalsRowFunction="sum" dataDxfId="1681" totalsRowDxfId="1680"/>
    <tableColumn id="22" xr3:uid="{E77E44D9-DD4C-48AF-B5D4-7D4F6F129EED}" name="Bengali Total" totalsRowFunction="sum" dataDxfId="1679" totalsRowDxfId="1678"/>
    <tableColumn id="18" xr3:uid="{825CD97A-E00E-45B0-9D6F-27158B99AC11}" name="Chinese (Mandarin or Cantonese) Total" totalsRowFunction="sum" dataDxfId="1677" totalsRowDxfId="1676"/>
    <tableColumn id="23" xr3:uid="{8D58C892-D31B-48F3-9555-BBD8B34C6E86}" name="Farsi (Persian) Total" totalsRowFunction="sum" dataDxfId="1675" totalsRowDxfId="1674"/>
    <tableColumn id="6" xr3:uid="{00000000-0010-0000-1700-000006000000}" name="French Total" totalsRowFunction="sum" dataDxfId="1673" totalsRowDxfId="1672"/>
    <tableColumn id="7" xr3:uid="{00000000-0010-0000-1700-000007000000}" name="German Total" totalsRowFunction="sum" dataDxfId="1671" totalsRowDxfId="1670"/>
    <tableColumn id="19" xr3:uid="{230D5063-C6A9-47A0-8263-27947442D1D7}" name="Hebrew Total" totalsRowFunction="sum" dataDxfId="1669" totalsRowDxfId="1668"/>
    <tableColumn id="24" xr3:uid="{C0EF974B-C6BA-45D3-8C9E-B5231D113109}" name="Hindi Total" totalsRowFunction="sum" dataDxfId="1667" totalsRowDxfId="1666"/>
    <tableColumn id="8" xr3:uid="{00000000-0010-0000-1700-000008000000}" name="Hmong Total" totalsRowFunction="sum" dataDxfId="1665" totalsRowDxfId="1664"/>
    <tableColumn id="9" xr3:uid="{00000000-0010-0000-1700-000009000000}" name="Italian Total" totalsRowFunction="sum" dataDxfId="1663" totalsRowDxfId="1662"/>
    <tableColumn id="10" xr3:uid="{00000000-0010-0000-1700-00000A000000}" name="Japanese Total" totalsRowFunction="sum" dataDxfId="1661" totalsRowDxfId="1660"/>
    <tableColumn id="11" xr3:uid="{00000000-0010-0000-1700-00000B000000}" name="Korean Total" totalsRowFunction="sum" dataDxfId="1659" totalsRowDxfId="1658"/>
    <tableColumn id="12" xr3:uid="{00000000-0010-0000-1700-00000C000000}" name="Latin Total" totalsRowFunction="sum" dataDxfId="1657" totalsRowDxfId="1656"/>
    <tableColumn id="13" xr3:uid="{00000000-0010-0000-1700-00000D000000}" name="Portuguese Total" totalsRowFunction="sum" dataDxfId="1655" totalsRowDxfId="1654"/>
    <tableColumn id="25" xr3:uid="{7A0F814A-8EEB-43EE-9F1D-443BAE0B4355}" name="Punjabi Total" totalsRowFunction="sum" dataDxfId="1653" totalsRowDxfId="1652"/>
    <tableColumn id="20" xr3:uid="{77FDF20E-565D-4280-BB24-0B65C3AB90B9}" name="Russian Total" totalsRowFunction="sum" dataDxfId="1651" totalsRowDxfId="1650"/>
    <tableColumn id="14" xr3:uid="{00000000-0010-0000-1700-00000E000000}" name="Spanish Total" totalsRowFunction="sum" dataDxfId="1649" totalsRowDxfId="1648"/>
    <tableColumn id="15" xr3:uid="{00000000-0010-0000-1700-00000F000000}" name="Tagalog (Filipino) Total" totalsRowFunction="sum" dataDxfId="1647" totalsRowDxfId="1646"/>
    <tableColumn id="26" xr3:uid="{A4580293-10C8-4D68-9912-FA5E9FBF48C1}" name="Urdu Total" totalsRowFunction="sum" dataDxfId="1645" totalsRowDxfId="1644"/>
    <tableColumn id="16" xr3:uid="{00000000-0010-0000-1700-000010000000}" name="Vietnamese Total" totalsRowFunction="sum" dataDxfId="1643" totalsRowDxfId="1642"/>
    <tableColumn id="17" xr3:uid="{00000000-0010-0000-1700-000011000000}" name="Other Total" totalsRowFunction="sum" dataDxfId="1641" totalsRowDxfId="1640"/>
    <tableColumn id="21" xr3:uid="{56501934-9474-492A-A18F-FC2B4433DAAF}" name="Total Seals per Local Educational Agency" totalsRowFunction="sum" dataDxfId="1639" totalsRowDxfId="1638">
      <calculatedColumnFormula>SUM(Monterey[[#This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Monterey county and also includes language totals."/>
    </ext>
  </extLst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8000000}" name="Napa" displayName="Napa" ref="A2:Z5" totalsRowCount="1" headerRowDxfId="1637" dataDxfId="1636">
  <autoFilter ref="A2:Z4" xr:uid="{00000000-0009-0000-0100-00001A000000}"/>
  <sortState xmlns:xlrd2="http://schemas.microsoft.com/office/spreadsheetml/2017/richdata2" ref="A3:Z4">
    <sortCondition ref="A2:A4"/>
  </sortState>
  <tableColumns count="26">
    <tableColumn id="1" xr3:uid="{00000000-0010-0000-1800-000001000000}" name="Participating Districts" totalsRowLabel="Total Districts: 2" dataDxfId="1635" totalsRowDxfId="1634"/>
    <tableColumn id="2" xr3:uid="{00000000-0010-0000-1800-000002000000}" name="Participating Schools" totalsRowLabel="Total Schools: 7" dataDxfId="1633" totalsRowDxfId="1632"/>
    <tableColumn id="3" xr3:uid="{00000000-0010-0000-1800-000003000000}" name="American Sign Language Total" totalsRowFunction="sum" dataDxfId="1631"/>
    <tableColumn id="4" xr3:uid="{00000000-0010-0000-1800-000004000000}" name="Arabic Total" totalsRowFunction="sum" dataDxfId="1630"/>
    <tableColumn id="5" xr3:uid="{00000000-0010-0000-1800-000005000000}" name="Armenian Total" totalsRowFunction="sum" dataDxfId="1629"/>
    <tableColumn id="22" xr3:uid="{5ED1C7DB-2388-48CD-9F97-E13F531E8921}" name="Bengali Total" totalsRowFunction="sum" dataDxfId="1628"/>
    <tableColumn id="18" xr3:uid="{A6DDAD92-8AAC-4E52-9E41-73C8160BBCF6}" name="Chinese (Mandarin or Cantonese) Total" totalsRowFunction="sum" dataDxfId="1627"/>
    <tableColumn id="23" xr3:uid="{D55B2EAD-93CE-4A49-A278-368DBA97BE61}" name="Farsi (Persian) Total" totalsRowFunction="sum" dataDxfId="1626"/>
    <tableColumn id="6" xr3:uid="{00000000-0010-0000-1800-000006000000}" name="French Total" totalsRowFunction="sum" dataDxfId="1625"/>
    <tableColumn id="7" xr3:uid="{00000000-0010-0000-1800-000007000000}" name="German Total" totalsRowFunction="sum" dataDxfId="1624"/>
    <tableColumn id="19" xr3:uid="{22F80B64-13AA-4860-B285-A0ADD625FAE4}" name="Hebrew Total" totalsRowFunction="sum" dataDxfId="1623"/>
    <tableColumn id="24" xr3:uid="{CF20CECE-45BF-4EEF-BA78-ECA136860FB6}" name="Hindi Total" totalsRowFunction="sum" dataDxfId="1622"/>
    <tableColumn id="8" xr3:uid="{00000000-0010-0000-1800-000008000000}" name="Hmong Total" totalsRowFunction="sum" dataDxfId="1621"/>
    <tableColumn id="9" xr3:uid="{00000000-0010-0000-1800-000009000000}" name="Italian Total" totalsRowFunction="sum" dataDxfId="1620"/>
    <tableColumn id="10" xr3:uid="{00000000-0010-0000-1800-00000A000000}" name="Japanese Total" totalsRowFunction="sum" dataDxfId="1619"/>
    <tableColumn id="11" xr3:uid="{00000000-0010-0000-1800-00000B000000}" name="Korean Total" totalsRowFunction="sum" dataDxfId="1618"/>
    <tableColumn id="12" xr3:uid="{00000000-0010-0000-1800-00000C000000}" name="Latin Total" totalsRowFunction="sum" dataDxfId="1617"/>
    <tableColumn id="13" xr3:uid="{00000000-0010-0000-1800-00000D000000}" name="Portuguese Total" totalsRowFunction="sum" dataDxfId="1616"/>
    <tableColumn id="25" xr3:uid="{5D237226-DB38-46D5-AF29-7D0EEA66CB8A}" name="Punjabi Total" totalsRowFunction="sum" dataDxfId="1615"/>
    <tableColumn id="20" xr3:uid="{9BDC90E8-20CC-426A-976A-A31D620F731E}" name="Russian Total" totalsRowFunction="sum" dataDxfId="1614"/>
    <tableColumn id="14" xr3:uid="{00000000-0010-0000-1800-00000E000000}" name="Spanish Total" totalsRowFunction="sum" dataDxfId="1613"/>
    <tableColumn id="15" xr3:uid="{00000000-0010-0000-1800-00000F000000}" name="Tagalog (Filipino) Total" totalsRowFunction="sum" dataDxfId="1612"/>
    <tableColumn id="26" xr3:uid="{934AC2C8-8744-4986-8C58-CCCBBA48C2A1}" name="Urdu Total" totalsRowFunction="sum" dataDxfId="1611"/>
    <tableColumn id="16" xr3:uid="{00000000-0010-0000-1800-000010000000}" name="Vietnamese Total" totalsRowFunction="sum" dataDxfId="1610"/>
    <tableColumn id="17" xr3:uid="{00000000-0010-0000-1800-000011000000}" name="Other Total" totalsRowFunction="sum" dataDxfId="1609"/>
    <tableColumn id="21" xr3:uid="{CE283493-489C-4B06-9BAF-56C2C9D28395}" name="Total Seals per Local Educational Agency" totalsRowFunction="sum" dataDxfId="1608">
      <calculatedColumnFormula>SUM(Napa[[#This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Napa county and also includes language totals."/>
    </ext>
  </extLst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9000000}" name="Nevada" displayName="Nevada" ref="A2:Z4" totalsRowCount="1" headerRowDxfId="1607" dataDxfId="1606">
  <autoFilter ref="A2:Z3" xr:uid="{00000000-0009-0000-0100-00001B000000}"/>
  <tableColumns count="26">
    <tableColumn id="1" xr3:uid="{00000000-0010-0000-1900-000001000000}" name="Participating District" totalsRowLabel="Total Districts: 1" dataDxfId="1605" totalsRowDxfId="1604"/>
    <tableColumn id="2" xr3:uid="{00000000-0010-0000-1900-000002000000}" name="Participating Schools" totalsRowLabel="Total Schools: 1" dataDxfId="1603" totalsRowDxfId="1602"/>
    <tableColumn id="3" xr3:uid="{00000000-0010-0000-1900-000003000000}" name="American Sign Language Total" totalsRowFunction="sum" dataDxfId="1601"/>
    <tableColumn id="4" xr3:uid="{00000000-0010-0000-1900-000004000000}" name="Arabic Total" totalsRowFunction="sum" dataDxfId="1600"/>
    <tableColumn id="5" xr3:uid="{00000000-0010-0000-1900-000005000000}" name="Armenian Total" totalsRowFunction="sum" dataDxfId="1599"/>
    <tableColumn id="22" xr3:uid="{CE49EE6D-5703-4523-9926-4165BCA32A1A}" name="Bengali Total" totalsRowFunction="sum" dataDxfId="1598"/>
    <tableColumn id="18" xr3:uid="{EA16FD63-4880-4238-B840-8BA21D50C061}" name="Chinese (Mandarin or Cantonese) Total" totalsRowFunction="sum" dataDxfId="1597"/>
    <tableColumn id="23" xr3:uid="{AF1C38C8-4B15-41D3-BFF7-EA61B5D019B9}" name="Farsi (Persian) Total" totalsRowFunction="sum" dataDxfId="1596"/>
    <tableColumn id="6" xr3:uid="{00000000-0010-0000-1900-000006000000}" name="French Total" totalsRowFunction="sum" dataDxfId="1595"/>
    <tableColumn id="7" xr3:uid="{00000000-0010-0000-1900-000007000000}" name="German Total" totalsRowFunction="sum" dataDxfId="1594"/>
    <tableColumn id="20" xr3:uid="{AADFDBAD-D391-4563-906A-83F71EAEB73C}" name="Hebrew Total" totalsRowFunction="sum" dataDxfId="1593"/>
    <tableColumn id="24" xr3:uid="{8F0F8A20-57F3-455D-BA0C-22709A2E6F5C}" name="Hindi Total" totalsRowFunction="sum" dataDxfId="1592"/>
    <tableColumn id="8" xr3:uid="{00000000-0010-0000-1900-000008000000}" name="Hmong Total" totalsRowFunction="sum" dataDxfId="1591"/>
    <tableColumn id="9" xr3:uid="{00000000-0010-0000-1900-000009000000}" name="Italian Total" totalsRowFunction="sum" dataDxfId="1590"/>
    <tableColumn id="10" xr3:uid="{00000000-0010-0000-1900-00000A000000}" name="Japanese Total" totalsRowFunction="sum" dataDxfId="1589"/>
    <tableColumn id="11" xr3:uid="{00000000-0010-0000-1900-00000B000000}" name="Korean Total" totalsRowFunction="sum" dataDxfId="1588"/>
    <tableColumn id="12" xr3:uid="{00000000-0010-0000-1900-00000C000000}" name="Latin Total" totalsRowFunction="sum" dataDxfId="1587"/>
    <tableColumn id="13" xr3:uid="{00000000-0010-0000-1900-00000D000000}" name="Portuguese Total" totalsRowFunction="sum" dataDxfId="1586"/>
    <tableColumn id="25" xr3:uid="{F3EF5A83-4677-42BF-A4BC-74DF3ABB7114}" name="Punjabi Total" totalsRowFunction="sum" dataDxfId="1585"/>
    <tableColumn id="19" xr3:uid="{CE9DBD0C-C634-4917-9BEF-E6DB9352BED2}" name="Russian Total" totalsRowFunction="sum" dataDxfId="1584"/>
    <tableColumn id="14" xr3:uid="{00000000-0010-0000-1900-00000E000000}" name="Spanish Total" totalsRowFunction="sum" dataDxfId="1583"/>
    <tableColumn id="15" xr3:uid="{00000000-0010-0000-1900-00000F000000}" name="Tagalog (Filipino) Total" totalsRowFunction="sum" dataDxfId="1582"/>
    <tableColumn id="26" xr3:uid="{4264387F-5A1D-4B58-86A5-D09608FFD305}" name="Urdu Total" totalsRowFunction="sum" dataDxfId="1581"/>
    <tableColumn id="16" xr3:uid="{00000000-0010-0000-1900-000010000000}" name="Vietnamese Total" totalsRowFunction="sum" dataDxfId="1580"/>
    <tableColumn id="17" xr3:uid="{00000000-0010-0000-1900-000011000000}" name="Other Total" totalsRowFunction="sum" dataDxfId="1579"/>
    <tableColumn id="21" xr3:uid="{3BD5490D-6333-4D26-926A-DCC50DBDD4F5}" name="Total Seals per Local Educational Agency" totalsRowFunction="sum" dataDxfId="1578">
      <calculatedColumnFormula>SUM(Nevada[[#This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Nevada county and also includes language totals."/>
    </ext>
  </extLst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A000000}" name="Orange" displayName="Orange" ref="A2:Z27" totalsRowCount="1" headerRowDxfId="1577" dataDxfId="1576">
  <autoFilter ref="A2:Z26" xr:uid="{00000000-0009-0000-0100-00001C000000}"/>
  <sortState xmlns:xlrd2="http://schemas.microsoft.com/office/spreadsheetml/2017/richdata2" ref="A3:Z26">
    <sortCondition ref="A2:A26"/>
  </sortState>
  <tableColumns count="26">
    <tableColumn id="1" xr3:uid="{00000000-0010-0000-1A00-000001000000}" name="Participating Districts" totalsRowLabel="Total Districts: 24" dataDxfId="1575" totalsRowDxfId="1574"/>
    <tableColumn id="2" xr3:uid="{00000000-0010-0000-1A00-000002000000}" name="Participating Schools" totalsRowLabel="Total Schools: 98" totalsRowDxfId="1573"/>
    <tableColumn id="3" xr3:uid="{00000000-0010-0000-1A00-000003000000}" name="American Sign Language Total" totalsRowFunction="sum" dataDxfId="1572" totalsRowDxfId="1571"/>
    <tableColumn id="4" xr3:uid="{00000000-0010-0000-1A00-000004000000}" name="Arabic Total" totalsRowFunction="sum" dataDxfId="1570" totalsRowDxfId="1569"/>
    <tableColumn id="5" xr3:uid="{00000000-0010-0000-1A00-000005000000}" name="Armenian Total" totalsRowFunction="sum" dataDxfId="1568" totalsRowDxfId="1567"/>
    <tableColumn id="22" xr3:uid="{BEC5B8F8-0052-4540-8B1F-97F0070100C7}" name="Bengali Total" totalsRowFunction="sum" dataDxfId="1566" totalsRowDxfId="1565"/>
    <tableColumn id="18" xr3:uid="{8223933F-D118-438E-910B-279B6408CF7B}" name="Chinese (Mandarin or Cantonese) Total" totalsRowFunction="sum" dataDxfId="1564" totalsRowDxfId="1563"/>
    <tableColumn id="23" xr3:uid="{B3AF8C8D-6436-4FD1-9551-AD022BAA54B2}" name="Farsi (Persian) Total" totalsRowFunction="sum" dataDxfId="1562" totalsRowDxfId="1561"/>
    <tableColumn id="6" xr3:uid="{00000000-0010-0000-1A00-000006000000}" name="French Total" totalsRowFunction="sum" dataDxfId="1560" totalsRowDxfId="1559"/>
    <tableColumn id="7" xr3:uid="{00000000-0010-0000-1A00-000007000000}" name="German Total" totalsRowFunction="sum" dataDxfId="1558" totalsRowDxfId="1557"/>
    <tableColumn id="19" xr3:uid="{4D6FD13B-B658-4F71-A61A-1DB91BD88B21}" name="Hebrew Total" totalsRowFunction="sum" dataDxfId="1556" totalsRowDxfId="1555"/>
    <tableColumn id="24" xr3:uid="{28A278E2-4E02-4ECC-9C26-A547F610F6EA}" name="Hindi Total" totalsRowFunction="sum" dataDxfId="1554" totalsRowDxfId="1553"/>
    <tableColumn id="8" xr3:uid="{00000000-0010-0000-1A00-000008000000}" name="Hmong Total" totalsRowFunction="sum" dataDxfId="1552" totalsRowDxfId="1551"/>
    <tableColumn id="9" xr3:uid="{00000000-0010-0000-1A00-000009000000}" name="Italian Total" totalsRowFunction="sum" dataDxfId="1550" totalsRowDxfId="1549"/>
    <tableColumn id="10" xr3:uid="{00000000-0010-0000-1A00-00000A000000}" name="Japanese Total" totalsRowFunction="sum" dataDxfId="1548" totalsRowDxfId="1547"/>
    <tableColumn id="11" xr3:uid="{00000000-0010-0000-1A00-00000B000000}" name="Korean Total" totalsRowFunction="sum" dataDxfId="1546" totalsRowDxfId="1545"/>
    <tableColumn id="12" xr3:uid="{00000000-0010-0000-1A00-00000C000000}" name="Latin Total" totalsRowFunction="sum" dataDxfId="1544" totalsRowDxfId="1543"/>
    <tableColumn id="13" xr3:uid="{00000000-0010-0000-1A00-00000D000000}" name="Portuguese Total" totalsRowFunction="sum" dataDxfId="1542" totalsRowDxfId="1541"/>
    <tableColumn id="25" xr3:uid="{B8AFE11C-E726-4232-B6B1-688BB21ADE88}" name="Punjabi Total" totalsRowFunction="sum" dataDxfId="1540" totalsRowDxfId="1539"/>
    <tableColumn id="20" xr3:uid="{E22B6DF9-A50D-4738-946C-611C4C7AB73C}" name="Russian Total" totalsRowFunction="sum" dataDxfId="1538" totalsRowDxfId="1537"/>
    <tableColumn id="14" xr3:uid="{00000000-0010-0000-1A00-00000E000000}" name="Spanish Total" totalsRowFunction="sum" dataDxfId="1536" totalsRowDxfId="1535"/>
    <tableColumn id="15" xr3:uid="{00000000-0010-0000-1A00-00000F000000}" name="Tagalog (Filipino) Total" totalsRowFunction="sum" dataDxfId="1534" totalsRowDxfId="1533"/>
    <tableColumn id="26" xr3:uid="{C4719311-8D6C-49F9-B6A6-CF5077CBDCCD}" name="Urdu Total" totalsRowFunction="sum" dataDxfId="1532" totalsRowDxfId="1531"/>
    <tableColumn id="16" xr3:uid="{00000000-0010-0000-1A00-000010000000}" name="Vietnamese Total" totalsRowFunction="sum" dataDxfId="1530" totalsRowDxfId="1529"/>
    <tableColumn id="17" xr3:uid="{00000000-0010-0000-1A00-000011000000}" name="Other Total" totalsRowFunction="sum" dataDxfId="1528" totalsRowDxfId="1527"/>
    <tableColumn id="21" xr3:uid="{3248FBB5-5A9A-4D33-9291-32757DD2C77C}" name="Total Seals per Local Educational Agency" totalsRowFunction="sum" dataDxfId="1526" totalsRowDxfId="1525">
      <calculatedColumnFormula>SUM(Orange[[#This Row],[Participating Schools]:[Other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Orange county and also includes language totals."/>
    </ext>
  </extLst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AC15DA03-15A6-43F2-940D-D2C0F7CBE174}" name="Placer1" displayName="Placer1" ref="A2:Z12" totalsRowCount="1" headerRowDxfId="1524" dataDxfId="1523">
  <autoFilter ref="A2:Z11" xr:uid="{00000000-0009-0000-0100-00001C000000}"/>
  <sortState xmlns:xlrd2="http://schemas.microsoft.com/office/spreadsheetml/2017/richdata2" ref="A3:Z11">
    <sortCondition ref="A2:A11"/>
  </sortState>
  <tableColumns count="26">
    <tableColumn id="1" xr3:uid="{130A82A4-E22D-46AB-B9D5-00463A7076B7}" name="Participating Districts" totalsRowLabel="Total Districts: 9" dataDxfId="1522" totalsRowDxfId="1521"/>
    <tableColumn id="2" xr3:uid="{14F62238-F55A-44C8-A289-4700A2DF6260}" name="Participating Schools" totalsRowLabel="Total Schools: 23" dataDxfId="1520" totalsRowDxfId="1519"/>
    <tableColumn id="3" xr3:uid="{F9EE372B-32FE-4D62-A20B-A57E1AB20DFB}" name="American Sign Language Total" totalsRowFunction="sum" dataDxfId="1518" totalsRowDxfId="1517"/>
    <tableColumn id="4" xr3:uid="{E55C1051-9939-43B8-8A90-E3367AF47F6A}" name="Arabic Total" totalsRowFunction="sum" dataDxfId="1516" totalsRowDxfId="1515"/>
    <tableColumn id="5" xr3:uid="{B73E0633-8665-411D-8C85-B77A7F1E3AF3}" name="Armenian Total" totalsRowFunction="sum" dataDxfId="1514" totalsRowDxfId="1513"/>
    <tableColumn id="22" xr3:uid="{E9E8245A-6316-40DF-9A94-DF70221E4F5C}" name="Bengali Total" totalsRowFunction="sum" dataDxfId="1512" totalsRowDxfId="1511"/>
    <tableColumn id="18" xr3:uid="{9A0E5397-74E5-4FC3-B24E-A1B1C3C2D5D3}" name="Chinese (Mandarin or Cantonese) Total" totalsRowFunction="sum" dataDxfId="1510" totalsRowDxfId="1509"/>
    <tableColumn id="23" xr3:uid="{0E84B8BE-4669-4E93-A56C-FE17A100F687}" name="Farsi (Persian) Total" totalsRowFunction="sum" dataDxfId="1508" totalsRowDxfId="1507"/>
    <tableColumn id="6" xr3:uid="{4DC24FC3-EF51-431B-8162-6B293E8BE112}" name="French Total" totalsRowFunction="sum" dataDxfId="1506" totalsRowDxfId="1505"/>
    <tableColumn id="7" xr3:uid="{F6094A35-0792-4CB7-9846-2A6FEC924943}" name="German Total" totalsRowFunction="sum" dataDxfId="1504" totalsRowDxfId="1503"/>
    <tableColumn id="19" xr3:uid="{7645C1D1-DAFC-488D-8E86-2CC5433F13DE}" name="Hebrew Total" totalsRowFunction="sum" dataDxfId="1502" totalsRowDxfId="1501"/>
    <tableColumn id="24" xr3:uid="{77BE082D-2032-4A3F-91CF-18C5907B8C71}" name="Hindi Total" totalsRowFunction="sum" dataDxfId="1500" totalsRowDxfId="1499"/>
    <tableColumn id="8" xr3:uid="{BC0C61DC-98D1-4C65-8BCE-8A60B820991B}" name="Hmong Total" totalsRowFunction="sum" dataDxfId="1498" totalsRowDxfId="1497"/>
    <tableColumn id="9" xr3:uid="{09DBFB70-894B-4F26-8E10-BEBA10119B64}" name="Italian Total" totalsRowFunction="sum" dataDxfId="1496" totalsRowDxfId="1495"/>
    <tableColumn id="10" xr3:uid="{92C3B74E-DA0C-4652-8583-133C21AF300F}" name="Japanese Total" totalsRowFunction="sum" dataDxfId="1494" totalsRowDxfId="1493"/>
    <tableColumn id="11" xr3:uid="{62FECD99-93E9-469C-AAAF-AC914E3678DF}" name="Korean Total" totalsRowFunction="sum" dataDxfId="1492" totalsRowDxfId="1491"/>
    <tableColumn id="12" xr3:uid="{8CF38FA7-6DD3-474B-AA42-B163DB785F19}" name="Latin Total" totalsRowFunction="sum" dataDxfId="1490" totalsRowDxfId="1489"/>
    <tableColumn id="13" xr3:uid="{7670490B-D8E0-44A6-9CD7-E513AA8EBAC2}" name="Portuguese Total" totalsRowFunction="sum" dataDxfId="1488" totalsRowDxfId="1487"/>
    <tableColumn id="25" xr3:uid="{56C902CC-5CFE-49CD-A64E-D22277CF7398}" name="Punjabi Total" totalsRowFunction="sum" dataDxfId="1486" totalsRowDxfId="1485"/>
    <tableColumn id="20" xr3:uid="{22ABFCAF-E327-4E26-9394-0DBDE9190D03}" name="Russian Total" totalsRowFunction="sum" dataDxfId="1484" totalsRowDxfId="1483"/>
    <tableColumn id="14" xr3:uid="{0B790BD1-FB60-4DCB-96E7-90FF3C03393E}" name="Spanish Total" totalsRowFunction="sum" dataDxfId="1482" totalsRowDxfId="1481"/>
    <tableColumn id="15" xr3:uid="{7B8F950F-D60A-443E-B41C-8CC4FEB556CB}" name="Tagalog (Filipino) Total" totalsRowFunction="sum" dataDxfId="1480" totalsRowDxfId="1479"/>
    <tableColumn id="26" xr3:uid="{B699C112-8366-4904-9A85-DC07DC12C000}" name="Urdu Total" totalsRowFunction="sum" dataDxfId="1478" totalsRowDxfId="1477"/>
    <tableColumn id="16" xr3:uid="{BCDBBD19-9542-4B04-8049-5122DB27A44B}" name="Vietnamese Total" totalsRowFunction="sum" dataDxfId="1476" totalsRowDxfId="1475"/>
    <tableColumn id="17" xr3:uid="{54B36D79-5A57-4C8A-A16C-337178FD5767}" name="Other Total" totalsRowFunction="sum" dataDxfId="1474" totalsRowDxfId="1473"/>
    <tableColumn id="21" xr3:uid="{440F6FE3-2FB0-4001-B53D-A97695B51A93}" name="Total Seals per Local Educational Agency" totalsRowFunction="sum" dataDxfId="1472" totalsRowDxfId="1471">
      <calculatedColumnFormula>SUM(Placer1[[#This Row],[Participating Schools]:[Other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Placer county and also includes language totals."/>
    </ext>
  </extLst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C000000}" name="Plumas" displayName="Plumas" ref="A2:Z4" totalsRowCount="1" headerRowDxfId="1470" dataDxfId="1469">
  <autoFilter ref="A2:Z3" xr:uid="{00000000-0009-0000-0100-00001E000000}"/>
  <tableColumns count="26">
    <tableColumn id="1" xr3:uid="{00000000-0010-0000-1C00-000001000000}" name="Participating District" totalsRowLabel="Total Districts: 1" dataDxfId="1468" totalsRowDxfId="1467"/>
    <tableColumn id="2" xr3:uid="{00000000-0010-0000-1C00-000002000000}" name="Participating School" totalsRowLabel="Total Schools: 3" dataDxfId="1466" totalsRowDxfId="1465"/>
    <tableColumn id="3" xr3:uid="{00000000-0010-0000-1C00-000003000000}" name="American Sign Language Total" totalsRowFunction="sum" dataDxfId="1464"/>
    <tableColumn id="4" xr3:uid="{00000000-0010-0000-1C00-000004000000}" name="Arabic Total" totalsRowFunction="sum" dataDxfId="1463"/>
    <tableColumn id="5" xr3:uid="{00000000-0010-0000-1C00-000005000000}" name="Armenian Total" totalsRowFunction="sum" dataDxfId="1462"/>
    <tableColumn id="22" xr3:uid="{3140E568-A810-43AC-A678-064AF2F102D8}" name="Bengali Total" totalsRowFunction="sum" dataDxfId="1461"/>
    <tableColumn id="18" xr3:uid="{60CB2C03-86F0-4868-9473-9B7ECD02D4AE}" name="Chinese (Mandarin or Cantonese) Total" totalsRowFunction="sum" dataDxfId="1460"/>
    <tableColumn id="23" xr3:uid="{DE37C41B-3463-4F16-8738-4F9A7CF0A6AC}" name="Farsi (Persian) Total" totalsRowFunction="sum" dataDxfId="1459"/>
    <tableColumn id="6" xr3:uid="{00000000-0010-0000-1C00-000006000000}" name="French Total" totalsRowFunction="sum" dataDxfId="1458"/>
    <tableColumn id="7" xr3:uid="{00000000-0010-0000-1C00-000007000000}" name="German Total" totalsRowFunction="sum" dataDxfId="1457"/>
    <tableColumn id="19" xr3:uid="{21999D75-7F0C-4621-BD00-7FFE70075580}" name="Hebrew Total" totalsRowFunction="sum" dataDxfId="1456"/>
    <tableColumn id="24" xr3:uid="{241BD2BD-76FB-498E-AF82-8CB552F0697F}" name="Hindi Total" totalsRowFunction="sum" dataDxfId="1455"/>
    <tableColumn id="8" xr3:uid="{00000000-0010-0000-1C00-000008000000}" name="Hmong Total" totalsRowFunction="sum" dataDxfId="1454"/>
    <tableColumn id="9" xr3:uid="{00000000-0010-0000-1C00-000009000000}" name="Italian Total" totalsRowFunction="sum" dataDxfId="1453"/>
    <tableColumn id="10" xr3:uid="{00000000-0010-0000-1C00-00000A000000}" name="Japanese Total" totalsRowFunction="sum" dataDxfId="1452"/>
    <tableColumn id="11" xr3:uid="{00000000-0010-0000-1C00-00000B000000}" name="Korean Total" totalsRowFunction="sum" dataDxfId="1451"/>
    <tableColumn id="12" xr3:uid="{00000000-0010-0000-1C00-00000C000000}" name="Latin Total" totalsRowFunction="sum" dataDxfId="1450"/>
    <tableColumn id="13" xr3:uid="{00000000-0010-0000-1C00-00000D000000}" name="Portuguese Total" totalsRowFunction="sum" dataDxfId="1449"/>
    <tableColumn id="25" xr3:uid="{F8C742FC-1F9D-4E91-A7E9-781FDF2AD694}" name="Punjabi Total" totalsRowFunction="sum" dataDxfId="1448"/>
    <tableColumn id="20" xr3:uid="{82C81306-F6D8-40C1-8EB1-8F0156C48D85}" name="Russian Total" totalsRowFunction="sum" dataDxfId="1447"/>
    <tableColumn id="14" xr3:uid="{00000000-0010-0000-1C00-00000E000000}" name="Spanish Total" totalsRowFunction="sum" dataDxfId="1446"/>
    <tableColumn id="15" xr3:uid="{00000000-0010-0000-1C00-00000F000000}" name="Tagalog (Filipino) Total" totalsRowFunction="sum" dataDxfId="1445"/>
    <tableColumn id="26" xr3:uid="{7FF95829-B553-4ABA-A958-0A248C459B89}" name="Urdu Total" totalsRowFunction="sum" dataDxfId="1444"/>
    <tableColumn id="16" xr3:uid="{00000000-0010-0000-1C00-000010000000}" name="Vietnamese Total" totalsRowFunction="sum" dataDxfId="1443"/>
    <tableColumn id="17" xr3:uid="{00000000-0010-0000-1C00-000011000000}" name="Other Total" totalsRowFunction="sum" dataDxfId="1442"/>
    <tableColumn id="21" xr3:uid="{CF6B799E-228D-4D84-93F1-9FF9BF3C4E47}" name="Total Seals per Local Educational Agency" totalsRowFunction="sum" dataDxfId="1441">
      <calculatedColumnFormula>SUM(Plumas[[American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Plumas county and also includes language totals."/>
    </ext>
  </extLst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596B7B67-19B0-48DC-BEA3-26339CF84C45}" name="Riverside" displayName="Riverside" ref="A2:Z27" totalsRowCount="1" headerRowDxfId="1440" dataDxfId="1439">
  <autoFilter ref="A2:Z26" xr:uid="{00000000-0009-0000-0100-00001C000000}"/>
  <sortState xmlns:xlrd2="http://schemas.microsoft.com/office/spreadsheetml/2017/richdata2" ref="A3:Z26">
    <sortCondition ref="A2:A26"/>
  </sortState>
  <tableColumns count="26">
    <tableColumn id="1" xr3:uid="{9340B01F-1A05-4E5D-BB2A-EC4B6893D9E2}" name="Participating Districts" totalsRowLabel="Total Districts: 24" dataDxfId="1438" totalsRowDxfId="1437"/>
    <tableColumn id="2" xr3:uid="{441E0BBE-F327-4251-8696-B926BE90B295}" name="Participating Schools" totalsRowLabel="Total Schools: 82" totalsRowDxfId="1436"/>
    <tableColumn id="3" xr3:uid="{46814A71-10E0-4E2F-A2AF-A34AB67FFBA3}" name="American Sign Language Total" totalsRowFunction="sum" dataDxfId="1435" totalsRowDxfId="1434"/>
    <tableColumn id="4" xr3:uid="{C9996DB7-08C0-4107-AE75-B6E20064D5A1}" name="Arabic Total" totalsRowFunction="sum" dataDxfId="1433" totalsRowDxfId="1432"/>
    <tableColumn id="5" xr3:uid="{90DA33C4-141D-4B99-91EF-11A25A48E409}" name="Armenian Total" totalsRowFunction="sum" dataDxfId="1431" totalsRowDxfId="1430"/>
    <tableColumn id="22" xr3:uid="{18154CC8-3CBF-4191-AA48-E85B381D83AB}" name="Bengali Total" totalsRowFunction="sum" dataDxfId="1429" totalsRowDxfId="1428"/>
    <tableColumn id="18" xr3:uid="{90C9E0BF-535C-4084-B04D-B12980533972}" name="Chinese (Mandarin or Cantonese) Total" totalsRowFunction="sum" dataDxfId="1427" totalsRowDxfId="1426"/>
    <tableColumn id="23" xr3:uid="{1D279E02-F60A-4F44-B69A-1515D46585AE}" name="Farsi (Persian) Total" totalsRowFunction="sum" dataDxfId="1425" totalsRowDxfId="1424"/>
    <tableColumn id="6" xr3:uid="{D1E08C2F-2641-45AD-BD57-E678C3230743}" name="French Total" totalsRowFunction="sum" dataDxfId="1423" totalsRowDxfId="1422"/>
    <tableColumn id="7" xr3:uid="{33F4AE9C-8556-415C-8882-5F3D7EC36C37}" name="German Total" totalsRowFunction="sum" dataDxfId="1421" totalsRowDxfId="1420"/>
    <tableColumn id="19" xr3:uid="{EF190E85-527F-42E2-9BD9-ACDD288CCDED}" name="Hebrew Total" totalsRowFunction="sum" dataDxfId="1419" totalsRowDxfId="1418"/>
    <tableColumn id="24" xr3:uid="{3C1C0E98-F23B-4F75-8777-FCD3A78AA430}" name="Hindi Total" totalsRowFunction="sum" dataDxfId="1417" totalsRowDxfId="1416"/>
    <tableColumn id="8" xr3:uid="{033E7B13-325D-4709-9B68-946599D9C54B}" name="Hmong Total" totalsRowFunction="sum" dataDxfId="1415" totalsRowDxfId="1414"/>
    <tableColumn id="9" xr3:uid="{D3B3E8FF-7246-41EE-B915-B8E87C426C49}" name="Italian Total" totalsRowFunction="sum" dataDxfId="1413" totalsRowDxfId="1412"/>
    <tableColumn id="10" xr3:uid="{082C9316-6C99-4A33-8CA7-3F235E15C4C6}" name="Japanese Total" totalsRowFunction="sum" dataDxfId="1411" totalsRowDxfId="1410"/>
    <tableColumn id="11" xr3:uid="{143CF8B1-CC92-4F5D-BBF6-548FA7A788E3}" name="Korean Total" totalsRowFunction="sum" dataDxfId="1409" totalsRowDxfId="1408"/>
    <tableColumn id="12" xr3:uid="{90A790B1-8307-4C96-BB9C-8451FE27F27F}" name="Latin Total" totalsRowFunction="sum" dataDxfId="1407" totalsRowDxfId="1406"/>
    <tableColumn id="13" xr3:uid="{44E367E7-1CE0-43CC-8F53-95C99EB95C60}" name="Portuguese Total" totalsRowFunction="sum" dataDxfId="1405" totalsRowDxfId="1404"/>
    <tableColumn id="25" xr3:uid="{DC914B4B-13B8-4402-8A6A-7FA57A35B9E9}" name="Punjabi Total" totalsRowFunction="sum" dataDxfId="1403" totalsRowDxfId="1402"/>
    <tableColumn id="20" xr3:uid="{3B553FA9-6CE6-4ACA-962E-8525D209CF9E}" name="Russian Total" totalsRowFunction="sum" dataDxfId="1401" totalsRowDxfId="1400"/>
    <tableColumn id="14" xr3:uid="{182CD7ED-C642-4B55-BE98-3F7F0EA82362}" name="Spanish Total" totalsRowFunction="sum" dataDxfId="1399" totalsRowDxfId="1398"/>
    <tableColumn id="15" xr3:uid="{A5580846-75C6-4133-8959-CC0CEAFA3388}" name="Tagalog (Filipino) Total" totalsRowFunction="sum" dataDxfId="1397" totalsRowDxfId="1396"/>
    <tableColumn id="26" xr3:uid="{639573B1-57F3-44A9-A46A-0C95755BB90C}" name="Urdu Total" totalsRowFunction="sum" dataDxfId="1395" totalsRowDxfId="1394"/>
    <tableColumn id="16" xr3:uid="{11F31E84-C285-439D-9FC2-44C6AFCE8580}" name="Vietnamese Total" totalsRowFunction="sum" dataDxfId="1393" totalsRowDxfId="1392"/>
    <tableColumn id="17" xr3:uid="{ACAEF0ED-CE01-43A3-8382-E203D2685A84}" name="Other Total" totalsRowFunction="sum" dataDxfId="1391" totalsRowDxfId="1390"/>
    <tableColumn id="21" xr3:uid="{1D604675-79C8-49AF-B60B-C33AFD9104DF}" name="Total Seals per Local Educational Agency" totalsRowFunction="sum" dataDxfId="1389" totalsRowDxfId="1388">
      <calculatedColumnFormula>SUM(Riverside[[#This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Riverside county and also includes language totals."/>
    </ext>
  </extLst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AED1D1E-BFF8-48CA-BB13-464EA4C98191}" name="Sacramento" displayName="Sacramento" ref="A2:Z20" totalsRowCount="1" headerRowDxfId="1387" dataDxfId="1386">
  <autoFilter ref="A2:Z19" xr:uid="{00000000-0009-0000-0100-00001C000000}"/>
  <sortState xmlns:xlrd2="http://schemas.microsoft.com/office/spreadsheetml/2017/richdata2" ref="A3:Z19">
    <sortCondition ref="A2:A19"/>
  </sortState>
  <tableColumns count="26">
    <tableColumn id="1" xr3:uid="{AC47114C-30B5-4E0E-A33B-1320B0FE1953}" name="Participating Districts" totalsRowLabel="Total Districts: 17" dataDxfId="1385" totalsRowDxfId="1384"/>
    <tableColumn id="2" xr3:uid="{097EE7F6-F724-447B-8A74-EE9043FBA1A5}" name="Participating Schools" totalsRowLabel="Total Schools: 63" dataDxfId="1383" totalsRowDxfId="1382"/>
    <tableColumn id="3" xr3:uid="{F802752F-E592-4AD9-9E34-727D7B790393}" name="American Sign Language Total" totalsRowFunction="sum" dataDxfId="1381" totalsRowDxfId="1380"/>
    <tableColumn id="4" xr3:uid="{A87EC60C-7E8D-47D8-9988-1A3E5A0A64B3}" name="Arabic Total" totalsRowFunction="sum" dataDxfId="1379" totalsRowDxfId="1378"/>
    <tableColumn id="5" xr3:uid="{2F4B4761-C9DB-4ED3-8DA6-D9CE1559611A}" name="Armenian Total" totalsRowFunction="sum" dataDxfId="1377" totalsRowDxfId="1376"/>
    <tableColumn id="22" xr3:uid="{40681821-56DD-48A4-B0C4-056A26916499}" name="Bengali Total" totalsRowFunction="sum" dataDxfId="1375" totalsRowDxfId="1374"/>
    <tableColumn id="18" xr3:uid="{A284FB60-BBA9-49EF-AE0B-23497AB00F32}" name="Chinese (Mandarin or Cantonese) Total" totalsRowFunction="sum" dataDxfId="1373" totalsRowDxfId="1372"/>
    <tableColumn id="23" xr3:uid="{3D2B7CD5-38F1-4F53-B171-3329E5AF7DAC}" name="Farsi (Persian) Total" totalsRowFunction="sum" dataDxfId="1371" totalsRowDxfId="1370"/>
    <tableColumn id="6" xr3:uid="{D421053F-6BD7-49AF-80FE-2AE5672D94B7}" name="French Total" totalsRowFunction="sum" dataDxfId="1369" totalsRowDxfId="1368"/>
    <tableColumn id="7" xr3:uid="{85BF34AD-BB27-430D-9958-CB217E5F2FEB}" name="German Total" totalsRowFunction="sum" dataDxfId="1367" totalsRowDxfId="1366"/>
    <tableColumn id="19" xr3:uid="{847ED280-B5B3-407A-A1FE-8411160818FD}" name="Hebrew Total" totalsRowFunction="sum" dataDxfId="1365" totalsRowDxfId="1364"/>
    <tableColumn id="24" xr3:uid="{E8D447F7-E6B7-4063-A962-7BC5FD06357F}" name="Hindi Total" totalsRowFunction="sum" dataDxfId="1363" totalsRowDxfId="1362"/>
    <tableColumn id="8" xr3:uid="{8B41B5F7-1B16-4C3B-BB36-8842F07E34FC}" name="Hmong Total" totalsRowFunction="sum" dataDxfId="1361" totalsRowDxfId="1360"/>
    <tableColumn id="9" xr3:uid="{CE396192-96B5-442A-A0D4-87814E0661E5}" name="Italian Total" totalsRowFunction="sum" dataDxfId="1359" totalsRowDxfId="1358"/>
    <tableColumn id="10" xr3:uid="{28284205-C4B0-407D-8622-6D84A91E6970}" name="Japanese Total" totalsRowFunction="sum" dataDxfId="1357" totalsRowDxfId="1356"/>
    <tableColumn id="11" xr3:uid="{F49DE8E9-7255-4503-B6AC-524137A086EB}" name="Korean Total" totalsRowFunction="sum" dataDxfId="1355" totalsRowDxfId="1354"/>
    <tableColumn id="12" xr3:uid="{CFDB662D-D3C9-4B9B-A592-4BC03B3C890F}" name="Latin Total" totalsRowFunction="sum" dataDxfId="1353" totalsRowDxfId="1352"/>
    <tableColumn id="13" xr3:uid="{C2CB4E37-A603-47E5-AB63-114649CAC4DA}" name="Portuguese Total" totalsRowFunction="sum" dataDxfId="1351" totalsRowDxfId="1350"/>
    <tableColumn id="25" xr3:uid="{8DE100AF-574B-4795-BC32-C236BF999E2C}" name="Punjabi Total" totalsRowFunction="sum" dataDxfId="1349" totalsRowDxfId="1348"/>
    <tableColumn id="20" xr3:uid="{90C8DEC8-5273-4033-BD15-A2C660956664}" name="Russian Total" totalsRowFunction="sum" dataDxfId="1347" totalsRowDxfId="1346"/>
    <tableColumn id="14" xr3:uid="{AB9141C3-8398-434E-BECA-AEB9777CC7EA}" name="Spanish Total" totalsRowFunction="sum" dataDxfId="1345" totalsRowDxfId="1344"/>
    <tableColumn id="15" xr3:uid="{86B504A7-8D45-42EC-8AC1-7F27E9686278}" name="Tagalog (Filipino) Total" totalsRowFunction="sum" dataDxfId="1343" totalsRowDxfId="1342"/>
    <tableColumn id="26" xr3:uid="{85D347EB-6349-4B11-A68B-E7730DD7ABCC}" name="Urdu Total" totalsRowFunction="sum" dataDxfId="1341" totalsRowDxfId="1340"/>
    <tableColumn id="16" xr3:uid="{353ED0EF-2B69-400F-A6AE-8D3D69598735}" name="Vietnamese Total" totalsRowFunction="sum" dataDxfId="1339" totalsRowDxfId="1338"/>
    <tableColumn id="17" xr3:uid="{0F6D5104-B0F7-483F-8C77-748A4BEE135C}" name="Other Total" totalsRowFunction="sum" dataDxfId="1337" totalsRowDxfId="1336"/>
    <tableColumn id="21" xr3:uid="{44740C32-A304-4E20-89FA-557ED033C542}" name="Total Seals per Local Educational Agency" totalsRowFunction="sum" dataDxfId="1335" totalsRowDxfId="1334">
      <calculatedColumnFormula>SUM(Sacramento[[#This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cramento county and also includes language totals."/>
    </ext>
  </extLst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9DA09C2A-A8F6-44BC-A220-548B6759C511}" name="SanBenito" displayName="SanBenito" ref="A2:Z5" totalsRowCount="1" headerRowDxfId="1333" dataDxfId="1332">
  <autoFilter ref="A2:Z4" xr:uid="{00000000-0009-0000-0100-00001C000000}"/>
  <tableColumns count="26">
    <tableColumn id="1" xr3:uid="{F08159DB-8313-420C-8AF2-25EC77818301}" name="Participating Districts" totalsRowLabel="Total Districts: 2" dataDxfId="1331" totalsRowDxfId="1330"/>
    <tableColumn id="2" xr3:uid="{57615E15-633C-4CFC-AB0F-4417A01F4521}" name="Participating Schools" totalsRowLabel="Total Schools: 2" dataDxfId="1329" totalsRowDxfId="1328"/>
    <tableColumn id="3" xr3:uid="{EF348DAD-3134-4933-8E01-5FABF0EBB3EF}" name="American Sign Language Total" totalsRowFunction="sum" dataDxfId="1327" totalsRowDxfId="1326"/>
    <tableColumn id="4" xr3:uid="{9A3B8A20-84BF-4A9B-B987-59E9AA2C7959}" name="Arabic Total" totalsRowFunction="sum" dataDxfId="1325" totalsRowDxfId="1324"/>
    <tableColumn id="5" xr3:uid="{A5C94C84-6776-487F-B217-80F28B0DFB55}" name="Armenian Total" totalsRowFunction="sum" dataDxfId="1323" totalsRowDxfId="1322"/>
    <tableColumn id="22" xr3:uid="{2D20AAA9-7FAC-40C5-9629-CDE045131642}" name="Bengali Total" totalsRowFunction="sum" dataDxfId="1321" totalsRowDxfId="1320"/>
    <tableColumn id="18" xr3:uid="{3748BFA2-4150-46DC-A8F4-2CA3C6B58C0D}" name="Chinese (Mandarin or Cantonese) Total" totalsRowFunction="sum" dataDxfId="1319" totalsRowDxfId="1318"/>
    <tableColumn id="23" xr3:uid="{EA88F3A3-E705-4E36-8B00-1739CDE238E9}" name="Farsi (Persian) Total" totalsRowFunction="sum" dataDxfId="1317" totalsRowDxfId="1316"/>
    <tableColumn id="6" xr3:uid="{E030638A-553E-4C17-8A29-EB9D2372B9FE}" name="French Total" totalsRowFunction="sum" dataDxfId="1315" totalsRowDxfId="1314"/>
    <tableColumn id="7" xr3:uid="{D2AC7EF5-4FBC-41F5-B939-6ADC5B39A65F}" name="German Total" totalsRowFunction="sum" dataDxfId="1313" totalsRowDxfId="1312"/>
    <tableColumn id="19" xr3:uid="{F075D632-E36C-492F-81F6-D55494AB28E9}" name="Hebrew Total" totalsRowFunction="sum" dataDxfId="1311" totalsRowDxfId="1310"/>
    <tableColumn id="24" xr3:uid="{DA524A9F-B3FB-4742-8845-F1EF9A6520C7}" name="Hindi Total" totalsRowFunction="sum" dataDxfId="1309" totalsRowDxfId="1308"/>
    <tableColumn id="8" xr3:uid="{74E2320A-CA14-4568-8DCD-85D46B0F30A5}" name="Hmong Total" totalsRowFunction="sum" dataDxfId="1307" totalsRowDxfId="1306"/>
    <tableColumn id="9" xr3:uid="{A22ACF92-E17A-429F-8FCD-B042C1DD33A3}" name="Italian Total" totalsRowFunction="sum" dataDxfId="1305" totalsRowDxfId="1304"/>
    <tableColumn id="10" xr3:uid="{793EDAD4-E411-4B67-8188-AEF815D0A406}" name="Japanese Total" totalsRowFunction="sum" dataDxfId="1303" totalsRowDxfId="1302"/>
    <tableColumn id="11" xr3:uid="{57209486-7A09-47F9-854D-0E25854007FE}" name="Korean Total" totalsRowFunction="sum" dataDxfId="1301" totalsRowDxfId="1300"/>
    <tableColumn id="12" xr3:uid="{CC84911B-B211-4562-8A19-9DD47BE8E776}" name="Latin Total" totalsRowFunction="sum" dataDxfId="1299" totalsRowDxfId="1298"/>
    <tableColumn id="13" xr3:uid="{81300A5E-9727-4E32-AFBB-DE97C6C97CF4}" name="Portuguese Total" totalsRowFunction="sum" dataDxfId="1297" totalsRowDxfId="1296"/>
    <tableColumn id="25" xr3:uid="{E27F475F-F2FA-4A5E-AD34-F5636A8D2FA8}" name="Punjabi Total" totalsRowFunction="sum" dataDxfId="1295" totalsRowDxfId="1294"/>
    <tableColumn id="20" xr3:uid="{0A15BD28-D42E-43D6-B72A-C3983747FE1D}" name="Russian Total" totalsRowFunction="sum" dataDxfId="1293" totalsRowDxfId="1292"/>
    <tableColumn id="14" xr3:uid="{938AF6C1-4A16-4FEA-876A-81B1F2E81846}" name="Spanish Total" totalsRowFunction="sum" dataDxfId="1291" totalsRowDxfId="1290"/>
    <tableColumn id="15" xr3:uid="{C14A9490-C385-4DED-BF7F-EF2EC452BA3A}" name="Tagalog (Filipino) Total" totalsRowFunction="sum" dataDxfId="1289" totalsRowDxfId="1288"/>
    <tableColumn id="26" xr3:uid="{CE153833-D172-4401-997B-34ADA4F8E8FC}" name="Urdu Total" totalsRowFunction="sum" dataDxfId="1287" totalsRowDxfId="1286"/>
    <tableColumn id="16" xr3:uid="{35CC99AF-5185-48F2-A583-BA9CF5DB6FD3}" name="Vietnamese Total" totalsRowFunction="sum" dataDxfId="1285" totalsRowDxfId="1284"/>
    <tableColumn id="17" xr3:uid="{E13815C2-6DF1-4FA7-8E52-70022A02F48B}" name="Other Total" totalsRowFunction="sum" dataDxfId="1283" totalsRowDxfId="1282"/>
    <tableColumn id="21" xr3:uid="{5B4A6A76-DBEE-4E72-A8C1-1247D44E8904}" name="Total Seals per Local Educational Agency" totalsRowFunction="sum" dataDxfId="1281" totalsRowDxfId="1280">
      <calculatedColumnFormula>SUM(SanBenito[[#This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Benito county and also includes language totals."/>
    </ext>
  </extLst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956C8D0A-4471-47F7-9346-9E97B7C5E073}" name="SanBernardino" displayName="SanBernardino" ref="A2:Z38" totalsRowCount="1" headerRowDxfId="1279" dataDxfId="1278">
  <autoFilter ref="A2:Z37" xr:uid="{00000000-0009-0000-0100-00001C000000}"/>
  <sortState xmlns:xlrd2="http://schemas.microsoft.com/office/spreadsheetml/2017/richdata2" ref="A3:Z37">
    <sortCondition ref="A2:A37"/>
  </sortState>
  <tableColumns count="26">
    <tableColumn id="1" xr3:uid="{EC0A1EFA-786C-4E19-93A9-08870DEE1B0C}" name="Participating Districts" totalsRowLabel="Total Districts: 35" dataDxfId="1277" totalsRowDxfId="1276"/>
    <tableColumn id="2" xr3:uid="{271FEC12-90FC-4C21-85F6-1D2CA6D5B86F}" name="Participating Schools" totalsRowLabel="Total Schools: 80" dataDxfId="1275" totalsRowDxfId="1274"/>
    <tableColumn id="3" xr3:uid="{E932DEB6-FD7C-45E6-B245-8CD590C46797}" name="American Sign Language Total" totalsRowFunction="sum" dataDxfId="1273" totalsRowDxfId="1272"/>
    <tableColumn id="4" xr3:uid="{275B9E7B-B9C8-4449-A290-00590A6C7D25}" name="Arabic Total" totalsRowFunction="sum" dataDxfId="1271" totalsRowDxfId="1270"/>
    <tableColumn id="5" xr3:uid="{31AA25CD-5E64-4989-BBA9-2D11525E3EA9}" name="Armenian Total" totalsRowFunction="sum" dataDxfId="1269" totalsRowDxfId="1268"/>
    <tableColumn id="22" xr3:uid="{E88CF52D-3680-417E-80A1-0B1910BD9CBD}" name="Bengali Total" totalsRowFunction="sum" dataDxfId="1267" totalsRowDxfId="1266"/>
    <tableColumn id="18" xr3:uid="{E368FADA-2BC0-4524-8E34-F953DA27C24E}" name="Chinese (Mandarin or Cantonese) Total" totalsRowFunction="sum" dataDxfId="1265" totalsRowDxfId="1264"/>
    <tableColumn id="23" xr3:uid="{659F07D7-A4FC-4535-97C6-EE72C942A72B}" name="Farsi (Persian) Total" totalsRowFunction="sum" dataDxfId="1263" totalsRowDxfId="1262"/>
    <tableColumn id="6" xr3:uid="{C4A31468-B2BF-44B1-AD4E-09D177F7691E}" name="French Total" totalsRowFunction="sum" dataDxfId="1261" totalsRowDxfId="1260"/>
    <tableColumn id="7" xr3:uid="{0C5BFFD9-06CA-4D26-A548-31AF4A8E44F6}" name="German Total" totalsRowFunction="sum" dataDxfId="1259" totalsRowDxfId="1258"/>
    <tableColumn id="19" xr3:uid="{AB262A80-17A7-4E5E-9856-538AFCEA78F3}" name="Hebrew Total" totalsRowFunction="sum" dataDxfId="1257" totalsRowDxfId="1256"/>
    <tableColumn id="24" xr3:uid="{F93F660D-2B39-433C-B733-93A8929E8337}" name="Hindi Total" totalsRowFunction="sum" dataDxfId="1255" totalsRowDxfId="1254"/>
    <tableColumn id="8" xr3:uid="{5330CC2E-B645-44B9-BB26-F1109260A6A5}" name="Hmong Total" totalsRowFunction="sum" dataDxfId="1253" totalsRowDxfId="1252"/>
    <tableColumn id="9" xr3:uid="{FD8E51EC-AC6F-4FA1-A28D-98C1C6D9E38C}" name="Italian Total" totalsRowFunction="sum" dataDxfId="1251" totalsRowDxfId="1250"/>
    <tableColumn id="10" xr3:uid="{46AB8625-2D53-43CB-A010-248646EC007F}" name="Japanese Total" totalsRowFunction="sum" dataDxfId="1249" totalsRowDxfId="1248"/>
    <tableColumn id="11" xr3:uid="{86D28320-39DF-4BC3-B9F4-5A499EF32E58}" name="Korean Total" totalsRowFunction="sum" dataDxfId="1247" totalsRowDxfId="1246"/>
    <tableColumn id="12" xr3:uid="{8815FDBB-D893-48A5-89C6-7D045B5F0882}" name="Latin Total" totalsRowFunction="sum" dataDxfId="1245" totalsRowDxfId="1244"/>
    <tableColumn id="13" xr3:uid="{5FFBA51C-B2AA-4290-AAC6-82D9097F7213}" name="Portuguese Total" totalsRowFunction="sum" dataDxfId="1243" totalsRowDxfId="1242"/>
    <tableColumn id="25" xr3:uid="{9C64A464-278F-4097-9856-D99C06313192}" name="Punjabi Total" totalsRowFunction="sum" dataDxfId="1241" totalsRowDxfId="1240"/>
    <tableColumn id="20" xr3:uid="{7C0CDB97-71B1-45A8-BC6E-4428CA8BCB62}" name="Russian Total" totalsRowFunction="sum" dataDxfId="1239" totalsRowDxfId="1238"/>
    <tableColumn id="14" xr3:uid="{BB082E0A-6424-4BA9-9460-299AB229EDCE}" name="Spanish Total" totalsRowFunction="sum" dataDxfId="1237" totalsRowDxfId="1236"/>
    <tableColumn id="15" xr3:uid="{0A8E6A3B-1A20-43D5-82DA-5AB2EAE67FCC}" name="Tagalog (Filipino) Total" totalsRowFunction="sum" dataDxfId="1235" totalsRowDxfId="1234"/>
    <tableColumn id="26" xr3:uid="{E320E86C-4F5E-4F98-B456-008E3E1F3351}" name="Urdu Total" totalsRowFunction="sum" dataDxfId="1233" totalsRowDxfId="1232"/>
    <tableColumn id="16" xr3:uid="{C2117221-1142-46B8-A75E-98226F0B5FBD}" name="Vietnamese Total" totalsRowFunction="sum" dataDxfId="1231" totalsRowDxfId="1230"/>
    <tableColumn id="17" xr3:uid="{5C2EC240-FCCD-4325-93ED-FD626289DE4B}" name="Other Total" totalsRowFunction="sum" dataDxfId="1229" totalsRowDxfId="1228"/>
    <tableColumn id="21" xr3:uid="{A661FEDC-6C02-4A5C-8BE9-E2D25E98347D}" name="Total Seals per Local Educational Agency" totalsRowFunction="sum" dataDxfId="1227" totalsRowDxfId="1226">
      <calculatedColumnFormula>SUM(SanBernardino[[#This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Bernardino county and also includes language totals."/>
    </ext>
  </extLst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608E5206-A112-4A49-A5C0-85063BF4446C}" name="SanDiego" displayName="SanDiego" ref="A2:Z49" totalsRowCount="1" headerRowDxfId="1225" dataDxfId="1224">
  <autoFilter ref="A2:Z48" xr:uid="{00000000-0009-0000-0100-00001C000000}"/>
  <sortState xmlns:xlrd2="http://schemas.microsoft.com/office/spreadsheetml/2017/richdata2" ref="A3:Z48">
    <sortCondition ref="A2:A48"/>
  </sortState>
  <tableColumns count="26">
    <tableColumn id="1" xr3:uid="{B53C3ABD-5675-4F02-9D6B-ECE657F4B2F9}" name="Participating Districts" totalsRowLabel="Total Districts: 46" dataDxfId="1223" totalsRowDxfId="1222"/>
    <tableColumn id="2" xr3:uid="{FE8E49E2-AE58-44A9-9506-96D90194FC65}" name="Participating Schools" totalsRowLabel="Total Schools: 117" dataDxfId="1221" totalsRowDxfId="1220"/>
    <tableColumn id="3" xr3:uid="{469B1051-69BA-44E5-90AA-8D4A6882805C}" name="American Sign Language Total" totalsRowFunction="sum" dataDxfId="1219" totalsRowDxfId="1218"/>
    <tableColumn id="4" xr3:uid="{3F7FB498-3416-44C2-878E-E8CCC8ECCD8C}" name="Arabic Total" totalsRowFunction="sum" dataDxfId="1217" totalsRowDxfId="1216"/>
    <tableColumn id="5" xr3:uid="{F0207417-8192-4AFC-B854-B8BFC91A16CB}" name="Armenian Total" totalsRowFunction="sum" dataDxfId="1215" totalsRowDxfId="1214"/>
    <tableColumn id="22" xr3:uid="{19D35645-0979-48C1-8960-A055F53FC58F}" name="Bengali Total" totalsRowFunction="sum" dataDxfId="1213" totalsRowDxfId="1212"/>
    <tableColumn id="18" xr3:uid="{4AB82019-D4A6-4BBB-BBCF-13090302B10C}" name="Chinese (Mandarin or Cantonese) Total" totalsRowFunction="sum" dataDxfId="1211" totalsRowDxfId="1210"/>
    <tableColumn id="23" xr3:uid="{88A671AD-F120-4E02-91A3-7AA3108D56FE}" name="Farsi (Persian) Total" totalsRowFunction="sum" dataDxfId="1209" totalsRowDxfId="1208"/>
    <tableColumn id="6" xr3:uid="{A5D88989-3AB9-4CEB-B501-AA9DC2AA9038}" name="French Total" totalsRowFunction="sum" dataDxfId="1207" totalsRowDxfId="1206"/>
    <tableColumn id="7" xr3:uid="{4D1300F1-8AFE-43D5-8456-ECDF055FDBBE}" name="German Total" totalsRowFunction="sum" dataDxfId="1205" totalsRowDxfId="1204"/>
    <tableColumn id="19" xr3:uid="{DF959E2D-3029-45B1-B19E-5C75F63266BA}" name="Hebrew Total" totalsRowFunction="sum" dataDxfId="1203" totalsRowDxfId="1202"/>
    <tableColumn id="24" xr3:uid="{13B47C40-0778-4832-9F93-B3C4D25C233F}" name="Hindi Total" totalsRowFunction="sum" dataDxfId="1201" totalsRowDxfId="1200"/>
    <tableColumn id="8" xr3:uid="{EA797D0C-ECCA-466C-84A0-1305E6F349AD}" name="Hmong Total" totalsRowFunction="sum" dataDxfId="1199" totalsRowDxfId="1198"/>
    <tableColumn id="9" xr3:uid="{B476A425-A7C5-49C7-BBDC-543BC788F078}" name="Italian Total" totalsRowFunction="sum" dataDxfId="1197" totalsRowDxfId="1196"/>
    <tableColumn id="10" xr3:uid="{58F7DC5F-6295-41D1-9740-CF4395B5FCB7}" name="Japanese Total" totalsRowFunction="sum" dataDxfId="1195" totalsRowDxfId="1194"/>
    <tableColumn id="11" xr3:uid="{7F1BAE88-7BC5-4831-93C3-EE6937F320C3}" name="Korean Total" totalsRowFunction="sum" dataDxfId="1193" totalsRowDxfId="1192"/>
    <tableColumn id="12" xr3:uid="{9C5E5AF4-16DF-4406-95C9-1118A473D407}" name="Latin Total" totalsRowFunction="sum" dataDxfId="1191" totalsRowDxfId="1190"/>
    <tableColumn id="13" xr3:uid="{FF491C42-9D42-4E93-AA42-BC3B4BFA8E3D}" name="Portuguese Total" totalsRowFunction="sum" dataDxfId="1189" totalsRowDxfId="1188"/>
    <tableColumn id="25" xr3:uid="{E822A16F-9AD3-4C4E-9598-E6F7B84E9C1B}" name="Punjabi Total" totalsRowFunction="sum" dataDxfId="1187" totalsRowDxfId="1186"/>
    <tableColumn id="20" xr3:uid="{64551468-F714-4E83-B388-7822B9DE6269}" name="Russian Total" totalsRowFunction="sum" dataDxfId="1185" totalsRowDxfId="1184"/>
    <tableColumn id="14" xr3:uid="{A3406822-74B9-49A8-AE99-64265E667736}" name="Spanish Total" totalsRowFunction="sum" dataDxfId="1183" totalsRowDxfId="1182"/>
    <tableColumn id="15" xr3:uid="{3114FB76-4632-439E-B5A3-C0C395D67D41}" name="Tagalog (Filipino) Total" totalsRowFunction="sum" dataDxfId="1181" totalsRowDxfId="1180"/>
    <tableColumn id="26" xr3:uid="{1E552390-569F-4ADA-95C2-CACB54B85E72}" name="Urdu Total" totalsRowFunction="sum" dataDxfId="1179" totalsRowDxfId="1178"/>
    <tableColumn id="16" xr3:uid="{42E53A3C-D681-4CFE-8B3B-D4B516D3AAB7}" name="Vietnamese Total" totalsRowFunction="sum" dataDxfId="1177" totalsRowDxfId="1176"/>
    <tableColumn id="17" xr3:uid="{E398B606-ECC6-4C31-9AC1-002329DB8EEE}" name="Other Total" totalsRowFunction="sum" dataDxfId="1175" totalsRowDxfId="1174"/>
    <tableColumn id="21" xr3:uid="{93CE64C2-FF49-4EC6-895A-521D4702C4DE}" name="Total Seals per Local Educational Agency" totalsRowFunction="sum" dataDxfId="1173" totalsRowDxfId="1172">
      <calculatedColumnFormula>SUM(SanDiego[[#This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Diego county and also includes language totals."/>
    </ext>
  </extLst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87506349-F0EA-4A2B-BD3A-031F3E5C2136}" name="SanFrancisco" displayName="SanFrancisco" ref="A2:Z7" totalsRowCount="1" headerRowDxfId="1171" dataDxfId="1170">
  <autoFilter ref="A2:Z6" xr:uid="{00000000-0009-0000-0100-00001C000000}"/>
  <sortState xmlns:xlrd2="http://schemas.microsoft.com/office/spreadsheetml/2017/richdata2" ref="A3:Z6">
    <sortCondition ref="A2:A6"/>
  </sortState>
  <tableColumns count="26">
    <tableColumn id="1" xr3:uid="{0148456C-DC60-4250-964C-604C57B3D994}" name="Participating Districts" totalsRowLabel="Total Districts: 4" dataDxfId="1169" totalsRowDxfId="1168"/>
    <tableColumn id="2" xr3:uid="{340374B1-862D-48DA-8173-B1B7EB7E5E5A}" name="Participating Schools" totalsRowLabel="Total Schools: 18" dataDxfId="1167" totalsRowDxfId="1166"/>
    <tableColumn id="3" xr3:uid="{5316860C-AB9D-4DF9-B6DC-8F1600F77C14}" name="American Sign Language Total" totalsRowFunction="sum" dataDxfId="1165" totalsRowDxfId="1164"/>
    <tableColumn id="4" xr3:uid="{5775B428-0D65-4A0D-B360-1E1885EEFBE2}" name="Arabic Total" totalsRowFunction="sum" dataDxfId="1163" totalsRowDxfId="1162"/>
    <tableColumn id="5" xr3:uid="{5AEDC4CF-8B1B-40D9-BBAB-3C8531BF9B2E}" name="Armenian Total" totalsRowFunction="sum" dataDxfId="1161" totalsRowDxfId="1160"/>
    <tableColumn id="22" xr3:uid="{481E401B-F9F3-4842-AFAD-658FDF5B3348}" name="Bengali Total" totalsRowFunction="sum" dataDxfId="1159" totalsRowDxfId="1158"/>
    <tableColumn id="18" xr3:uid="{4AB8394E-0390-4A44-AFB0-62FE0925F9BE}" name="Chinese (Mandarin or Cantonese) Total" totalsRowFunction="sum" dataDxfId="1157" totalsRowDxfId="1156"/>
    <tableColumn id="23" xr3:uid="{BFB07428-4FEE-424E-A302-5D41C811C581}" name="Farsi (Persian) Total" totalsRowFunction="sum" dataDxfId="1155" totalsRowDxfId="1154"/>
    <tableColumn id="6" xr3:uid="{8D3CB4DC-4C53-4B02-B6A9-D20597D13A8D}" name="French Total" totalsRowFunction="sum" dataDxfId="1153" totalsRowDxfId="1152"/>
    <tableColumn id="7" xr3:uid="{6C948503-8117-4E56-98E7-82E884E40F0F}" name="German Total" totalsRowFunction="sum" dataDxfId="1151" totalsRowDxfId="1150"/>
    <tableColumn id="19" xr3:uid="{7F84AE7F-5737-428D-BF43-803E969D1141}" name="Hebrew Total" totalsRowFunction="sum" dataDxfId="1149" totalsRowDxfId="1148"/>
    <tableColumn id="24" xr3:uid="{C7536384-7639-4B4F-A1C5-4F153C138644}" name="Hindi Total" totalsRowFunction="sum" dataDxfId="1147" totalsRowDxfId="1146"/>
    <tableColumn id="8" xr3:uid="{1D44CD01-1986-4CD0-9A93-AA4B218D04D5}" name="Hmong Total" totalsRowFunction="sum" dataDxfId="1145" totalsRowDxfId="1144"/>
    <tableColumn id="9" xr3:uid="{885ACEF6-1861-4D60-88F4-603FFEF60ECB}" name="Italian Total" totalsRowFunction="sum" dataDxfId="1143" totalsRowDxfId="1142"/>
    <tableColumn id="10" xr3:uid="{C986C3BD-860B-40A9-99ED-8340462E78AD}" name="Japanese Total" totalsRowFunction="sum" dataDxfId="1141" totalsRowDxfId="1140"/>
    <tableColumn id="11" xr3:uid="{5BE8290D-A7AD-4975-9718-95DD55600A6C}" name="Korean Total" totalsRowFunction="sum" dataDxfId="1139" totalsRowDxfId="1138"/>
    <tableColumn id="12" xr3:uid="{49707D8C-D3CD-4CEE-8474-0A8554103F99}" name="Latin Total" totalsRowFunction="sum" dataDxfId="1137" totalsRowDxfId="1136"/>
    <tableColumn id="13" xr3:uid="{A5360A3F-9C04-4892-A910-A7C00D2EA26A}" name="Portuguese Total" totalsRowFunction="sum" dataDxfId="1135" totalsRowDxfId="1134"/>
    <tableColumn id="25" xr3:uid="{BE0225A5-7DC9-462C-BA84-0E03032FAA05}" name="Punjabi Total" totalsRowFunction="sum" dataDxfId="1133" totalsRowDxfId="1132"/>
    <tableColumn id="20" xr3:uid="{CFA04AC7-12B4-463B-AFB1-9D3D0C8AE7E9}" name="Russian Total" totalsRowFunction="sum" dataDxfId="1131" totalsRowDxfId="1130"/>
    <tableColumn id="14" xr3:uid="{497BBA2F-E3E8-4202-958E-7C0F3941B22E}" name="Spanish Total" totalsRowFunction="sum" dataDxfId="1129" totalsRowDxfId="1128"/>
    <tableColumn id="15" xr3:uid="{706DE1B3-1458-48B0-BAC5-F5C1B6409394}" name="Tagalog (Filipino) Total" totalsRowFunction="sum" dataDxfId="1127" totalsRowDxfId="1126"/>
    <tableColumn id="26" xr3:uid="{2BBB6E3F-84C4-41DA-8349-A8A7CDB810DE}" name="Urdu Total" totalsRowFunction="sum" dataDxfId="1125" totalsRowDxfId="1124"/>
    <tableColumn id="16" xr3:uid="{532DCBC5-99E2-479B-9B56-601D6E1C3E5B}" name="Vietnamese Total" totalsRowFunction="sum" dataDxfId="1123" totalsRowDxfId="1122"/>
    <tableColumn id="17" xr3:uid="{78E67553-ACA2-4220-8902-BC1EC1CB777C}" name="Other Total" totalsRowFunction="sum" dataDxfId="1121" totalsRowDxfId="1120"/>
    <tableColumn id="21" xr3:uid="{E51FD5D1-428E-4131-968C-D554F7C8BB86}" name="Total Seals per Local Educational Agency" totalsRowFunction="sum" dataDxfId="1119" totalsRowDxfId="1118">
      <calculatedColumnFormula>SUM(SanFrancisco[[#This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Francisco county and also includes language totals."/>
    </ext>
  </extLst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3852CA8C-AD35-4960-9208-10ADF8033CA2}" name="SanJoaquin" displayName="SanJoaquin" ref="A2:Z18" totalsRowCount="1" headerRowDxfId="1117" dataDxfId="1116">
  <autoFilter ref="A2:Z17" xr:uid="{00000000-0009-0000-0100-00001C000000}"/>
  <sortState xmlns:xlrd2="http://schemas.microsoft.com/office/spreadsheetml/2017/richdata2" ref="A3:Z16">
    <sortCondition ref="A2:A16"/>
  </sortState>
  <tableColumns count="26">
    <tableColumn id="1" xr3:uid="{3819DEE4-315C-4444-9E19-85B22D75A150}" name="Participating Districts" totalsRowLabel="Total Districts: 15" dataDxfId="1115" totalsRowDxfId="1114"/>
    <tableColumn id="2" xr3:uid="{03788D9F-7397-4814-9910-6CB6241498C4}" name="Participating Schools" totalsRowLabel="Total Schools: 35" dataDxfId="1113" totalsRowDxfId="1112"/>
    <tableColumn id="3" xr3:uid="{FE53924A-7317-44E2-891B-890BDFCEC03E}" name="American Sign Language Total" totalsRowFunction="sum" dataDxfId="1111" totalsRowDxfId="1110"/>
    <tableColumn id="4" xr3:uid="{6D0A3F4C-0CF7-48FC-944E-89E94ED53304}" name="Arabic Total" totalsRowFunction="sum" dataDxfId="1109" totalsRowDxfId="1108"/>
    <tableColumn id="5" xr3:uid="{5B27E197-1F20-4FA8-A511-FD70B6990B20}" name="Armenian Total" totalsRowFunction="sum" dataDxfId="1107" totalsRowDxfId="1106"/>
    <tableColumn id="22" xr3:uid="{CA288B4C-48A7-4001-A505-F55341D1A627}" name="Bengali Total" totalsRowFunction="sum" dataDxfId="1105" totalsRowDxfId="1104"/>
    <tableColumn id="18" xr3:uid="{C29B0903-7C3A-482F-8E6F-2B390EC544C1}" name="Chinese (Mandarin or Cantonese) Total" totalsRowFunction="sum" dataDxfId="1103" totalsRowDxfId="1102"/>
    <tableColumn id="23" xr3:uid="{59252173-4024-4D4F-97DA-4E7E2E949D0B}" name="Farsi (Persian) Total" totalsRowFunction="sum" dataDxfId="1101" totalsRowDxfId="1100"/>
    <tableColumn id="6" xr3:uid="{FD02076B-F2E2-45B0-985B-A200D139C23A}" name="French Total" totalsRowFunction="sum" dataDxfId="1099" totalsRowDxfId="1098"/>
    <tableColumn id="7" xr3:uid="{3DCA314A-1A83-4219-87EF-994D1A6DDE4A}" name="German Total" totalsRowFunction="sum" dataDxfId="1097" totalsRowDxfId="1096"/>
    <tableColumn id="19" xr3:uid="{A42A5FD9-1634-41AC-8654-5E5047EEB659}" name="Hebrew Total" totalsRowFunction="sum" dataDxfId="1095" totalsRowDxfId="1094"/>
    <tableColumn id="24" xr3:uid="{A731389C-5C52-442C-B6FC-40FC8DA8B074}" name="Hindi Total" totalsRowFunction="sum" dataDxfId="1093" totalsRowDxfId="1092"/>
    <tableColumn id="8" xr3:uid="{F677FF7E-4CAC-4633-8925-C20D7C75FDF1}" name="Hmong Total" totalsRowFunction="sum" dataDxfId="1091" totalsRowDxfId="1090"/>
    <tableColumn id="9" xr3:uid="{02960FDC-2B0B-4E51-BA15-F1A5EF78DF11}" name="Italian Total" totalsRowFunction="sum" dataDxfId="1089" totalsRowDxfId="1088"/>
    <tableColumn id="10" xr3:uid="{646576D5-B28C-412D-8DA5-61BF34108604}" name="Japanese Total" totalsRowFunction="sum" dataDxfId="1087" totalsRowDxfId="1086"/>
    <tableColumn id="11" xr3:uid="{BB693864-7915-4C3D-965D-926C6F7FAC79}" name="Korean Total" totalsRowFunction="sum" dataDxfId="1085" totalsRowDxfId="1084"/>
    <tableColumn id="12" xr3:uid="{809B8CEE-07D9-4178-BEA4-796841C02BCD}" name="Latin Total" totalsRowFunction="sum" dataDxfId="1083" totalsRowDxfId="1082"/>
    <tableColumn id="13" xr3:uid="{0D464DFB-0057-4390-92CF-A33B1ED9F0F0}" name="Portuguese Total" totalsRowFunction="sum" dataDxfId="1081" totalsRowDxfId="1080"/>
    <tableColumn id="25" xr3:uid="{4AC39CEC-27B3-40EB-A009-1CFAF0BFF7E6}" name="Punjabi Total" totalsRowFunction="sum" dataDxfId="1079" totalsRowDxfId="1078"/>
    <tableColumn id="20" xr3:uid="{EF04B982-A5FE-490A-A6AB-F932F54B4A84}" name="Russian Total" totalsRowFunction="sum" dataDxfId="1077" totalsRowDxfId="1076"/>
    <tableColumn id="14" xr3:uid="{6AD47108-B902-45DA-9A43-A1A86BE68181}" name="Spanish Total" totalsRowFunction="sum" dataDxfId="1075" totalsRowDxfId="1074"/>
    <tableColumn id="15" xr3:uid="{F812D709-E49F-4DFA-B21A-A752CE3616AB}" name="Tagalog (Filipino) Total" totalsRowFunction="sum" dataDxfId="1073" totalsRowDxfId="1072"/>
    <tableColumn id="26" xr3:uid="{1FB79AF1-B67F-4F21-8F5D-D6E745FC145D}" name="Urdu Total" totalsRowFunction="sum" dataDxfId="1071" totalsRowDxfId="1070"/>
    <tableColumn id="16" xr3:uid="{2FD8EF42-B83B-4503-8709-2D419074F925}" name="Vietnamese Total" totalsRowFunction="sum" dataDxfId="1069" totalsRowDxfId="1068"/>
    <tableColumn id="17" xr3:uid="{D0C8E734-5C4F-4D26-A56F-92E7295060AC}" name="Other Total" totalsRowFunction="sum" dataDxfId="1067" totalsRowDxfId="1066"/>
    <tableColumn id="21" xr3:uid="{3C06B434-ACEB-4813-998E-DD57A8542377}" name="Total Seals per Local Educational Agency" totalsRowFunction="sum" dataDxfId="1065" totalsRowDxfId="1064">
      <calculatedColumnFormula>SUM(SanJoaquin[[#This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Joaquin county and also includes language totals."/>
    </ext>
  </extLst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FD3FB69E-2441-4DA7-8A0C-E8DB1F0B4105}" name="SanLuisObispo" displayName="SanLuisObispo" ref="A2:Z7" totalsRowCount="1" headerRowDxfId="1063" dataDxfId="1062">
  <autoFilter ref="A2:Z6" xr:uid="{00000000-0009-0000-0100-00001C000000}"/>
  <sortState xmlns:xlrd2="http://schemas.microsoft.com/office/spreadsheetml/2017/richdata2" ref="A3:Z6">
    <sortCondition ref="A2:A6"/>
  </sortState>
  <tableColumns count="26">
    <tableColumn id="1" xr3:uid="{6B902C48-57D7-453F-9C4D-C1A73693325C}" name="Participating Districts" totalsRowLabel="Total Districts: 4" dataDxfId="1061" totalsRowDxfId="1060"/>
    <tableColumn id="2" xr3:uid="{2CA0133E-9A91-49DC-81AA-17EC1B4252AA}" name="Participating Schools" totalsRowLabel="Total Schools: 8" dataDxfId="1059" totalsRowDxfId="1058"/>
    <tableColumn id="3" xr3:uid="{D51A56B7-DE26-4D66-A0A4-36AD153BEE70}" name="American Sign Language Total" totalsRowFunction="sum" dataDxfId="1057" totalsRowDxfId="1056"/>
    <tableColumn id="4" xr3:uid="{8C1CFB17-3E1B-420A-B232-3F2CCA38A802}" name="Arabic Total" totalsRowFunction="sum" dataDxfId="1055" totalsRowDxfId="1054"/>
    <tableColumn id="5" xr3:uid="{A0899695-FD8C-441C-A38F-8D0D2A50A4F1}" name="Armenian Total" totalsRowFunction="sum" dataDxfId="1053" totalsRowDxfId="1052"/>
    <tableColumn id="22" xr3:uid="{B0585034-861D-4261-A1AE-71916745C2E1}" name="Bengali Total" totalsRowFunction="sum" dataDxfId="1051" totalsRowDxfId="1050"/>
    <tableColumn id="18" xr3:uid="{6B1E8CA4-335A-4E5F-B49E-42B31C629689}" name="Chinese (Mandarin or Cantonese) Total" totalsRowFunction="sum" dataDxfId="1049" totalsRowDxfId="1048"/>
    <tableColumn id="23" xr3:uid="{285655F8-DA9F-42E9-8F8C-09D0CEC920F3}" name="Farsi (Persian) Total" totalsRowFunction="sum" dataDxfId="1047" totalsRowDxfId="1046"/>
    <tableColumn id="6" xr3:uid="{23B04761-593E-4E51-BF89-A19DD5F2DA11}" name="French Total" totalsRowFunction="sum" dataDxfId="1045" totalsRowDxfId="1044"/>
    <tableColumn id="7" xr3:uid="{0CEA6EA3-A97F-4924-8AEA-1AD07F4ACE33}" name="German Total" totalsRowFunction="sum" dataDxfId="1043" totalsRowDxfId="1042"/>
    <tableColumn id="19" xr3:uid="{DE8536A8-3554-49F9-9668-6178A37A0C3E}" name="Hebrew Total" totalsRowFunction="sum" dataDxfId="1041" totalsRowDxfId="1040"/>
    <tableColumn id="24" xr3:uid="{0F906E65-7CF5-4D77-AA43-06C2B803533F}" name="Hindi Total" totalsRowFunction="sum" dataDxfId="1039" totalsRowDxfId="1038"/>
    <tableColumn id="8" xr3:uid="{7086A4A1-2250-40F6-9FE9-51481E01ED3F}" name="Hmong Total" totalsRowFunction="sum" dataDxfId="1037" totalsRowDxfId="1036"/>
    <tableColumn id="9" xr3:uid="{BA6ECC3F-D88D-4569-AAA2-33D539B62FEC}" name="Italian Total" totalsRowFunction="sum" dataDxfId="1035" totalsRowDxfId="1034"/>
    <tableColumn id="10" xr3:uid="{E01B02B9-71F7-4CD1-8FE6-55287A3E6452}" name="Japanese Total" totalsRowFunction="sum" dataDxfId="1033" totalsRowDxfId="1032"/>
    <tableColumn id="11" xr3:uid="{BE08901E-E70E-457F-9AF5-6506F07394F4}" name="Korean Total" totalsRowFunction="sum" dataDxfId="1031" totalsRowDxfId="1030"/>
    <tableColumn id="12" xr3:uid="{388D38A6-9975-4416-972B-95B61CCEA141}" name="Latin Total" totalsRowFunction="sum" dataDxfId="1029" totalsRowDxfId="1028"/>
    <tableColumn id="13" xr3:uid="{75BCABB0-B08B-4177-8344-628C9FB225CE}" name="Portuguese Total" totalsRowFunction="sum" dataDxfId="1027" totalsRowDxfId="1026"/>
    <tableColumn id="25" xr3:uid="{87F63117-4D3D-4882-9F46-53DB1E3D59BF}" name="Punjabi Total" totalsRowFunction="sum" dataDxfId="1025" totalsRowDxfId="1024"/>
    <tableColumn id="20" xr3:uid="{6E4DBCED-6103-4BE9-8C2F-C78B69651C30}" name="Russian Total" totalsRowFunction="sum" dataDxfId="1023" totalsRowDxfId="1022"/>
    <tableColumn id="14" xr3:uid="{10BC92DC-93CB-4144-AEE2-7D30A49F0897}" name="Spanish Total" totalsRowFunction="sum" dataDxfId="1021" totalsRowDxfId="1020"/>
    <tableColumn id="15" xr3:uid="{E8BD8936-4A92-4B3C-92F3-1E3BF1081641}" name="Tagalog (Filipino) Total" totalsRowFunction="sum" dataDxfId="1019" totalsRowDxfId="1018"/>
    <tableColumn id="26" xr3:uid="{6602F6D1-1822-4120-9509-C6673E16ADCC}" name="Urdu Total" totalsRowFunction="sum" dataDxfId="1017" totalsRowDxfId="1016"/>
    <tableColumn id="16" xr3:uid="{D8226AC4-59B8-4A0F-AC98-1E6A2FBB1491}" name="Vietnamese Total" totalsRowFunction="sum" dataDxfId="1015" totalsRowDxfId="1014"/>
    <tableColumn id="17" xr3:uid="{6A9F3C20-C388-4F18-95A5-DE3167CFB883}" name="Other Total" totalsRowFunction="sum" dataDxfId="1013" totalsRowDxfId="1012"/>
    <tableColumn id="21" xr3:uid="{1EC8ACBC-718E-4D6E-9C65-115732C8CFD0}" name="Total Seals per Local Educational Agency" totalsRowFunction="sum" dataDxfId="1011" totalsRowDxfId="1010">
      <calculatedColumnFormula>SUM(SanLuisObispo[[#This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Luis Obispo county and also includes language totals."/>
    </ext>
  </extLst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34D7966E-CC0D-40CC-BE43-2B412A23261F}" name="SanMateo" displayName="SanMateo" ref="A2:Z10" totalsRowCount="1" headerRowDxfId="1009" dataDxfId="1008">
  <autoFilter ref="A2:Z9" xr:uid="{00000000-0009-0000-0100-00001C000000}"/>
  <sortState xmlns:xlrd2="http://schemas.microsoft.com/office/spreadsheetml/2017/richdata2" ref="A3:Z9">
    <sortCondition ref="A2:A9"/>
  </sortState>
  <tableColumns count="26">
    <tableColumn id="1" xr3:uid="{69130759-D4BB-49EE-BFE8-C471E6C322DE}" name="Participating Districts" totalsRowLabel="Total Districts: 7" dataDxfId="1007" totalsRowDxfId="1006"/>
    <tableColumn id="2" xr3:uid="{D8F0F582-1E6F-4A87-8D50-5FA2D1AB1450}" name="Participating Schools" totalsRowLabel="Total Schools: 17" dataDxfId="1005" totalsRowDxfId="1004"/>
    <tableColumn id="3" xr3:uid="{735B0D3C-8DCC-4FE8-9739-214087A312A4}" name="American Sign Language Total" totalsRowFunction="sum" dataDxfId="1003" totalsRowDxfId="1002"/>
    <tableColumn id="4" xr3:uid="{EA490D0D-CC08-4629-BD38-B8E820F3D470}" name="Arabic Total" totalsRowFunction="sum" dataDxfId="1001" totalsRowDxfId="1000"/>
    <tableColumn id="5" xr3:uid="{D6BF06A3-1E3C-4FE5-96AE-D7D18FEBDD07}" name="Armenian Total" totalsRowFunction="sum" dataDxfId="999" totalsRowDxfId="998"/>
    <tableColumn id="22" xr3:uid="{C1137342-1CB8-4FC2-9E08-9EEF26E74F13}" name="Bengali Total" totalsRowFunction="sum" dataDxfId="997" totalsRowDxfId="996"/>
    <tableColumn id="18" xr3:uid="{7919F644-341D-4A61-A531-F94461416413}" name="Chinese (Mandarin or Cantonese) Total" totalsRowFunction="sum" dataDxfId="995" totalsRowDxfId="994"/>
    <tableColumn id="23" xr3:uid="{0822D5F6-FB3F-4103-A278-5BB66ECF318D}" name="Farsi (Persian) Total" totalsRowFunction="sum" dataDxfId="993" totalsRowDxfId="992"/>
    <tableColumn id="6" xr3:uid="{1F993958-20BD-4CCE-95E3-0FE1C01B78A3}" name="French Total" totalsRowFunction="sum" dataDxfId="991" totalsRowDxfId="990"/>
    <tableColumn id="7" xr3:uid="{4533DAF9-F16F-44CA-8F9D-3C6FE691BE17}" name="German Total" totalsRowFunction="sum" dataDxfId="989" totalsRowDxfId="988"/>
    <tableColumn id="19" xr3:uid="{CC16B650-D5D1-4737-A9A1-DE17C6B469F5}" name="Hebrew Total" totalsRowFunction="sum" dataDxfId="987" totalsRowDxfId="986"/>
    <tableColumn id="24" xr3:uid="{E85A82F7-A79B-497B-A610-F17CB40E964D}" name="Hindi Total" totalsRowFunction="sum" dataDxfId="985" totalsRowDxfId="984"/>
    <tableColumn id="8" xr3:uid="{A88CE702-D3ED-4AB9-8EAC-558A079D310B}" name="Hmong Total" totalsRowFunction="sum" dataDxfId="983" totalsRowDxfId="982"/>
    <tableColumn id="9" xr3:uid="{E6E7E78D-808A-4D54-A808-7CE992C09000}" name="Italian Total" totalsRowFunction="sum" dataDxfId="981" totalsRowDxfId="980"/>
    <tableColumn id="10" xr3:uid="{C90338A1-6A49-4EF5-95EE-9F44B4612706}" name="Japanese Total" totalsRowFunction="sum" dataDxfId="979" totalsRowDxfId="978"/>
    <tableColumn id="11" xr3:uid="{919B3976-0DA9-40C3-8C76-17E61992D66C}" name="Korean Total" totalsRowFunction="sum" dataDxfId="977" totalsRowDxfId="976"/>
    <tableColumn id="12" xr3:uid="{6AA71186-9301-43C0-B2FC-B2992621167D}" name="Latin Total" totalsRowFunction="sum" dataDxfId="975" totalsRowDxfId="974"/>
    <tableColumn id="13" xr3:uid="{E7CE0C7D-03A9-4E79-8A70-8394FECF506E}" name="Portuguese Total" totalsRowFunction="sum" dataDxfId="973" totalsRowDxfId="972"/>
    <tableColumn id="25" xr3:uid="{BA9C1CA3-0582-480F-B2B1-E355384428FA}" name="Punjabi Total" totalsRowFunction="sum" dataDxfId="971" totalsRowDxfId="970"/>
    <tableColumn id="20" xr3:uid="{41867D8C-9E30-44C9-ACD0-28C090C45140}" name="Russian Total" totalsRowFunction="sum" dataDxfId="969" totalsRowDxfId="968"/>
    <tableColumn id="14" xr3:uid="{DA34FCEB-B082-4F6A-9D3D-301E6A656826}" name="Spanish Total" totalsRowFunction="sum" dataDxfId="967" totalsRowDxfId="966"/>
    <tableColumn id="15" xr3:uid="{9C8AC50C-E4C2-4FAE-9F34-D64BE3BD417F}" name="Tagalog (Filipino) Total" totalsRowFunction="sum" dataDxfId="965" totalsRowDxfId="964"/>
    <tableColumn id="26" xr3:uid="{58AF273D-9B1D-4004-B449-81B0A97D0DD2}" name="Urdu Total" totalsRowFunction="sum" dataDxfId="963" totalsRowDxfId="962"/>
    <tableColumn id="16" xr3:uid="{62589D59-4C1C-45ED-9A17-5133998A871E}" name="Vietnamese Total" totalsRowFunction="sum" dataDxfId="961" totalsRowDxfId="960"/>
    <tableColumn id="17" xr3:uid="{65B3F10E-8042-4F07-9EB1-EA38781D5E3E}" name="Other Total" totalsRowFunction="sum" dataDxfId="959" totalsRowDxfId="958"/>
    <tableColumn id="21" xr3:uid="{408B78F7-8196-45CD-A8DD-18F4B05D1927}" name="Total Seals per Local Educational Agency" totalsRowFunction="sum" dataDxfId="957" totalsRowDxfId="956">
      <calculatedColumnFormula>SUM(SanMateo[[#This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 Mateo county and also includes language totals."/>
    </ext>
  </extLst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20185B6D-B8AE-40F0-BA49-7D728F4B486E}" name="SantaBarbara" displayName="SantaBarbara" ref="A2:Z10" totalsRowCount="1" headerRowDxfId="955" dataDxfId="954">
  <autoFilter ref="A2:Z9" xr:uid="{00000000-0009-0000-0100-00001C000000}"/>
  <sortState xmlns:xlrd2="http://schemas.microsoft.com/office/spreadsheetml/2017/richdata2" ref="A3:Z6">
    <sortCondition ref="A2:A6"/>
  </sortState>
  <tableColumns count="26">
    <tableColumn id="1" xr3:uid="{F4EDC1C7-A411-45CA-8E8B-214C4A8717F3}" name="Participating Districts" totalsRowLabel="Total Districts: 7" dataDxfId="953" totalsRowDxfId="952"/>
    <tableColumn id="2" xr3:uid="{9FB2FC70-8DE1-4CD1-8825-FCB1571ABF9F}" name="Participating Schools" totalsRowLabel="Total Schools: 15" dataDxfId="951" totalsRowDxfId="950"/>
    <tableColumn id="3" xr3:uid="{AEBF3D7C-2073-4BA6-8BE2-E4148DC914C6}" name="American Sign Language Total" totalsRowFunction="sum" dataDxfId="949" totalsRowDxfId="948"/>
    <tableColumn id="4" xr3:uid="{C1C7984E-46B4-4740-A6C2-8783DB2B8649}" name="Arabic Total" totalsRowFunction="sum" dataDxfId="947" totalsRowDxfId="946"/>
    <tableColumn id="5" xr3:uid="{73753ACA-6B71-44B6-8DC8-905D00C3119B}" name="Armenian Total" totalsRowFunction="sum" dataDxfId="945" totalsRowDxfId="944"/>
    <tableColumn id="22" xr3:uid="{1429D8DA-8C2D-4705-B438-E0ED26C59779}" name="Bengali Total" totalsRowFunction="sum" dataDxfId="943" totalsRowDxfId="942"/>
    <tableColumn id="18" xr3:uid="{AB455F65-D88B-44DA-8450-F2CC04DCAD89}" name="Chinese (Mandarin or Cantonese) Total" totalsRowFunction="sum" dataDxfId="941" totalsRowDxfId="940"/>
    <tableColumn id="23" xr3:uid="{ED530617-72CB-4BA8-BBA1-B7F290B66690}" name="Farsi (Persian) Total" totalsRowFunction="sum" dataDxfId="939" totalsRowDxfId="938"/>
    <tableColumn id="6" xr3:uid="{9BC79C88-20C7-40E7-8203-83EB2E97E2C5}" name="French Total" totalsRowFunction="sum" dataDxfId="937" totalsRowDxfId="936"/>
    <tableColumn id="7" xr3:uid="{723F922F-D03A-46FC-89C3-C9D0EF7D9259}" name="German Total" totalsRowFunction="sum" dataDxfId="935" totalsRowDxfId="934"/>
    <tableColumn id="19" xr3:uid="{DFEF1D92-E1D2-4AA9-8CCB-A18D94A8E120}" name="Hebrew Total" totalsRowFunction="sum" dataDxfId="933" totalsRowDxfId="932"/>
    <tableColumn id="24" xr3:uid="{22FE68E5-0EDF-4150-BCC0-2D358782753E}" name="Hindi Total" totalsRowFunction="sum" dataDxfId="931" totalsRowDxfId="930"/>
    <tableColumn id="8" xr3:uid="{177C9C35-2973-4BB3-A836-714C6A7A9349}" name="Hmong Total" totalsRowFunction="sum" dataDxfId="929" totalsRowDxfId="928"/>
    <tableColumn id="9" xr3:uid="{E801AEA5-49C4-46C7-8C99-F70CB51DF456}" name="Italian Total" totalsRowFunction="sum" dataDxfId="927" totalsRowDxfId="926"/>
    <tableColumn id="10" xr3:uid="{0CF9633E-481E-426F-8B24-48DA3F4886EC}" name="Japanese Total" totalsRowFunction="sum" dataDxfId="925" totalsRowDxfId="924"/>
    <tableColumn id="11" xr3:uid="{B1D76FFB-F897-4FB8-97DA-399D58ABCE79}" name="Korean Total" totalsRowFunction="sum" dataDxfId="923" totalsRowDxfId="922"/>
    <tableColumn id="12" xr3:uid="{7FD56F41-7B10-4D30-AD35-6A65049CFB20}" name="Latin Total" totalsRowFunction="sum" dataDxfId="921" totalsRowDxfId="920"/>
    <tableColumn id="13" xr3:uid="{A2BAA088-BA4E-4B39-A416-11ABA5E46527}" name="Portuguese Total" totalsRowFunction="sum" dataDxfId="919" totalsRowDxfId="918"/>
    <tableColumn id="25" xr3:uid="{E6EBC528-B6EF-4CFA-BEB7-6EAD7D5C9D7F}" name="Punjabi Total" totalsRowFunction="sum" dataDxfId="917" totalsRowDxfId="916"/>
    <tableColumn id="20" xr3:uid="{9E941260-C800-46F5-A112-15F4B0B44A00}" name="Russian Total" totalsRowFunction="sum" dataDxfId="915" totalsRowDxfId="914"/>
    <tableColumn id="14" xr3:uid="{EB1A2C4A-C086-4748-A80A-06CAFCB7AC58}" name="Spanish Total" totalsRowFunction="sum" dataDxfId="913" totalsRowDxfId="912"/>
    <tableColumn id="15" xr3:uid="{4185CC9F-8FE8-44B3-9358-7F131EEEA130}" name="Tagalog (Filipino) Total" totalsRowFunction="sum" dataDxfId="911" totalsRowDxfId="910"/>
    <tableColumn id="26" xr3:uid="{3928D766-F646-4D6A-8B06-3F9E3B8B9CD9}" name="Urdu Total" totalsRowFunction="sum" dataDxfId="909" totalsRowDxfId="908"/>
    <tableColumn id="16" xr3:uid="{2ED48DF0-C77F-4AD0-9DBD-DC134ED483F6}" name="Vietnamese Total" totalsRowFunction="sum" dataDxfId="907" totalsRowDxfId="906"/>
    <tableColumn id="17" xr3:uid="{B5470682-2031-40AD-8C92-270C9A8628B7}" name="Other Total" totalsRowFunction="sum" dataDxfId="905" totalsRowDxfId="904"/>
    <tableColumn id="21" xr3:uid="{6277B815-EFE8-430F-A4AC-EE8C3FF5B8EB}" name="Total Seals per Local Educational Agency" totalsRowFunction="sum" dataDxfId="903" totalsRowDxfId="902">
      <calculatedColumnFormula>SUM(SantaBarbara[[#This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ta Barbara county and also includes language totals."/>
    </ext>
  </extLst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5C5477BE-B9B3-4202-A3B4-5FFAD85A8F16}" name="SantaClara" displayName="SantaClara" ref="A2:Z21" totalsRowCount="1" headerRowDxfId="901" dataDxfId="900">
  <autoFilter ref="A2:Z20" xr:uid="{00000000-0009-0000-0100-00001C000000}"/>
  <sortState xmlns:xlrd2="http://schemas.microsoft.com/office/spreadsheetml/2017/richdata2" ref="A3:Z20">
    <sortCondition ref="A2:A20"/>
  </sortState>
  <tableColumns count="26">
    <tableColumn id="1" xr3:uid="{6A35D1B6-113F-4BE4-AB12-613E05F3ED6A}" name="Participating Districts" totalsRowLabel="Total Districts: 18" dataDxfId="899" totalsRowDxfId="898"/>
    <tableColumn id="2" xr3:uid="{32BA76DA-08D0-466D-A15C-C61AE5329859}" name="Participating Schools" totalsRowLabel="Total Schools: 62" dataDxfId="897" totalsRowDxfId="896"/>
    <tableColumn id="3" xr3:uid="{41640DEB-EEA1-402B-B942-F642585D9C7F}" name="American Sign Language Total" totalsRowFunction="sum" dataDxfId="895" totalsRowDxfId="894"/>
    <tableColumn id="4" xr3:uid="{8B650BD0-9F29-4BF8-922B-F0138D10DA5E}" name="Arabic Total" totalsRowFunction="sum" dataDxfId="893" totalsRowDxfId="892"/>
    <tableColumn id="5" xr3:uid="{7B4E8775-9AE1-4BF0-A583-6682F53B2741}" name="Armenian Total" totalsRowFunction="sum" dataDxfId="891" totalsRowDxfId="890"/>
    <tableColumn id="22" xr3:uid="{25AFC663-C436-4238-95BE-A708FD26184A}" name="Bengali Total" totalsRowFunction="sum" dataDxfId="889" totalsRowDxfId="888"/>
    <tableColumn id="18" xr3:uid="{935C5E24-2190-4EBD-ACC1-B81AA821CC7E}" name="Chinese (Mandarin or Cantonese) Total" totalsRowFunction="sum" dataDxfId="887" totalsRowDxfId="886"/>
    <tableColumn id="23" xr3:uid="{E7B9F128-EA0C-4FFF-B670-E8C922ACABCA}" name="Farsi (Persian) Total" totalsRowFunction="sum" dataDxfId="885" totalsRowDxfId="884"/>
    <tableColumn id="6" xr3:uid="{FD204F37-5EA0-4D28-98B5-6B341512EB44}" name="French Total" totalsRowFunction="sum" dataDxfId="883" totalsRowDxfId="882"/>
    <tableColumn id="7" xr3:uid="{6A73990F-F73B-4C3B-93F3-974277895367}" name="German Total" totalsRowFunction="sum" dataDxfId="881" totalsRowDxfId="880"/>
    <tableColumn id="19" xr3:uid="{AC8FFF55-C84A-41C3-BECA-536645B72001}" name="Hebrew Total" totalsRowFunction="sum" dataDxfId="879" totalsRowDxfId="878"/>
    <tableColumn id="24" xr3:uid="{E53C238C-B858-4481-91DA-E5CC404105E3}" name="Hindi Total" totalsRowFunction="sum" dataDxfId="877" totalsRowDxfId="876"/>
    <tableColumn id="8" xr3:uid="{A36AD90D-FD0C-4E7E-A2FB-EED20535B649}" name="Hmong Total" totalsRowFunction="sum" dataDxfId="875" totalsRowDxfId="874"/>
    <tableColumn id="9" xr3:uid="{99883B74-C7D5-4688-AF34-AF14BD0CD5E9}" name="Italian Total" totalsRowFunction="sum" dataDxfId="873" totalsRowDxfId="872"/>
    <tableColumn id="10" xr3:uid="{1D475F42-FF09-4E96-B7D1-266572722EE1}" name="Japanese Total" totalsRowFunction="sum" dataDxfId="871" totalsRowDxfId="870"/>
    <tableColumn id="11" xr3:uid="{90F0B3F0-EE3B-495B-BC0F-D98553B1E01F}" name="Korean Total" totalsRowFunction="sum" dataDxfId="869" totalsRowDxfId="868"/>
    <tableColumn id="12" xr3:uid="{7F939D31-FEFE-4C6A-B484-4EBDB03FDA7C}" name="Latin Total" totalsRowFunction="sum" dataDxfId="867" totalsRowDxfId="866"/>
    <tableColumn id="13" xr3:uid="{30EA8885-3175-4E67-8B19-2408B6DBCF1C}" name="Portuguese Total" totalsRowFunction="sum" dataDxfId="865" totalsRowDxfId="864"/>
    <tableColumn id="25" xr3:uid="{6CA9F5B0-BE08-44A9-A8C4-C3AD22F0022C}" name="Punjabi Total" totalsRowFunction="sum" dataDxfId="863" totalsRowDxfId="862"/>
    <tableColumn id="20" xr3:uid="{2ABED9AC-4B46-498F-AD2F-DAD00513E487}" name="Russian Total" totalsRowFunction="sum" dataDxfId="861" totalsRowDxfId="860"/>
    <tableColumn id="14" xr3:uid="{92AA0E9E-FAFE-436B-B5B0-D634B0D60B4D}" name="Spanish Total" totalsRowFunction="sum" dataDxfId="859" totalsRowDxfId="858"/>
    <tableColumn id="15" xr3:uid="{9404B2DF-078E-4263-AE79-C493C31F0537}" name="Tagalog (Filipino) Total" totalsRowFunction="sum" dataDxfId="857" totalsRowDxfId="856"/>
    <tableColumn id="26" xr3:uid="{CD705805-3281-4F52-A4DA-AF4521DFFE83}" name="Urdu Total" totalsRowFunction="sum" dataDxfId="855" totalsRowDxfId="854"/>
    <tableColumn id="16" xr3:uid="{AE5DFA2E-72D7-4A41-9E6E-9C6D242B0274}" name="Vietnamese Total" totalsRowFunction="sum" dataDxfId="853" totalsRowDxfId="852"/>
    <tableColumn id="17" xr3:uid="{96B6EDBC-2485-41A9-9614-0C828CC24F29}" name="Other Total" totalsRowFunction="sum" dataDxfId="851" totalsRowDxfId="850"/>
    <tableColumn id="21" xr3:uid="{B36CE047-A1DC-4DBF-AFFB-4D5AF0A159CA}" name="Total Seals per Local Educational Agency" totalsRowFunction="sum" dataDxfId="849" totalsRowDxfId="848">
      <calculatedColumnFormula>SUM(SantaClara[[#This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ta Clara county and also includes language totals."/>
    </ext>
  </extLst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D711AF7E-513F-4C5B-AC28-4CE0B31F0E77}" name="SantaCruz" displayName="SantaCruz" ref="A2:Z9" totalsRowCount="1" headerRowDxfId="847" dataDxfId="846" totalsRowDxfId="845">
  <autoFilter ref="A2:Z8" xr:uid="{00000000-0009-0000-0100-00001C000000}"/>
  <sortState xmlns:xlrd2="http://schemas.microsoft.com/office/spreadsheetml/2017/richdata2" ref="A3:Z8">
    <sortCondition ref="A2:A8"/>
  </sortState>
  <tableColumns count="26">
    <tableColumn id="1" xr3:uid="{21AA9042-354C-477E-9DEA-32B55ACE53E3}" name="Participating Districts" totalsRowLabel="Total Districts: 6" dataDxfId="844" totalsRowDxfId="843"/>
    <tableColumn id="2" xr3:uid="{5E2D0DCB-F79C-467D-B9A5-B1F96FDF473D}" name="Participating Schools" totalsRowLabel="Total Schools: 12" dataDxfId="842" totalsRowDxfId="841"/>
    <tableColumn id="3" xr3:uid="{4D9FBABA-A986-4AD2-B304-FC086E78950E}" name="American Sign Language Total" totalsRowFunction="sum" dataDxfId="840" totalsRowDxfId="839"/>
    <tableColumn id="4" xr3:uid="{15DB5A7B-07FD-4C93-81C9-BF3623679F1A}" name="Arabic Total" totalsRowFunction="sum" dataDxfId="838" totalsRowDxfId="837"/>
    <tableColumn id="5" xr3:uid="{3EC4870D-FAEB-47F8-9F43-316EE6E30594}" name="Armenian Total" totalsRowFunction="sum" dataDxfId="836" totalsRowDxfId="835"/>
    <tableColumn id="22" xr3:uid="{75CB2DB2-C0F0-4943-BAD6-6E0DB95467BA}" name="Bengali Total" totalsRowFunction="sum" dataDxfId="834" totalsRowDxfId="833"/>
    <tableColumn id="18" xr3:uid="{506A5343-597B-45B7-BF47-73839C5190DB}" name="Chinese (Mandarin or Cantonese) Total" totalsRowFunction="sum" dataDxfId="832" totalsRowDxfId="831"/>
    <tableColumn id="23" xr3:uid="{3E97EC89-BC17-4DC2-BC1A-02340637A634}" name="Farsi (Persian) Total" totalsRowFunction="sum" dataDxfId="830" totalsRowDxfId="829"/>
    <tableColumn id="6" xr3:uid="{B0FF39BC-B999-4076-8BA4-F3D9BCCADE5D}" name="French Total" totalsRowFunction="sum" dataDxfId="828" totalsRowDxfId="827"/>
    <tableColumn id="7" xr3:uid="{C06AACE5-1D8B-4132-809E-84B5BC156850}" name="German Total" totalsRowFunction="sum" dataDxfId="826" totalsRowDxfId="825"/>
    <tableColumn id="19" xr3:uid="{03ACD092-B673-4A6B-998A-1243BD9E4781}" name="Hebrew Total" totalsRowFunction="sum" dataDxfId="824" totalsRowDxfId="823"/>
    <tableColumn id="24" xr3:uid="{F1CC0270-2699-40EA-9CAB-F51C6A96FA7F}" name="Hindi Total" totalsRowFunction="sum" dataDxfId="822" totalsRowDxfId="821"/>
    <tableColumn id="8" xr3:uid="{39FCBF84-003F-4522-9004-434DBA77C13A}" name="Hmong Total" totalsRowFunction="sum" dataDxfId="820" totalsRowDxfId="819"/>
    <tableColumn id="9" xr3:uid="{B2A17A26-F0F1-4EF6-89F6-209DB0024012}" name="Italian Total" totalsRowFunction="sum" dataDxfId="818" totalsRowDxfId="817"/>
    <tableColumn id="10" xr3:uid="{A11AC79E-D320-4A61-AA97-4A251F49E4AC}" name="Japanese Total" totalsRowFunction="sum" dataDxfId="816" totalsRowDxfId="815"/>
    <tableColumn id="11" xr3:uid="{004EDDE0-1059-48B5-B0F3-9A23E00DD8AB}" name="Korean Total" totalsRowFunction="sum" dataDxfId="814" totalsRowDxfId="813"/>
    <tableColumn id="12" xr3:uid="{28C82A11-486C-403D-9FF9-FC2B0C6305E9}" name="Latin Total" totalsRowFunction="sum" dataDxfId="812" totalsRowDxfId="811"/>
    <tableColumn id="13" xr3:uid="{58843A55-ED1A-4B55-8F87-2DF5FD4A64CA}" name="Portuguese Total" totalsRowFunction="sum" dataDxfId="810" totalsRowDxfId="809"/>
    <tableColumn id="25" xr3:uid="{09EA6439-4F1B-4C5E-BC9A-98502CA23B58}" name="Punjabi Total" totalsRowFunction="sum" dataDxfId="808" totalsRowDxfId="807"/>
    <tableColumn id="20" xr3:uid="{CEBC2CCE-748B-414A-B7D9-09A37E86096D}" name="Russian Total" totalsRowFunction="sum" dataDxfId="806" totalsRowDxfId="805"/>
    <tableColumn id="14" xr3:uid="{D9B4BB5E-9A69-40F4-9822-2439E692C244}" name="Spanish Total" totalsRowFunction="sum" dataDxfId="804" totalsRowDxfId="803"/>
    <tableColumn id="15" xr3:uid="{16A86FD1-B791-4DD2-BFAF-D7F4A1E652B4}" name="Tagalog (Filipino) Total" totalsRowFunction="sum" dataDxfId="802" totalsRowDxfId="801"/>
    <tableColumn id="26" xr3:uid="{10CF1D1E-F3A8-4613-A7B8-3EEAF1DA1665}" name="Urdu Total" totalsRowFunction="sum" dataDxfId="800" totalsRowDxfId="799"/>
    <tableColumn id="16" xr3:uid="{6FAE22A8-1203-40C5-82BA-EB5E39A080E3}" name="Vietnamese Total" totalsRowFunction="sum" dataDxfId="798" totalsRowDxfId="797"/>
    <tableColumn id="17" xr3:uid="{7B39310B-A7F7-4E57-82D8-2C4461439C68}" name="Other Total" totalsRowFunction="sum" dataDxfId="796" totalsRowDxfId="795"/>
    <tableColumn id="21" xr3:uid="{37F1D0F2-01D1-46E1-A9B6-86A8B37B54C7}" name="Total Seals per Local Educational Agency" totalsRowFunction="sum" dataDxfId="794" totalsRowDxfId="793">
      <calculatedColumnFormula>SUM(SantaCruz[[#This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anta Cruz county and also includes language totals."/>
    </ext>
  </extLst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AD587CC2-E6EA-48F8-87C5-6C7D63B59066}" name="Shasta" displayName="Shasta" ref="A2:Z7" totalsRowCount="1" headerRowDxfId="792" dataDxfId="791">
  <autoFilter ref="A2:Z6" xr:uid="{00000000-0009-0000-0100-00001C000000}"/>
  <sortState xmlns:xlrd2="http://schemas.microsoft.com/office/spreadsheetml/2017/richdata2" ref="A3:Z6">
    <sortCondition ref="A2:A6"/>
  </sortState>
  <tableColumns count="26">
    <tableColumn id="1" xr3:uid="{CFEE4884-152D-4DB6-8223-2CE18590F47D}" name="Participating Districts" totalsRowLabel="Total Districts: 4" dataDxfId="790" totalsRowDxfId="789"/>
    <tableColumn id="2" xr3:uid="{63E8644B-047E-47D7-99BD-50EBA6C9270C}" name="Participating Schools" totalsRowLabel="Total Schools: 6" dataDxfId="788" totalsRowDxfId="787"/>
    <tableColumn id="3" xr3:uid="{0BC733E3-E6B9-4A3D-B3F2-7BC0393FEC7F}" name="American Sign Language Total" totalsRowFunction="sum" dataDxfId="786" totalsRowDxfId="785"/>
    <tableColumn id="4" xr3:uid="{2AAFA4C8-E232-43BA-A801-C9440CBBDE66}" name="Arabic Total" totalsRowFunction="sum" dataDxfId="784" totalsRowDxfId="783"/>
    <tableColumn id="5" xr3:uid="{65C87AD8-3A3C-4F3E-AEE4-56A0C2E7E5D5}" name="Armenian Total" totalsRowFunction="sum" dataDxfId="782" totalsRowDxfId="781"/>
    <tableColumn id="22" xr3:uid="{DE59437A-58FE-421A-A35B-1F97F17844A6}" name="Bengali Total" totalsRowFunction="sum" dataDxfId="780" totalsRowDxfId="779"/>
    <tableColumn id="18" xr3:uid="{50BB362F-D84E-42AA-954C-41345E8D5C6C}" name="Chinese (Mandarin or Cantonese) Total" totalsRowFunction="sum" dataDxfId="778" totalsRowDxfId="777"/>
    <tableColumn id="23" xr3:uid="{302589C5-CBFA-49E0-943C-FE57325867CB}" name="Farsi (Persian) Total" totalsRowFunction="sum" dataDxfId="776" totalsRowDxfId="775"/>
    <tableColumn id="6" xr3:uid="{3F1158D3-0EDD-4CEB-82F1-2A103A0F20EB}" name="French Total" totalsRowFunction="sum" dataDxfId="774" totalsRowDxfId="773"/>
    <tableColumn id="7" xr3:uid="{BE8F93D6-20E7-4F52-AAA9-7E9161E071A9}" name="German Total" totalsRowFunction="sum" dataDxfId="772" totalsRowDxfId="771"/>
    <tableColumn id="19" xr3:uid="{9E0C3C9B-23A9-4120-82CC-9909BA47DDBA}" name="Hebrew Total" totalsRowFunction="sum" dataDxfId="770" totalsRowDxfId="769"/>
    <tableColumn id="24" xr3:uid="{8FD93BEC-237E-4331-81F4-CD261616425D}" name="Hindi Total" totalsRowFunction="sum" dataDxfId="768" totalsRowDxfId="767"/>
    <tableColumn id="8" xr3:uid="{CED7C981-3B35-4139-939F-84FAA4CAF192}" name="Hmong Total" totalsRowFunction="sum" dataDxfId="766" totalsRowDxfId="765"/>
    <tableColumn id="9" xr3:uid="{8C2384B5-D3BD-4055-9292-E2E67F4F7B64}" name="Italian Total" totalsRowFunction="sum" dataDxfId="764" totalsRowDxfId="763"/>
    <tableColumn id="10" xr3:uid="{0FA6122E-D899-41CE-8C94-900D6DD24C93}" name="Japanese Total" totalsRowFunction="sum" dataDxfId="762" totalsRowDxfId="761"/>
    <tableColumn id="11" xr3:uid="{D0F20264-E2F0-484B-BE89-DFAAC77CF346}" name="Korean Total" totalsRowFunction="sum" dataDxfId="760" totalsRowDxfId="759"/>
    <tableColumn id="12" xr3:uid="{A6B75D6F-B54B-4BAD-8DE4-B9E4BE278210}" name="Latin Total" totalsRowFunction="sum" dataDxfId="758" totalsRowDxfId="757"/>
    <tableColumn id="13" xr3:uid="{41B0A926-DA85-4B45-8BD9-E47F11ADF445}" name="Portuguese Total" totalsRowFunction="sum" dataDxfId="756" totalsRowDxfId="755"/>
    <tableColumn id="25" xr3:uid="{9241326E-1DFA-487D-A3A4-068EEBF5B1AB}" name="Punjabi Total" totalsRowFunction="sum" dataDxfId="754" totalsRowDxfId="753"/>
    <tableColumn id="20" xr3:uid="{B9B0FCED-775F-4EA5-9BFA-00E9AC52A1B7}" name="Russian Total" totalsRowFunction="sum" dataDxfId="752" totalsRowDxfId="751"/>
    <tableColumn id="14" xr3:uid="{6F5931EA-7BA4-45D9-98A5-148B2F9EACCB}" name="Spanish Total" totalsRowFunction="sum" dataDxfId="750" totalsRowDxfId="749"/>
    <tableColumn id="15" xr3:uid="{D0870A40-B81B-4B95-AFED-2C152F31FB88}" name="Tagalog (Filipino) Total" totalsRowFunction="sum" dataDxfId="748" totalsRowDxfId="747"/>
    <tableColumn id="26" xr3:uid="{2FDDCB25-A5FA-45A1-B4D8-5CDBB79CC793}" name="Urdu Total" totalsRowFunction="sum" dataDxfId="746" totalsRowDxfId="745"/>
    <tableColumn id="16" xr3:uid="{F92EDE15-6478-4A49-B247-381343C53ED7}" name="Vietnamese Total" totalsRowFunction="sum" dataDxfId="744" totalsRowDxfId="743"/>
    <tableColumn id="17" xr3:uid="{1FC8E5DE-79A8-45EB-8652-CD3678F79BAE}" name="Other Total" totalsRowFunction="sum" dataDxfId="742" totalsRowDxfId="741"/>
    <tableColumn id="21" xr3:uid="{81467050-3A27-4A2E-8046-C8EB441E8D68}" name="Total Seals per Local Educational Agency" totalsRowFunction="sum" dataDxfId="740" totalsRowDxfId="739">
      <calculatedColumnFormula>SUM(C3:Y3)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hasta county and also includes language totals."/>
    </ext>
  </extLst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6253F99-EF31-4792-A46A-406692E4836D}" name="Sierra" displayName="Sierra" ref="A2:Z4" totalsRowCount="1" headerRowDxfId="738" dataDxfId="737">
  <autoFilter ref="A2:Z3" xr:uid="{00000000-0009-0000-0100-00001C000000}"/>
  <tableColumns count="26">
    <tableColumn id="1" xr3:uid="{AFDBF711-3A5F-4BD4-9193-34713A977349}" name="Participating Districts" totalsRowLabel="Total Districts: 1" dataDxfId="736" totalsRowDxfId="735"/>
    <tableColumn id="2" xr3:uid="{EACAE5F0-A41F-47B1-B53B-329C24D94AF1}" name="Participating Schools" totalsRowLabel="Total Schools: 1" dataDxfId="734" totalsRowDxfId="733"/>
    <tableColumn id="3" xr3:uid="{297F7174-38B1-4748-A4AD-F2E8892FD288}" name="American Sign Language Total" totalsRowFunction="sum" dataDxfId="732" totalsRowDxfId="731"/>
    <tableColumn id="4" xr3:uid="{D2134651-558F-4F06-ACCD-67563D3E87A2}" name="Arabic Total" totalsRowFunction="sum" dataDxfId="730" totalsRowDxfId="729"/>
    <tableColumn id="5" xr3:uid="{B3242FE9-E2A1-4050-83D7-78C15795F865}" name="Armenian Total" totalsRowFunction="sum" dataDxfId="728" totalsRowDxfId="727"/>
    <tableColumn id="22" xr3:uid="{CC7F5D34-D429-44B4-BB50-255AF1989C64}" name="Bengali Total" totalsRowFunction="sum" dataDxfId="726" totalsRowDxfId="725"/>
    <tableColumn id="18" xr3:uid="{EFC354F0-CF4B-4681-94D1-7F06C0FB4247}" name="Chinese (Mandarin or Cantonese) Total" totalsRowFunction="sum" dataDxfId="724" totalsRowDxfId="723"/>
    <tableColumn id="23" xr3:uid="{CF2C48F4-DA6B-408D-9C95-58C35B96342C}" name="Farsi (Persian) Total" totalsRowFunction="sum" dataDxfId="722" totalsRowDxfId="721"/>
    <tableColumn id="6" xr3:uid="{FB1B30B9-2279-48F0-A0AB-3DD5F7656C85}" name="French Total" totalsRowFunction="sum" dataDxfId="720" totalsRowDxfId="719"/>
    <tableColumn id="7" xr3:uid="{27787A66-8B23-4240-ADFB-5F285D64D4CF}" name="German Total" totalsRowFunction="sum" dataDxfId="718" totalsRowDxfId="717"/>
    <tableColumn id="19" xr3:uid="{F3A5A041-97A5-4207-AB30-F3DAE650E6AE}" name="Hebrew Total" totalsRowFunction="sum" dataDxfId="716" totalsRowDxfId="715"/>
    <tableColumn id="24" xr3:uid="{0802B58A-3CC5-4CD9-B8CB-301430905AB0}" name="Hindi Total" totalsRowFunction="sum" dataDxfId="714" totalsRowDxfId="713"/>
    <tableColumn id="8" xr3:uid="{B020E6FD-D3E1-4555-9EC3-6816E15E4410}" name="Hmong Total" totalsRowFunction="sum" dataDxfId="712" totalsRowDxfId="711"/>
    <tableColumn id="9" xr3:uid="{FFF694D1-0764-4B19-8801-52F7026778A6}" name="Italian Total" totalsRowFunction="sum" dataDxfId="710" totalsRowDxfId="709"/>
    <tableColumn id="10" xr3:uid="{835DC55F-A812-4CE8-9C29-8B541AA45116}" name="Japanese Total" totalsRowFunction="sum" dataDxfId="708" totalsRowDxfId="707"/>
    <tableColumn id="11" xr3:uid="{D5C50EE2-3863-4388-9783-B2BD665D66CD}" name="Korean Total" totalsRowFunction="sum" dataDxfId="706" totalsRowDxfId="705"/>
    <tableColumn id="12" xr3:uid="{C07254B2-A09E-4385-BC7B-8BC0B78F7293}" name="Latin Total" totalsRowFunction="sum" dataDxfId="704" totalsRowDxfId="703"/>
    <tableColumn id="13" xr3:uid="{1A7E3951-14C7-4ADC-93B5-797CAFDCFB61}" name="Portuguese Total" totalsRowFunction="sum" dataDxfId="702" totalsRowDxfId="701"/>
    <tableColumn id="25" xr3:uid="{8A10729D-8424-4EC5-BC1C-8BFF1342E009}" name="Punjabi Total" totalsRowFunction="sum" dataDxfId="700" totalsRowDxfId="699"/>
    <tableColumn id="20" xr3:uid="{5DA749C6-ED9E-4260-BAE9-66019AF0B82E}" name="Russian Total" totalsRowFunction="sum" dataDxfId="698" totalsRowDxfId="697"/>
    <tableColumn id="14" xr3:uid="{E03C4525-3512-46EC-93D9-867F14289342}" name="Spanish Total" totalsRowFunction="sum" dataDxfId="696" totalsRowDxfId="695"/>
    <tableColumn id="15" xr3:uid="{EE353316-B4AB-4264-B960-D553F0748840}" name="Tagalog (Filipino) Total" totalsRowFunction="sum" dataDxfId="694" totalsRowDxfId="693"/>
    <tableColumn id="26" xr3:uid="{BFB1E5F3-16D1-42CE-B0FA-DF30CD0F6BA6}" name="Urdu Total" totalsRowFunction="sum" dataDxfId="692" totalsRowDxfId="691"/>
    <tableColumn id="16" xr3:uid="{30DD06EB-82D5-4ECB-B0B4-D0A47A74A0FC}" name="Vietnamese Total" totalsRowFunction="sum" dataDxfId="690" totalsRowDxfId="689"/>
    <tableColumn id="17" xr3:uid="{A0E6CCB8-0B93-48F7-A87E-D88E4EEA3029}" name="Other Total" totalsRowFunction="sum" dataDxfId="688" totalsRowDxfId="687"/>
    <tableColumn id="21" xr3:uid="{25684D14-BBD0-48A6-8975-D20D74614B2C}" name="Total Seals per Local Educational Agency" totalsRowFunction="sum" dataDxfId="686" totalsRowDxfId="685">
      <calculatedColumnFormula>SUM(Sierra[[American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ierra county and also includes language totals."/>
    </ext>
  </extLst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D482C62-D3DE-4BBB-826F-A4CB11622773}" name="Siskiyou" displayName="Siskiyou" ref="A2:Z4" totalsRowCount="1" headerRowDxfId="684" dataDxfId="683">
  <autoFilter ref="A2:Z3" xr:uid="{00000000-0009-0000-0100-00001C000000}"/>
  <tableColumns count="26">
    <tableColumn id="1" xr3:uid="{3E439223-6A67-4B72-8530-EE133C8E3CE4}" name="Participating Districts" totalsRowLabel="Total Districts: 1" dataDxfId="682" totalsRowDxfId="681"/>
    <tableColumn id="2" xr3:uid="{ADC2C8A4-C728-4B9A-A095-B7A412866B64}" name="Participating Schools" totalsRowLabel="Total Schools: 1" dataDxfId="680" totalsRowDxfId="679"/>
    <tableColumn id="3" xr3:uid="{58139526-D6B8-4A53-8FF6-6E8F221CCDC3}" name="American Sign Language Total" totalsRowFunction="sum" dataDxfId="678" totalsRowDxfId="677"/>
    <tableColumn id="4" xr3:uid="{890B813D-2F35-4706-AD8E-1B10FF233175}" name="Arabic Total" totalsRowFunction="sum" dataDxfId="676" totalsRowDxfId="675"/>
    <tableColumn id="5" xr3:uid="{768E54FA-58DE-4CDA-AE42-8631F6D41FC9}" name="Armenian Total" totalsRowFunction="sum" dataDxfId="674" totalsRowDxfId="673"/>
    <tableColumn id="22" xr3:uid="{8DDD7C6A-26A8-4F4E-B43D-5755328C6F35}" name="Bengali Total" totalsRowFunction="sum" dataDxfId="672" totalsRowDxfId="671"/>
    <tableColumn id="18" xr3:uid="{F81CFA08-D9A5-4432-9FC1-2132D0C532C4}" name="Chinese (Mandarin or Cantonese) Total" totalsRowFunction="sum" dataDxfId="670" totalsRowDxfId="669"/>
    <tableColumn id="23" xr3:uid="{670F6DCB-B413-4F03-8F50-48F704467904}" name="Farsi (Persian) Total" totalsRowFunction="sum" dataDxfId="668" totalsRowDxfId="667"/>
    <tableColumn id="6" xr3:uid="{60E064D8-7C29-47BC-B185-940B656A40D9}" name="French Total" totalsRowFunction="sum" dataDxfId="666" totalsRowDxfId="665"/>
    <tableColumn id="7" xr3:uid="{56CED717-4552-49AD-BEA1-BC0486C19EF2}" name="German Total" totalsRowFunction="sum" dataDxfId="664" totalsRowDxfId="663"/>
    <tableColumn id="19" xr3:uid="{E598889D-F5C5-4C45-9C25-EC0FA0B2DD4A}" name="Hebrew Total" totalsRowFunction="sum" dataDxfId="662" totalsRowDxfId="661"/>
    <tableColumn id="24" xr3:uid="{A5AE79F6-0C16-465C-A98C-34CA0FBF7ADD}" name="Hindi Total" totalsRowFunction="sum" dataDxfId="660" totalsRowDxfId="659"/>
    <tableColumn id="8" xr3:uid="{7B4CFD05-99C4-49FD-BD0C-51CBDAC96938}" name="Hmong Total" totalsRowFunction="sum" dataDxfId="658" totalsRowDxfId="657"/>
    <tableColumn id="9" xr3:uid="{071EB8B4-4AEE-4C8B-88FE-68C2547066ED}" name="Italian Total" totalsRowFunction="sum" dataDxfId="656" totalsRowDxfId="655"/>
    <tableColumn id="10" xr3:uid="{9B25BF90-1967-4F5E-A068-2FD19D3B500A}" name="Japanese Total" totalsRowFunction="sum" dataDxfId="654" totalsRowDxfId="653"/>
    <tableColumn id="11" xr3:uid="{9BE9C68E-2353-4ECA-9402-8CA66BA71FEA}" name="Korean Total" totalsRowFunction="sum" dataDxfId="652" totalsRowDxfId="651"/>
    <tableColumn id="12" xr3:uid="{9787FCAF-35BD-46BB-B21A-4CF8094DA7E2}" name="Latin Total" totalsRowFunction="sum" dataDxfId="650" totalsRowDxfId="649"/>
    <tableColumn id="13" xr3:uid="{8537A26D-F0C2-4429-AA8F-29D0BDEB9B75}" name="Portuguese Total" totalsRowFunction="sum" dataDxfId="648" totalsRowDxfId="647"/>
    <tableColumn id="25" xr3:uid="{6DE9D6E9-8DF7-41FB-9811-9C853F474380}" name="Punjabi Total" totalsRowFunction="sum" dataDxfId="646" totalsRowDxfId="645"/>
    <tableColumn id="20" xr3:uid="{98FFCE60-0A40-4290-930C-4FA00778EBBA}" name="Russian Total" totalsRowFunction="sum" dataDxfId="644" totalsRowDxfId="643"/>
    <tableColumn id="14" xr3:uid="{99D11FA9-41A5-4798-9AC7-5B169A46DDA1}" name="Spanish Total" totalsRowFunction="sum" dataDxfId="642" totalsRowDxfId="641"/>
    <tableColumn id="15" xr3:uid="{EF38599B-A1B5-4853-83E7-6ABAB89ED5D1}" name="Tagalog (Filipino) Total" totalsRowFunction="sum" dataDxfId="640" totalsRowDxfId="639"/>
    <tableColumn id="26" xr3:uid="{57E84BE7-FBE0-4D8C-811E-FE4899EFAE85}" name="Urdu Total" totalsRowFunction="sum" dataDxfId="638" totalsRowDxfId="637"/>
    <tableColumn id="16" xr3:uid="{BB0F62A9-9991-4465-A153-41A3C1073E5D}" name="Vietnamese Total" totalsRowFunction="sum" dataDxfId="636" totalsRowDxfId="635"/>
    <tableColumn id="17" xr3:uid="{75D0EB08-E411-4DDF-8E06-F4AB67DB385D}" name="Other Total" totalsRowFunction="sum" dataDxfId="634" totalsRowDxfId="633"/>
    <tableColumn id="21" xr3:uid="{106AC423-4685-448A-A24B-549AA048F172}" name="Total Seals per Local Educational Agency" totalsRowFunction="sum" dataDxfId="632" totalsRowDxfId="631">
      <calculatedColumnFormula>SUM(Siskiyou[[#This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iskiyou county and also includes language totals."/>
    </ext>
  </extLst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D2CE8-C70F-453D-A043-BA12D22292A7}" name="Solano" displayName="Solano" ref="A2:Z10" totalsRowCount="1" headerRowDxfId="630" dataDxfId="629">
  <autoFilter ref="A2:Z9" xr:uid="{00000000-0009-0000-0100-00001C000000}"/>
  <sortState xmlns:xlrd2="http://schemas.microsoft.com/office/spreadsheetml/2017/richdata2" ref="A3:Z9">
    <sortCondition ref="A2:A9"/>
  </sortState>
  <tableColumns count="26">
    <tableColumn id="1" xr3:uid="{2606B274-3FDC-47E8-8C3E-50A81AE1BC4C}" name="Participating Districts" totalsRowLabel="Total Districts: 7" dataDxfId="628" totalsRowDxfId="627"/>
    <tableColumn id="2" xr3:uid="{E1A47E7D-642F-47F4-88CB-0AE4284B0067}" name="Participating Schools" totalsRowLabel="Total Schools: 13" dataDxfId="626" totalsRowDxfId="625"/>
    <tableColumn id="3" xr3:uid="{99DBF4CF-4952-4749-A84B-12B962B82790}" name="American Sign Language Total" totalsRowFunction="sum" dataDxfId="624" totalsRowDxfId="623"/>
    <tableColumn id="4" xr3:uid="{2C772517-0732-4A9D-A79B-E80CB11DFBA5}" name="Arabic Total" totalsRowFunction="sum" dataDxfId="622" totalsRowDxfId="621"/>
    <tableColumn id="5" xr3:uid="{4CA6BD1C-1BE0-4E97-981F-162944D2A821}" name="Armenian Total" totalsRowFunction="sum" dataDxfId="620" totalsRowDxfId="619"/>
    <tableColumn id="22" xr3:uid="{BE833566-5162-4A8D-A94A-9F3C2C732B83}" name="Bengali Total" totalsRowFunction="sum" dataDxfId="618" totalsRowDxfId="617"/>
    <tableColumn id="18" xr3:uid="{62B39F7E-155C-4E9F-9738-27E6B9EE80BB}" name="Chinese (Mandarin or Cantonese) Total" totalsRowFunction="sum" dataDxfId="616" totalsRowDxfId="615"/>
    <tableColumn id="23" xr3:uid="{310E5C72-013E-4C89-A39E-ADC8494748CE}" name="Farsi (Persian) Total" totalsRowFunction="sum" dataDxfId="614" totalsRowDxfId="613"/>
    <tableColumn id="6" xr3:uid="{DCC9A2F5-208A-47A3-9F76-B90945FC13AE}" name="French Total" totalsRowFunction="sum" dataDxfId="612" totalsRowDxfId="611"/>
    <tableColumn id="7" xr3:uid="{C80BF9F3-6029-442E-A499-20CF6FCFC225}" name="German Total" totalsRowFunction="sum" dataDxfId="610" totalsRowDxfId="609"/>
    <tableColumn id="19" xr3:uid="{46935D95-3CB8-4D7E-BAF0-36F1FC8CDBC8}" name="Hebrew Total" totalsRowFunction="sum" dataDxfId="608" totalsRowDxfId="607"/>
    <tableColumn id="24" xr3:uid="{CF2E8E80-023A-4753-BAF6-27D477B2A77B}" name="Hindi Total" totalsRowFunction="sum" dataDxfId="606" totalsRowDxfId="605"/>
    <tableColumn id="8" xr3:uid="{08D58ED5-99C4-4CA1-8342-5AFEB3DAB74E}" name="Hmong Total" totalsRowFunction="sum" dataDxfId="604" totalsRowDxfId="603"/>
    <tableColumn id="9" xr3:uid="{7EF4AC17-9B33-4014-8932-E019079FD416}" name="Italian Total" totalsRowFunction="sum" dataDxfId="602" totalsRowDxfId="601"/>
    <tableColumn id="10" xr3:uid="{A01F65AA-CB38-4AB3-A2E9-4A5C38589CC6}" name="Japanese Total" totalsRowFunction="sum" dataDxfId="600" totalsRowDxfId="599"/>
    <tableColumn id="11" xr3:uid="{BF107AF9-1BE9-4419-83EE-DE8C01E7D6FA}" name="Korean Total" totalsRowFunction="sum" dataDxfId="598" totalsRowDxfId="597"/>
    <tableColumn id="12" xr3:uid="{E0A3EC57-7C53-4E31-BD63-67DA0B0C0DB4}" name="Latin Total" totalsRowFunction="sum" dataDxfId="596" totalsRowDxfId="595"/>
    <tableColumn id="13" xr3:uid="{393929D8-4D3E-40FD-9A69-A3A379AADEC5}" name="Portuguese Total" totalsRowFunction="sum" dataDxfId="594" totalsRowDxfId="593"/>
    <tableColumn id="25" xr3:uid="{9BE40453-B2D3-4784-81E1-8EC560770720}" name="Punjabi Total" totalsRowFunction="sum" dataDxfId="592" totalsRowDxfId="591"/>
    <tableColumn id="20" xr3:uid="{863E65E4-C381-4CBF-931C-E191663D7B34}" name="Russian Total" totalsRowFunction="sum" dataDxfId="590" totalsRowDxfId="589"/>
    <tableColumn id="14" xr3:uid="{0AD7D65C-CB9E-402F-A9A7-72B3CB8CD90D}" name="Spanish Total" totalsRowFunction="sum" dataDxfId="588" totalsRowDxfId="587"/>
    <tableColumn id="15" xr3:uid="{96A82025-6811-4C1B-97BD-B9F97756CDC4}" name="Tagalog (Filipino) Total" totalsRowFunction="sum" dataDxfId="586" totalsRowDxfId="585"/>
    <tableColumn id="26" xr3:uid="{DDEE0D8F-1365-4B87-A0FA-69C53E72A269}" name="Urdu Total" totalsRowFunction="sum" dataDxfId="584" totalsRowDxfId="583"/>
    <tableColumn id="16" xr3:uid="{109C3670-0BA4-435C-A3E2-8C95061B3042}" name="Vietnamese Total" totalsRowFunction="sum" dataDxfId="582" totalsRowDxfId="581"/>
    <tableColumn id="17" xr3:uid="{25B177A1-38FC-4BC1-8512-3D732803911B}" name="Other Total" totalsRowFunction="sum" dataDxfId="580" totalsRowDxfId="579"/>
    <tableColumn id="21" xr3:uid="{96BF0BC6-942D-491A-94C5-43CF43EE27F1}" name="Total Seals per Local Educational Agency" totalsRowFunction="sum" dataDxfId="578" totalsRowDxfId="577">
      <calculatedColumnFormula>SUM(Solano[[#This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olano county and also includes language totals."/>
    </ext>
  </extLst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1CDF2149-3136-45A0-9FDC-82AE4AF942B1}" name="Sonoma" displayName="Sonoma" ref="A2:Z13" totalsRowCount="1" headerRowDxfId="576" dataDxfId="575">
  <autoFilter ref="A2:Z12" xr:uid="{00000000-0009-0000-0100-00001C000000}"/>
  <sortState xmlns:xlrd2="http://schemas.microsoft.com/office/spreadsheetml/2017/richdata2" ref="A3:Z12">
    <sortCondition ref="A2:A12"/>
  </sortState>
  <tableColumns count="26">
    <tableColumn id="1" xr3:uid="{A5D66A85-90FE-4DFD-86EB-A11767D330C0}" name="Participating Districts" totalsRowLabel="Total Districts: 10" dataDxfId="574" totalsRowDxfId="573"/>
    <tableColumn id="2" xr3:uid="{0052867E-718B-4369-905E-0BA3EC2508B6}" name="Participating Schools" totalsRowLabel="Total Schools: 16" dataDxfId="572" totalsRowDxfId="571"/>
    <tableColumn id="3" xr3:uid="{E09C6BFA-7B32-441E-A37F-DE25F6712144}" name="American Sign Language Total" totalsRowFunction="sum" dataDxfId="570" totalsRowDxfId="569"/>
    <tableColumn id="4" xr3:uid="{B39EBC04-4468-4BA6-9C16-412EC8C33C69}" name="Arabic Total" totalsRowFunction="sum" dataDxfId="568" totalsRowDxfId="567"/>
    <tableColumn id="5" xr3:uid="{2DE2A1EA-5D71-46EE-9EA0-3A6EC5EC6471}" name="Armenian Total" totalsRowFunction="sum" dataDxfId="566" totalsRowDxfId="565"/>
    <tableColumn id="22" xr3:uid="{61D73182-08BC-4DAE-A959-8ED8442B96BF}" name="Bengali Total" totalsRowFunction="sum" dataDxfId="564" totalsRowDxfId="563"/>
    <tableColumn id="18" xr3:uid="{C68ECC5F-65EB-43D8-AB03-4A83D5AD37C2}" name="Chinese (Mandarin or Cantonese) Total" totalsRowFunction="sum" dataDxfId="562" totalsRowDxfId="561"/>
    <tableColumn id="23" xr3:uid="{7F4E8D0F-8BDB-4AF0-8738-BC738D3BFB88}" name="Farsi (Persian) Total" totalsRowFunction="sum" dataDxfId="560" totalsRowDxfId="559"/>
    <tableColumn id="6" xr3:uid="{4D0EDCC5-30AA-4A1E-9D94-5B275B271DB0}" name="French Total" totalsRowFunction="sum" dataDxfId="558" totalsRowDxfId="557"/>
    <tableColumn id="7" xr3:uid="{85A41911-78F3-4AFB-9E89-461187FEECBA}" name="German Total" totalsRowFunction="sum" dataDxfId="556" totalsRowDxfId="555"/>
    <tableColumn id="19" xr3:uid="{11980920-A684-4CE8-ADA7-104E6E0D042D}" name="Hebrew Total" totalsRowFunction="sum" dataDxfId="554" totalsRowDxfId="553"/>
    <tableColumn id="24" xr3:uid="{0B813156-3D61-4A4C-A115-7E443D4C50C0}" name="Hindi Total" totalsRowFunction="sum" dataDxfId="552" totalsRowDxfId="551"/>
    <tableColumn id="8" xr3:uid="{BB2E8314-A622-4B38-A51C-3C201847CD74}" name="Hmong Total" totalsRowFunction="sum" dataDxfId="550" totalsRowDxfId="549"/>
    <tableColumn id="9" xr3:uid="{B985EDD4-7012-4B71-9ABC-EAAFABD3C370}" name="Italian Total" totalsRowFunction="sum" dataDxfId="548" totalsRowDxfId="547"/>
    <tableColumn id="10" xr3:uid="{AC702A28-F562-4621-8150-FD8E9DAC7C83}" name="Japanese Total" totalsRowFunction="sum" dataDxfId="546" totalsRowDxfId="545"/>
    <tableColumn id="11" xr3:uid="{1EA1E94E-4C6C-47BA-89FD-5A6C645735C8}" name="Korean Total" totalsRowFunction="sum" dataDxfId="544" totalsRowDxfId="543"/>
    <tableColumn id="12" xr3:uid="{2C24E841-6CE3-43CA-AD32-FB5D067FF625}" name="Latin Total" totalsRowFunction="sum" dataDxfId="542" totalsRowDxfId="541"/>
    <tableColumn id="13" xr3:uid="{C1D4EEC6-107C-4587-923B-6A9DA818F93A}" name="Portuguese Total" totalsRowFunction="sum" dataDxfId="540" totalsRowDxfId="539"/>
    <tableColumn id="25" xr3:uid="{BE31F1C0-BA21-4A85-AB53-8EFCAD0393A3}" name="Punjabi Total" totalsRowFunction="sum" dataDxfId="538" totalsRowDxfId="537"/>
    <tableColumn id="20" xr3:uid="{12FC6EC3-EE8F-48DE-A5FF-335B97A90932}" name="Russian Total" totalsRowFunction="sum" dataDxfId="536" totalsRowDxfId="535"/>
    <tableColumn id="14" xr3:uid="{3D5CA569-AE90-4A3B-9CAD-5CAF44EDE010}" name="Spanish Total" totalsRowFunction="sum" dataDxfId="534" totalsRowDxfId="533"/>
    <tableColumn id="15" xr3:uid="{F94C01AA-8458-44DD-BFC6-9619BD9C55B1}" name="Tagalog (Filipino) Total" totalsRowFunction="sum" dataDxfId="532" totalsRowDxfId="531"/>
    <tableColumn id="26" xr3:uid="{93932746-0DDF-4401-BB21-92BB3A12AC9E}" name="Urdu Total" totalsRowFunction="sum" dataDxfId="530" totalsRowDxfId="529"/>
    <tableColumn id="16" xr3:uid="{A31CDDFF-FA14-4C2B-B657-F7F6684D27B5}" name="Vietnamese Total" totalsRowFunction="sum" dataDxfId="528" totalsRowDxfId="527"/>
    <tableColumn id="17" xr3:uid="{9F11F58F-9EC0-4B36-BE65-9C85991A06A8}" name="Other Total" totalsRowFunction="sum" dataDxfId="526" totalsRowDxfId="525"/>
    <tableColumn id="21" xr3:uid="{659BAF71-6964-478C-A125-74A32E41F8B5}" name="Total Seals per Local Educational Agency" totalsRowFunction="sum" dataDxfId="524" totalsRowDxfId="523">
      <calculatedColumnFormula>SUM(Sonoma[[#This Row],[American Sign Language Total]:[Vietnamese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onoma county and also includes language totals."/>
    </ext>
  </extLst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F34DA0A9-4612-4032-BAC6-54BA4E9A73AB}" name="Stanislaus" displayName="Stanislaus" ref="A2:Z12" totalsRowCount="1" headerRowDxfId="522" dataDxfId="521">
  <autoFilter ref="A2:Z11" xr:uid="{00000000-0009-0000-0100-00001C000000}"/>
  <sortState xmlns:xlrd2="http://schemas.microsoft.com/office/spreadsheetml/2017/richdata2" ref="A3:Z11">
    <sortCondition ref="A2:A11"/>
  </sortState>
  <tableColumns count="26">
    <tableColumn id="1" xr3:uid="{C9629683-CEAF-41CA-9B18-5952A5581ADA}" name="Participating Districts" totalsRowLabel="Total Districts: 9" dataDxfId="520" totalsRowDxfId="519"/>
    <tableColumn id="2" xr3:uid="{F3471BE8-BE4D-4F75-99AF-F7B1C90E6D90}" name="Participating Schools" totalsRowLabel="Total Schools: 19" dataDxfId="518" totalsRowDxfId="517"/>
    <tableColumn id="3" xr3:uid="{6150A52D-2009-41FF-86FE-6974D7730478}" name="American Sign Language Total" totalsRowFunction="sum" dataDxfId="516" totalsRowDxfId="515"/>
    <tableColumn id="4" xr3:uid="{B655297E-9580-4930-8664-2256E0AD8929}" name="Arabic Total" totalsRowFunction="sum" dataDxfId="514" totalsRowDxfId="513"/>
    <tableColumn id="5" xr3:uid="{05F1AD8B-5DE0-4464-841A-6BF02447B499}" name="Armenian Total" totalsRowFunction="sum" dataDxfId="512" totalsRowDxfId="511"/>
    <tableColumn id="22" xr3:uid="{244AB9FD-2D98-49E3-A136-F3CCBC780C7E}" name="Bengali Total" totalsRowFunction="sum" dataDxfId="510" totalsRowDxfId="509"/>
    <tableColumn id="18" xr3:uid="{AAEE3507-7DE7-4F51-A9C3-5F3345B48493}" name="Chinese (Mandarin or Cantonese) Total" totalsRowFunction="sum" dataDxfId="508" totalsRowDxfId="507"/>
    <tableColumn id="23" xr3:uid="{8016A566-0799-4AD5-BFBB-E6F99A95F185}" name="Farsi (Persian) Total" totalsRowFunction="sum" dataDxfId="506" totalsRowDxfId="505"/>
    <tableColumn id="6" xr3:uid="{C46C33C6-9207-46C6-9D6D-2DD362C180B6}" name="French Total" totalsRowFunction="sum" dataDxfId="504" totalsRowDxfId="503"/>
    <tableColumn id="7" xr3:uid="{AD28FE71-1366-493C-97F0-A3E9A5734053}" name="German Total" totalsRowFunction="sum" dataDxfId="502" totalsRowDxfId="501"/>
    <tableColumn id="19" xr3:uid="{A4014A28-1D99-42F6-8D5E-7B1030858243}" name="Hebrew Total" totalsRowFunction="sum" dataDxfId="500" totalsRowDxfId="499"/>
    <tableColumn id="24" xr3:uid="{AB152394-542E-405D-8973-E0F84BB8D3C0}" name="Hindi Total" totalsRowFunction="sum" dataDxfId="498" totalsRowDxfId="497"/>
    <tableColumn id="8" xr3:uid="{64649132-CA39-48A9-9916-0928E803E025}" name="Hmong Total" totalsRowFunction="sum" dataDxfId="496" totalsRowDxfId="495"/>
    <tableColumn id="9" xr3:uid="{540D151F-03C3-4393-8F68-62A6639BFA50}" name="Italian Total" totalsRowFunction="sum" dataDxfId="494" totalsRowDxfId="493"/>
    <tableColumn id="10" xr3:uid="{3EC43E94-3951-4AFC-8277-DFF0C60F3D52}" name="Japanese Total" totalsRowFunction="sum" dataDxfId="492" totalsRowDxfId="491"/>
    <tableColumn id="11" xr3:uid="{B7C579A2-96A0-44FD-BFA6-2746B8FA6B03}" name="Korean Total" totalsRowFunction="sum" dataDxfId="490" totalsRowDxfId="489"/>
    <tableColumn id="12" xr3:uid="{20442610-AB80-4C21-903B-9E9DA38B5126}" name="Latin Total" totalsRowFunction="sum" dataDxfId="488" totalsRowDxfId="487"/>
    <tableColumn id="13" xr3:uid="{20A3B207-8866-402B-9425-EEC46570CACF}" name="Portuguese Total" totalsRowFunction="sum" dataDxfId="486" totalsRowDxfId="485"/>
    <tableColumn id="25" xr3:uid="{2B1DEC7A-D315-4C28-BFDD-CAD01A093775}" name="Punjabi Total" totalsRowFunction="sum" dataDxfId="484" totalsRowDxfId="483"/>
    <tableColumn id="20" xr3:uid="{A7E88076-EF2A-4C05-BC0D-0BC16C10BC88}" name="Russian Total" totalsRowFunction="sum" dataDxfId="482" totalsRowDxfId="481"/>
    <tableColumn id="14" xr3:uid="{0DE75190-1A0B-4147-B5E8-A6FB2C7A9D41}" name="Spanish Total" totalsRowFunction="sum" dataDxfId="480" totalsRowDxfId="479"/>
    <tableColumn id="15" xr3:uid="{66AF33AD-116E-45C2-A0D4-89D0F1DD67E9}" name="Tagalog (Filipino) Total" totalsRowFunction="sum" dataDxfId="478" totalsRowDxfId="477"/>
    <tableColumn id="26" xr3:uid="{F49268E4-4A5F-4FE6-BE89-C6606258BEF5}" name="Urdu Total" totalsRowFunction="sum" dataDxfId="476" totalsRowDxfId="475"/>
    <tableColumn id="16" xr3:uid="{AB7CDBAF-9C4E-408B-A4EC-9EB843B06977}" name="Vietnamese Total" totalsRowFunction="sum" dataDxfId="474" totalsRowDxfId="473"/>
    <tableColumn id="17" xr3:uid="{9E56FB2B-F017-45DF-8893-A443C82F9798}" name="Other Total" totalsRowFunction="sum" dataDxfId="472" totalsRowDxfId="471"/>
    <tableColumn id="21" xr3:uid="{34587387-1AB1-470B-92C3-F0536A52ACC2}" name="Total Seals per Local Educational Agency" totalsRowFunction="sum" dataDxfId="470" totalsRowDxfId="469">
      <calculatedColumnFormula>SUM(Stanislaus[[#This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tanislaus county and also includes language totals."/>
    </ext>
  </extLst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D682A96E-EE31-40A0-A32D-2439EF4A091B}" name="Sutter" displayName="Sutter" ref="A2:Z9" totalsRowCount="1" headerRowDxfId="468" dataDxfId="467">
  <autoFilter ref="A2:Z8" xr:uid="{00000000-0009-0000-0100-00001C000000}"/>
  <sortState xmlns:xlrd2="http://schemas.microsoft.com/office/spreadsheetml/2017/richdata2" ref="A3:Z8">
    <sortCondition ref="A2:A8"/>
  </sortState>
  <tableColumns count="26">
    <tableColumn id="1" xr3:uid="{A6200684-7EA4-4AF7-A30A-637BC99172E6}" name="Participating Districts" totalsRowLabel="Total Districts: 6" dataDxfId="466" totalsRowDxfId="465"/>
    <tableColumn id="2" xr3:uid="{0DE67FD0-9B87-4EE5-B472-7888F8F2935F}" name="Participating Schools" totalsRowLabel="Total Schools: 9" dataDxfId="464" totalsRowDxfId="463"/>
    <tableColumn id="3" xr3:uid="{A8617BAB-5436-41FE-A501-5DBB7668A032}" name="American Sign Language Total" totalsRowFunction="sum" dataDxfId="462" totalsRowDxfId="461"/>
    <tableColumn id="4" xr3:uid="{1D7F7324-9D84-4D37-A844-F345175F83AE}" name="Arabic Total" totalsRowFunction="sum" dataDxfId="460" totalsRowDxfId="459"/>
    <tableColumn id="5" xr3:uid="{CE0F6993-C2C8-459B-B189-967C4AE5A990}" name="Armenian Total" totalsRowFunction="sum" dataDxfId="458" totalsRowDxfId="457"/>
    <tableColumn id="22" xr3:uid="{681F43C6-9243-49D3-BADE-4288577246D0}" name="Bengali Total" totalsRowFunction="sum" dataDxfId="456" totalsRowDxfId="455"/>
    <tableColumn id="18" xr3:uid="{3DD45502-9EC8-41DB-BB5A-DA7322ECE92D}" name="Chinese (Mandarin or Cantonese) Total" totalsRowFunction="sum" dataDxfId="454" totalsRowDxfId="453"/>
    <tableColumn id="23" xr3:uid="{AD609F5A-66D9-4F06-88B9-47429976352A}" name="Farsi (Persian) Total" totalsRowFunction="sum" dataDxfId="452" totalsRowDxfId="451"/>
    <tableColumn id="6" xr3:uid="{8C551948-71DC-43F3-9198-AB36795DA695}" name="French Total" totalsRowFunction="sum" dataDxfId="450" totalsRowDxfId="449"/>
    <tableColumn id="7" xr3:uid="{B62FF16D-5E23-4A04-AAA5-301A55D04ED2}" name="German Total" totalsRowFunction="sum" dataDxfId="448" totalsRowDxfId="447"/>
    <tableColumn id="19" xr3:uid="{483C3F22-B05E-46A2-902A-E6CFFAAE7354}" name="Hebrew Total" totalsRowFunction="sum" dataDxfId="446" totalsRowDxfId="445"/>
    <tableColumn id="24" xr3:uid="{BEA76B98-7604-455B-B808-3457B7F85AAF}" name="Hindi Total" totalsRowFunction="sum" dataDxfId="444" totalsRowDxfId="443"/>
    <tableColumn id="8" xr3:uid="{779A1156-2A6D-48F7-82E5-E270E65E48A2}" name="Hmong Total" totalsRowFunction="sum" dataDxfId="442" totalsRowDxfId="441"/>
    <tableColumn id="9" xr3:uid="{19F60BBE-65E6-47B8-8DCF-E42E1BBD3E3E}" name="Italian Total" totalsRowFunction="sum" dataDxfId="440" totalsRowDxfId="439"/>
    <tableColumn id="10" xr3:uid="{53CA616C-61E0-4456-89F2-860B53B62281}" name="Japanese Total" totalsRowFunction="sum" dataDxfId="438" totalsRowDxfId="437"/>
    <tableColumn id="11" xr3:uid="{6B1B0441-F55C-41E2-9911-A1931EAB96C7}" name="Korean Total" totalsRowFunction="sum" dataDxfId="436" totalsRowDxfId="435"/>
    <tableColumn id="12" xr3:uid="{69DE917A-0FAC-4BFB-901F-83C55CD282E7}" name="Latin Total" totalsRowFunction="sum" dataDxfId="434" totalsRowDxfId="433"/>
    <tableColumn id="13" xr3:uid="{6F02F1F8-7C0C-4FAC-B4B3-E6AC2106CA13}" name="Portuguese Total" totalsRowFunction="sum" dataDxfId="432" totalsRowDxfId="431"/>
    <tableColumn id="25" xr3:uid="{39D15434-E9F9-4C99-B7B0-3AC11366B2A4}" name="Punjabi Total" totalsRowFunction="sum" dataDxfId="430" totalsRowDxfId="429"/>
    <tableColumn id="20" xr3:uid="{7F02A592-417A-4E73-AF88-16C20F84D750}" name="Russian Total" totalsRowFunction="sum" dataDxfId="428" totalsRowDxfId="427"/>
    <tableColumn id="14" xr3:uid="{A15F890F-65A6-4AC6-92E4-0D9860746872}" name="Spanish Total" totalsRowFunction="sum" dataDxfId="426" totalsRowDxfId="425"/>
    <tableColumn id="15" xr3:uid="{8CE2CED8-F9CC-494C-813E-59905BC9B2FF}" name="Tagalog (Filipino) Total" totalsRowFunction="sum" dataDxfId="424" totalsRowDxfId="423"/>
    <tableColumn id="26" xr3:uid="{EE1D3C15-70D8-4EA1-B34F-4DB6F722EDB3}" name="Urdu Total" totalsRowFunction="sum" dataDxfId="422" totalsRowDxfId="421"/>
    <tableColumn id="16" xr3:uid="{D3876A32-7DF5-44E4-87A1-5591515C7E7A}" name="Vietnamese Total" totalsRowFunction="sum" dataDxfId="420" totalsRowDxfId="419"/>
    <tableColumn id="17" xr3:uid="{B5629391-CC0C-4C81-90C3-D66C844D043B}" name="Other Total" totalsRowFunction="sum" dataDxfId="418" totalsRowDxfId="417"/>
    <tableColumn id="21" xr3:uid="{7A25ED80-A444-4D76-A869-5C9AC321B884}" name="Total Seals per Local Educational Agency" totalsRowFunction="sum" dataDxfId="416" totalsRowDxfId="415">
      <calculatedColumnFormula>SUM(Sutter[[#This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Sutter county and also includes language totals."/>
    </ext>
  </extLst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131B774C-35E3-4AF3-96E2-2D1D3B19F5D9}" name="Tehama" displayName="Tehama" ref="A2:Z5" totalsRowCount="1" headerRowDxfId="414" dataDxfId="413">
  <autoFilter ref="A2:Z4" xr:uid="{00000000-0009-0000-0100-00001C000000}"/>
  <tableColumns count="26">
    <tableColumn id="1" xr3:uid="{81A33AD5-BCD4-445B-984E-BCBD55EAB1C8}" name="Participating Districts" totalsRowLabel="Total Districts: 2" dataDxfId="412" totalsRowDxfId="411"/>
    <tableColumn id="2" xr3:uid="{FDB6ACC6-50A7-4018-B896-558CE759E6F0}" name="Participating Schools" totalsRowLabel="Total Schools: 2" dataDxfId="410" totalsRowDxfId="409"/>
    <tableColumn id="3" xr3:uid="{8F27D2BB-DC2E-4208-B42B-16F83E8BCD1D}" name="American Sign Language Total" totalsRowFunction="sum" dataDxfId="408" totalsRowDxfId="407"/>
    <tableColumn id="4" xr3:uid="{BEF6593C-8411-4521-ACE0-0F0A8DDA133D}" name="Arabic Total" totalsRowFunction="sum" dataDxfId="406" totalsRowDxfId="405"/>
    <tableColumn id="5" xr3:uid="{5D9CAF59-70A1-4917-861E-9F466E6FCD16}" name="Armenian Total" totalsRowFunction="sum" dataDxfId="404" totalsRowDxfId="403"/>
    <tableColumn id="22" xr3:uid="{742B4328-C894-4A3B-98AD-AC816B8C22C6}" name="Bengali Total" totalsRowFunction="sum" dataDxfId="402" totalsRowDxfId="401"/>
    <tableColumn id="18" xr3:uid="{2ADCB978-E3F8-42BC-983A-9EE9BDB61D8D}" name="Chinese (Mandarin or Cantonese) Total" totalsRowFunction="sum" dataDxfId="400" totalsRowDxfId="399"/>
    <tableColumn id="23" xr3:uid="{843470B5-540A-4A9F-AF08-9F67753FEA19}" name="Farsi (Persian) Total" totalsRowFunction="sum" dataDxfId="398" totalsRowDxfId="397"/>
    <tableColumn id="6" xr3:uid="{0D0676F1-DD4F-4EB0-AEB3-9EAC7E364DB1}" name="French Total" totalsRowFunction="sum" dataDxfId="396" totalsRowDxfId="395"/>
    <tableColumn id="7" xr3:uid="{19DED7B8-9F0A-478B-A019-8E3199BD5219}" name="German Total" totalsRowFunction="sum" dataDxfId="394" totalsRowDxfId="393"/>
    <tableColumn id="19" xr3:uid="{DCA61704-847F-4C41-AD37-DE0D095FE5A7}" name="Hebrew Total" totalsRowFunction="sum" dataDxfId="392" totalsRowDxfId="391"/>
    <tableColumn id="24" xr3:uid="{B36EEE9F-BA2F-419D-80F2-BF4AE7C204F3}" name="Hindi Total" totalsRowFunction="sum" dataDxfId="390" totalsRowDxfId="389"/>
    <tableColumn id="8" xr3:uid="{4743A0B5-5B88-438A-B04B-50A85FC35838}" name="Hmong Total" totalsRowFunction="sum" dataDxfId="388" totalsRowDxfId="387"/>
    <tableColumn id="9" xr3:uid="{7622D711-8AD1-45AB-93AF-3CACE8FB51A2}" name="Italian Total" totalsRowFunction="sum" dataDxfId="386" totalsRowDxfId="385"/>
    <tableColumn id="10" xr3:uid="{0F87CB82-7D15-40F3-ADBD-11D796C6CC8C}" name="Japanese Total" totalsRowFunction="sum" dataDxfId="384" totalsRowDxfId="383"/>
    <tableColumn id="11" xr3:uid="{1037D7CB-0550-416E-A0E3-308AA7D820F9}" name="Korean Total" totalsRowFunction="sum" dataDxfId="382" totalsRowDxfId="381"/>
    <tableColumn id="12" xr3:uid="{7411149D-F95A-4E9E-93D0-DD84D871A6EC}" name="Latin Total" totalsRowFunction="sum" dataDxfId="380" totalsRowDxfId="379"/>
    <tableColumn id="13" xr3:uid="{348868D2-1F64-4413-94F7-149A66D5D126}" name="Portuguese Total" totalsRowFunction="sum" dataDxfId="378" totalsRowDxfId="377"/>
    <tableColumn id="25" xr3:uid="{5E39D425-0462-4C8A-A039-4F933C190F52}" name="Punjabi Total" totalsRowFunction="sum" dataDxfId="376" totalsRowDxfId="375"/>
    <tableColumn id="20" xr3:uid="{93143812-7569-42D1-9173-C479AE9189BC}" name="Russian Total" totalsRowFunction="sum" dataDxfId="374" totalsRowDxfId="373"/>
    <tableColumn id="14" xr3:uid="{D0B2A9F5-C851-4E0E-9C83-2D6B7FF12AFE}" name="Spanish Total" totalsRowFunction="sum" dataDxfId="372" totalsRowDxfId="371"/>
    <tableColumn id="15" xr3:uid="{F6BB7CED-80F7-4640-ACB3-63C2E462F86E}" name="Tagalog (Filipino) Total" totalsRowFunction="sum" dataDxfId="370" totalsRowDxfId="369"/>
    <tableColumn id="26" xr3:uid="{6B4F8847-F9C9-464C-80E6-06D09702BA21}" name="Urdu Total" totalsRowFunction="sum" dataDxfId="368" totalsRowDxfId="367"/>
    <tableColumn id="16" xr3:uid="{61F4CB49-B54A-4E84-85E9-02C273D2DB58}" name="Vietnamese Total" totalsRowFunction="sum" dataDxfId="366" totalsRowDxfId="365"/>
    <tableColumn id="17" xr3:uid="{7D0A9DC7-716E-4D73-9D73-2374F4B33714}" name="Other Total" totalsRowFunction="sum" dataDxfId="364" totalsRowDxfId="363"/>
    <tableColumn id="21" xr3:uid="{177F34BA-6868-46EC-B090-54FAB549E7AF}" name="Total Seals per Local Educational Agency" totalsRowFunction="sum" dataDxfId="362" totalsRowDxfId="361">
      <calculatedColumnFormula>SUM(Tehama[[#This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Tehama county and also includes language totals."/>
    </ext>
  </extLst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AC46BE3E-2803-4B3D-93B4-C8F905EB0450}" name="Tulare47" displayName="Tulare47" ref="A2:Z5" totalsRowCount="1" headerRowDxfId="360" dataDxfId="359">
  <autoFilter ref="A2:Z4" xr:uid="{00000000-0009-0000-0100-00001C000000}"/>
  <sortState xmlns:xlrd2="http://schemas.microsoft.com/office/spreadsheetml/2017/richdata2" ref="A3:Z4">
    <sortCondition ref="A2:A4"/>
  </sortState>
  <tableColumns count="26">
    <tableColumn id="1" xr3:uid="{425032EB-4471-40FC-8322-F13D2FEEC15E}" name="Participating Districts" totalsRowLabel="Total Districts: 2" dataDxfId="358" totalsRowDxfId="357"/>
    <tableColumn id="2" xr3:uid="{BD0A06EB-C8D7-454E-A9C6-A02F5BC32A51}" name="Participating Schools" totalsRowLabel="Total Schools: 2" dataDxfId="356" totalsRowDxfId="355"/>
    <tableColumn id="3" xr3:uid="{E05AFE6A-54DD-4B67-989D-BD981F1E5978}" name="American Sign Language Total" totalsRowFunction="sum" dataDxfId="354" totalsRowDxfId="353"/>
    <tableColumn id="4" xr3:uid="{B237BEE0-803A-4D06-A2DE-0D99BF3F982D}" name="Arabic Total" totalsRowFunction="sum" dataDxfId="352" totalsRowDxfId="351"/>
    <tableColumn id="5" xr3:uid="{8B5324F9-B8F8-4EE7-90C7-081D16F30432}" name="Armenian Total" totalsRowFunction="sum" dataDxfId="350" totalsRowDxfId="349"/>
    <tableColumn id="22" xr3:uid="{E5A0E0DE-D60F-4337-8A2C-61256E27A90D}" name="Bengali Total" totalsRowFunction="sum" dataDxfId="348" totalsRowDxfId="347"/>
    <tableColumn id="18" xr3:uid="{929E1C52-0AA6-4E38-AB6C-428BB6138E50}" name="Chinese (Mandarin or Cantonese) Total" totalsRowFunction="sum" dataDxfId="346" totalsRowDxfId="345"/>
    <tableColumn id="23" xr3:uid="{E685AC1D-85DF-401D-93A6-6A6DF6C13BBB}" name="Farsi (Persian) Total" totalsRowFunction="sum" dataDxfId="344" totalsRowDxfId="343"/>
    <tableColumn id="6" xr3:uid="{F6911185-230D-48E3-A743-E03BD0FF1BBD}" name="French Total" totalsRowFunction="sum" dataDxfId="342" totalsRowDxfId="341"/>
    <tableColumn id="7" xr3:uid="{B5E4E0B3-D146-44B2-918F-B0F6925192FA}" name="German Total" totalsRowFunction="sum" dataDxfId="340" totalsRowDxfId="339"/>
    <tableColumn id="19" xr3:uid="{DA33DD9A-6258-4367-8F23-935058D53AD6}" name="Hebrew Total" totalsRowFunction="sum" dataDxfId="338" totalsRowDxfId="337"/>
    <tableColumn id="24" xr3:uid="{634E8E15-51C3-4AF5-A9F1-90173CBA5D5D}" name="Hindi Total" totalsRowFunction="sum" dataDxfId="336" totalsRowDxfId="335"/>
    <tableColumn id="8" xr3:uid="{9F7F85B6-0EF8-4635-B68F-8FB979987F2C}" name="Hmong Total" totalsRowFunction="sum" dataDxfId="334" totalsRowDxfId="333"/>
    <tableColumn id="9" xr3:uid="{518F5705-CB6E-4182-B352-1DA5ACA16DD4}" name="Italian Total" totalsRowFunction="sum" dataDxfId="332" totalsRowDxfId="331"/>
    <tableColumn id="10" xr3:uid="{F7CB359F-55A6-4839-AB78-CF8C64322EC7}" name="Japanese Total" totalsRowFunction="sum" dataDxfId="330" totalsRowDxfId="329"/>
    <tableColumn id="11" xr3:uid="{54C9D6F0-3748-4877-B83B-82F6BF3C8C66}" name="Korean Total" totalsRowFunction="sum" dataDxfId="328" totalsRowDxfId="327"/>
    <tableColumn id="12" xr3:uid="{81291BE2-A160-4ADB-AB0D-060CF98CF22B}" name="Latin Total" totalsRowFunction="sum" dataDxfId="326" totalsRowDxfId="325"/>
    <tableColumn id="13" xr3:uid="{6A2B3863-2146-4A39-86AE-1B2B5E0D58B4}" name="Portuguese Total" totalsRowFunction="sum" dataDxfId="324" totalsRowDxfId="323"/>
    <tableColumn id="25" xr3:uid="{7F981991-8B92-40EF-97FB-15339675AF18}" name="Punjabi Total" totalsRowFunction="sum" dataDxfId="322" totalsRowDxfId="321"/>
    <tableColumn id="20" xr3:uid="{DC599412-B695-4A1B-AF4A-881B64D4A6D8}" name="Russian Total" totalsRowFunction="sum" dataDxfId="320" totalsRowDxfId="319"/>
    <tableColumn id="14" xr3:uid="{79BE08BB-EB63-4624-B94B-C1D867A625D6}" name="Spanish Total" totalsRowFunction="sum" dataDxfId="318" totalsRowDxfId="317"/>
    <tableColumn id="15" xr3:uid="{621B8E29-7730-435C-8967-7B35D451F18B}" name="Tagalog (Filipino) Total" totalsRowFunction="sum" dataDxfId="316" totalsRowDxfId="315"/>
    <tableColumn id="26" xr3:uid="{5497C542-7764-4B06-B2ED-45883AD958AB}" name="Urdu Total" totalsRowFunction="sum" dataDxfId="314" totalsRowDxfId="313"/>
    <tableColumn id="16" xr3:uid="{1223C80E-445B-49EA-8975-EB727B9CC0AF}" name="Vietnamese Total" totalsRowFunction="sum" dataDxfId="312" totalsRowDxfId="311"/>
    <tableColumn id="17" xr3:uid="{46DA9A41-B218-4DE0-B893-2A4EE7880CE2}" name="Other Total" totalsRowFunction="sum" dataDxfId="310" totalsRowDxfId="309"/>
    <tableColumn id="21" xr3:uid="{77B6213D-FB8E-4071-B905-1ED6317DB9D8}" name="Total Seals per Local Educational Agency" totalsRowFunction="sum" dataDxfId="308" totalsRowDxfId="307">
      <calculatedColumnFormula>SUM(Tulare47[[#This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Tulare county and also includes language totals."/>
    </ext>
  </extLst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57DF3035-C045-4D81-B79E-58C10ADA298D}" name="Tulare" displayName="Tulare" ref="A2:Z16" totalsRowCount="1" headerRowDxfId="306" dataDxfId="305">
  <autoFilter ref="A2:Z15" xr:uid="{00000000-0009-0000-0100-00001C000000}"/>
  <sortState xmlns:xlrd2="http://schemas.microsoft.com/office/spreadsheetml/2017/richdata2" ref="A3:Z15">
    <sortCondition ref="A2:A15"/>
  </sortState>
  <tableColumns count="26">
    <tableColumn id="1" xr3:uid="{EA029AA5-FE45-497F-B2A3-4FFD1818E88B}" name="Participating Districts" totalsRowLabel="Total Districts: 13" dataDxfId="304" totalsRowDxfId="303"/>
    <tableColumn id="2" xr3:uid="{50FB0F82-C17D-4753-86E2-8751194BE94D}" name="Participating Schools" totalsRowLabel="Total Schools: 27" dataDxfId="302" totalsRowDxfId="301"/>
    <tableColumn id="3" xr3:uid="{3278B406-C9DA-4292-B7BA-1BB3AD42AC1E}" name="American Sign Language Total" totalsRowFunction="sum" dataDxfId="300" totalsRowDxfId="299"/>
    <tableColumn id="4" xr3:uid="{DE52679F-6360-4759-A76F-B8DFB5B616E1}" name="Arabic Total" totalsRowFunction="sum" dataDxfId="298" totalsRowDxfId="297"/>
    <tableColumn id="5" xr3:uid="{DF86BA58-3573-4ECF-9BC3-A1E680AC6001}" name="Armenian Total" totalsRowFunction="sum" dataDxfId="296" totalsRowDxfId="295"/>
    <tableColumn id="22" xr3:uid="{769EA99B-5925-49C2-AE34-E91EDB7BFC9F}" name="Bengali Total" totalsRowFunction="sum" dataDxfId="294" totalsRowDxfId="293"/>
    <tableColumn id="18" xr3:uid="{9D4B90F0-FE1A-416D-9571-A5429DD0AE3B}" name="Chinese (Mandarin or Cantonese) Total" totalsRowFunction="sum" dataDxfId="292" totalsRowDxfId="291"/>
    <tableColumn id="23" xr3:uid="{0845DC4E-1C0C-4B37-BE0E-B6FE48E5538E}" name="Farsi (Persian) Total" totalsRowFunction="sum" dataDxfId="290" totalsRowDxfId="289"/>
    <tableColumn id="6" xr3:uid="{A3A522BB-318C-4A5E-A4D2-BF6890FEE2E7}" name="French Total" totalsRowFunction="sum" dataDxfId="288" totalsRowDxfId="287"/>
    <tableColumn id="7" xr3:uid="{0BFC983D-4DCB-4CB6-BAA5-CDB9E3A97699}" name="German Total" totalsRowFunction="sum" dataDxfId="286" totalsRowDxfId="285"/>
    <tableColumn id="19" xr3:uid="{44F0A805-0084-455C-8DEA-04B8CC30AAF4}" name="Hebrew Total" totalsRowFunction="sum" dataDxfId="284" totalsRowDxfId="283"/>
    <tableColumn id="24" xr3:uid="{6209C4DE-FA18-4443-B42A-7653123C373D}" name="Hindi Total" totalsRowFunction="sum" dataDxfId="282" totalsRowDxfId="281"/>
    <tableColumn id="8" xr3:uid="{1B7C8CCE-8912-44C6-A97A-DF0B06636A37}" name="Hmong Total" totalsRowFunction="sum" dataDxfId="280" totalsRowDxfId="279"/>
    <tableColumn id="9" xr3:uid="{5A47AEB1-20A2-4106-98A5-70F2548CC16B}" name="Italian Total" totalsRowFunction="sum" dataDxfId="278" totalsRowDxfId="277"/>
    <tableColumn id="10" xr3:uid="{DE4DFF61-7F35-445F-92A8-42FC4B3CBB17}" name="Japanese Total" totalsRowFunction="sum" dataDxfId="276" totalsRowDxfId="275"/>
    <tableColumn id="11" xr3:uid="{BECE35D2-9F11-4A9D-A92A-FD51CE630A7B}" name="Korean Total" totalsRowFunction="sum" dataDxfId="274" totalsRowDxfId="273"/>
    <tableColumn id="12" xr3:uid="{8A875DDB-F709-4298-8299-2B7D0CA9231F}" name="Latin Total" totalsRowFunction="sum" dataDxfId="272" totalsRowDxfId="271"/>
    <tableColumn id="13" xr3:uid="{7C62EEE0-0AB0-4155-841D-71C1880A52DA}" name="Portuguese Total" totalsRowFunction="sum" dataDxfId="270" totalsRowDxfId="269"/>
    <tableColumn id="25" xr3:uid="{1AACE6C9-903D-4F5D-8ABE-2F88EE17146E}" name="Punjabi Total" totalsRowFunction="sum" dataDxfId="268" totalsRowDxfId="267"/>
    <tableColumn id="20" xr3:uid="{A4DA39C2-EA1C-4C83-B207-0BE7C20A2C7D}" name="Russian Total" totalsRowFunction="sum" dataDxfId="266" totalsRowDxfId="265"/>
    <tableColumn id="14" xr3:uid="{353D695F-C2B2-4895-8C3E-60E22C97AD3E}" name="Spanish Total" totalsRowFunction="sum" dataDxfId="264" totalsRowDxfId="263"/>
    <tableColumn id="15" xr3:uid="{DA18CA76-CA5A-4A3A-91E1-3DCFA61476DD}" name="Tagalog (Filipino) Total" totalsRowFunction="sum" dataDxfId="262" totalsRowDxfId="261"/>
    <tableColumn id="26" xr3:uid="{33B1B458-F517-45D5-9196-7F67E3A6ABDF}" name="Urdu Total" totalsRowFunction="sum" dataDxfId="260" totalsRowDxfId="259"/>
    <tableColumn id="16" xr3:uid="{BA3B6459-3200-4740-A647-E20B28EDEA59}" name="Vietnamese Total" totalsRowFunction="sum" dataDxfId="258" totalsRowDxfId="257"/>
    <tableColumn id="17" xr3:uid="{4CDEBBAB-1C90-4520-92F3-EBE9B61C580B}" name="Other Total" totalsRowFunction="sum" dataDxfId="256" totalsRowDxfId="255"/>
    <tableColumn id="21" xr3:uid="{22CAE783-BE13-4FD2-B603-7B13AB6AA82B}" name="Total Seals per Local Educational Agency" totalsRowFunction="sum" dataDxfId="254" totalsRowDxfId="253">
      <calculatedColumnFormula>SUM(Tulare[[#This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Tulare county and also includes language totals."/>
    </ext>
  </extLst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C705DA2-602C-4EAF-84AF-C9FF39A76F71}" name="Ventura4" displayName="Ventura4" ref="A2:Z5" totalsRowCount="1" headerRowDxfId="252" dataDxfId="251">
  <autoFilter ref="A2:Z4" xr:uid="{00000000-0009-0000-0100-00001C000000}"/>
  <sortState xmlns:xlrd2="http://schemas.microsoft.com/office/spreadsheetml/2017/richdata2" ref="A3:Z4">
    <sortCondition ref="A2:A4"/>
  </sortState>
  <tableColumns count="26">
    <tableColumn id="1" xr3:uid="{A39C89BE-1B69-4CA0-87B7-BA33334C4A10}" name="Participating Districts" totalsRowLabel="Total Districts: 2" dataDxfId="250" totalsRowDxfId="249"/>
    <tableColumn id="2" xr3:uid="{E5161F0B-6C4C-4F4A-862A-FAEFB181AB57}" name="Participating Schools" totalsRowLabel="Total Schools: 3" dataDxfId="248" totalsRowDxfId="247"/>
    <tableColumn id="3" xr3:uid="{CB2FD6B9-C855-4B4A-87BA-40FB00D1A5D7}" name="American Sign Language Total" totalsRowFunction="sum" dataDxfId="246" totalsRowDxfId="245"/>
    <tableColumn id="4" xr3:uid="{50D14FA8-7803-446E-B8BF-A0C6B7B452FC}" name="Arabic Total" totalsRowFunction="sum" dataDxfId="244" totalsRowDxfId="243"/>
    <tableColumn id="5" xr3:uid="{BD3E676C-A190-4DFB-9F8C-2167AF1F7422}" name="Armenian Total" totalsRowFunction="sum" dataDxfId="242" totalsRowDxfId="241"/>
    <tableColumn id="22" xr3:uid="{30A39D01-049A-4067-B891-5505187D8D4A}" name="Bengali Total" totalsRowFunction="sum" dataDxfId="240" totalsRowDxfId="239"/>
    <tableColumn id="18" xr3:uid="{9FC7ED21-FA70-4613-B0D0-0B44DFD4F528}" name="Chinese (Mandarin or Cantonese) Total" totalsRowFunction="sum" dataDxfId="238" totalsRowDxfId="237"/>
    <tableColumn id="23" xr3:uid="{9D752993-0DDD-4DA8-9664-7A007A507600}" name="Farsi (Persian) Total" totalsRowFunction="sum" dataDxfId="236" totalsRowDxfId="235"/>
    <tableColumn id="6" xr3:uid="{F4738DD0-41BE-4A43-B33F-0394685FE6BF}" name="French Total" totalsRowFunction="sum" dataDxfId="234" totalsRowDxfId="233"/>
    <tableColumn id="7" xr3:uid="{4C6DFFDE-9A9F-4AAA-ACB7-9549B9B3BDDC}" name="German Total" totalsRowFunction="sum" dataDxfId="232" totalsRowDxfId="231"/>
    <tableColumn id="19" xr3:uid="{0091CE6C-8AFB-4E21-BCE1-3D73B6227606}" name="Hebrew Total" totalsRowFunction="sum" dataDxfId="230" totalsRowDxfId="229"/>
    <tableColumn id="24" xr3:uid="{FC26EC66-87A6-4DC8-AD3B-C29AA7B1EAFF}" name="Hindi Total" totalsRowFunction="sum" dataDxfId="228" totalsRowDxfId="227"/>
    <tableColumn id="8" xr3:uid="{3D1AD34D-EE17-4A36-BDE9-D6E1ACB7DF68}" name="Hmong Total" totalsRowFunction="sum" dataDxfId="226" totalsRowDxfId="225"/>
    <tableColumn id="9" xr3:uid="{70A8092D-8D00-43AF-A30E-738D858B340A}" name="Italian Total" totalsRowFunction="sum" dataDxfId="224" totalsRowDxfId="223"/>
    <tableColumn id="10" xr3:uid="{C928B32F-E5A3-4BEB-9968-336B06B2B7FD}" name="Japanese Total" totalsRowFunction="sum" dataDxfId="222" totalsRowDxfId="221"/>
    <tableColumn id="11" xr3:uid="{B9CFAB49-B62B-4548-857C-20ED7AB988DE}" name="Korean Total" totalsRowFunction="sum" dataDxfId="220" totalsRowDxfId="219"/>
    <tableColumn id="12" xr3:uid="{D64BDC77-4C77-4F29-87E5-300B186CB9E5}" name="Latin Total" totalsRowFunction="sum" dataDxfId="218" totalsRowDxfId="217"/>
    <tableColumn id="13" xr3:uid="{3E255F61-0409-45EC-8318-E5BDD831C610}" name="Portuguese Total" totalsRowFunction="sum" dataDxfId="216" totalsRowDxfId="215"/>
    <tableColumn id="25" xr3:uid="{B838E160-825E-4292-8863-1A4FBE37B26A}" name="Punjabi Total" totalsRowFunction="sum" dataDxfId="214" totalsRowDxfId="213"/>
    <tableColumn id="20" xr3:uid="{510846D2-861E-4102-A74A-E4E46EFCFE50}" name="Russian Total" totalsRowFunction="sum" dataDxfId="212" totalsRowDxfId="211"/>
    <tableColumn id="14" xr3:uid="{38CC9658-5B23-4602-B69A-A171358948A3}" name="Spanish Total" totalsRowFunction="sum" dataDxfId="210" totalsRowDxfId="209"/>
    <tableColumn id="15" xr3:uid="{83B8B32E-0E2A-4457-A6AF-65124353E66A}" name="Tagalog (Filipino) Total" totalsRowFunction="sum" dataDxfId="208" totalsRowDxfId="207"/>
    <tableColumn id="26" xr3:uid="{A7389518-C9C3-4C37-8090-7B07E492E53F}" name="Urdu Total" totalsRowFunction="sum" dataDxfId="206" totalsRowDxfId="205"/>
    <tableColumn id="16" xr3:uid="{62834A60-7926-4424-9473-36DE8BFFB25E}" name="Vietnamese Total" totalsRowFunction="sum" dataDxfId="204" totalsRowDxfId="203"/>
    <tableColumn id="17" xr3:uid="{22286403-9E7D-4B74-B453-32C4AB1F43A2}" name="Other Total" totalsRowFunction="sum" dataDxfId="202" totalsRowDxfId="201"/>
    <tableColumn id="21" xr3:uid="{2DF80321-20F0-4B1C-A5BC-359D6B303D29}" name="Total Seals per Local Educational Agency" totalsRowFunction="sum" dataDxfId="200" totalsRowDxfId="199">
      <calculatedColumnFormula>SUM(Ventura4[[#This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Ventura county and also includes language totals."/>
    </ext>
  </extLst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CD47172F-B46E-489E-8D50-649715829000}" name="Ventura" displayName="Ventura" ref="A2:Z13" totalsRowCount="1" headerRowDxfId="198" dataDxfId="197">
  <autoFilter ref="A2:Z12" xr:uid="{00000000-0009-0000-0100-00001C000000}"/>
  <sortState xmlns:xlrd2="http://schemas.microsoft.com/office/spreadsheetml/2017/richdata2" ref="A3:Z12">
    <sortCondition ref="A2:A12"/>
  </sortState>
  <tableColumns count="26">
    <tableColumn id="1" xr3:uid="{C3ED2A30-BCE3-4574-A7CF-D52C29A2C593}" name="Participating Districts" totalsRowLabel="Total Districts: 10" dataDxfId="196" totalsRowDxfId="195"/>
    <tableColumn id="2" xr3:uid="{6EBA7F5D-B4CF-4B54-A9B2-1440352272DC}" name="Participating Schools" totalsRowLabel="Total Schools: 28" dataDxfId="194" totalsRowDxfId="193"/>
    <tableColumn id="3" xr3:uid="{F6FBE704-CD7E-47F7-952A-85DCDAD3BED4}" name="American Sign Language Total" totalsRowFunction="sum" dataDxfId="192" totalsRowDxfId="191"/>
    <tableColumn id="4" xr3:uid="{FA89C0F9-BAFA-4261-B48B-910666951E8F}" name="Arabic Total" totalsRowFunction="sum" dataDxfId="190" totalsRowDxfId="189"/>
    <tableColumn id="5" xr3:uid="{36A35CEF-B059-4BEE-A450-490C0B605B6E}" name="Armenian Total" totalsRowFunction="sum" dataDxfId="188" totalsRowDxfId="187"/>
    <tableColumn id="22" xr3:uid="{2172661B-33EF-4A9B-8FA3-2AB84D3A6347}" name="Bengali Total" totalsRowFunction="sum" dataDxfId="186" totalsRowDxfId="185"/>
    <tableColumn id="18" xr3:uid="{4340DAEA-EDCA-4BCA-ABA1-A5D14BD7F1B1}" name="Chinese (Mandarin or Cantonese) Total" totalsRowFunction="sum" dataDxfId="184" totalsRowDxfId="183"/>
    <tableColumn id="23" xr3:uid="{56F7B148-A075-4F3D-B55A-554EA7B84387}" name="Farsi (Persian) Total" totalsRowFunction="sum" dataDxfId="182" totalsRowDxfId="181"/>
    <tableColumn id="6" xr3:uid="{261D14F2-34B3-4FA9-A023-3C19A244991D}" name="French Total" totalsRowFunction="sum" dataDxfId="180" totalsRowDxfId="179"/>
    <tableColumn id="7" xr3:uid="{FE083937-6A86-4A1A-AED0-9EF820AC38D7}" name="German Total" totalsRowFunction="sum" dataDxfId="178" totalsRowDxfId="177"/>
    <tableColumn id="19" xr3:uid="{5CD51624-37E6-432C-9172-87A229D76477}" name="Hebrew Total" totalsRowFunction="sum" dataDxfId="176" totalsRowDxfId="175"/>
    <tableColumn id="24" xr3:uid="{F9C32A92-ABB8-48B3-86CC-1C1CB16BEA16}" name="Hindi Total" totalsRowFunction="sum" dataDxfId="174" totalsRowDxfId="173"/>
    <tableColumn id="8" xr3:uid="{5C38E511-A75D-445B-8102-DC0D5A1575B7}" name="Hmong Total" totalsRowFunction="sum" dataDxfId="172" totalsRowDxfId="171"/>
    <tableColumn id="9" xr3:uid="{0149F03F-05B9-45FD-8A46-598532E5F4BB}" name="Italian Total" totalsRowFunction="sum" dataDxfId="170" totalsRowDxfId="169"/>
    <tableColumn id="10" xr3:uid="{00FAF3E2-1AE6-41E6-8DD5-F94149DCA558}" name="Japanese Total" totalsRowFunction="sum" dataDxfId="168" totalsRowDxfId="167"/>
    <tableColumn id="11" xr3:uid="{C95B98CA-AF7E-4C89-9B13-85D95AE35AAB}" name="Korean Total" totalsRowFunction="sum" dataDxfId="166" totalsRowDxfId="165"/>
    <tableColumn id="12" xr3:uid="{9853AEDB-1DA8-4FBD-8B8F-0E8D7EF0211F}" name="Latin Total" totalsRowFunction="sum" dataDxfId="164" totalsRowDxfId="163"/>
    <tableColumn id="13" xr3:uid="{0B3B0EF5-9C64-44DF-925E-3BD12DE6DE9F}" name="Portuguese Total" totalsRowFunction="sum" dataDxfId="162" totalsRowDxfId="161"/>
    <tableColumn id="25" xr3:uid="{39AD92FA-3F96-42FF-942E-886E6AFD6BD6}" name="Punjabi Total" totalsRowFunction="sum" dataDxfId="160" totalsRowDxfId="159"/>
    <tableColumn id="20" xr3:uid="{369C0951-25E9-436D-B8C5-1DA402171CA4}" name="Russian Total" totalsRowFunction="sum" dataDxfId="158" totalsRowDxfId="157"/>
    <tableColumn id="14" xr3:uid="{BF9E4002-09CF-4B27-A8E7-C11232242922}" name="Spanish Total" totalsRowFunction="sum" dataDxfId="156" totalsRowDxfId="155"/>
    <tableColumn id="15" xr3:uid="{45D1432A-74E1-452E-96DC-A548919804B8}" name="Tagalog (Filipino) Total" totalsRowFunction="sum" dataDxfId="154" totalsRowDxfId="153"/>
    <tableColumn id="26" xr3:uid="{73C5AE86-BB0F-474B-80C0-AEFF16E6E8EF}" name="Urdu Total" totalsRowFunction="sum" dataDxfId="152" totalsRowDxfId="151"/>
    <tableColumn id="16" xr3:uid="{35A70EFD-F941-43CD-BE7B-BCBD2C512837}" name="Vietnamese Total" totalsRowFunction="sum" dataDxfId="150" totalsRowDxfId="149"/>
    <tableColumn id="17" xr3:uid="{A6ABC912-070F-429B-BA14-74E53BB9D009}" name="Other Total" totalsRowFunction="sum" dataDxfId="148" totalsRowDxfId="147"/>
    <tableColumn id="21" xr3:uid="{FF5EDBBB-11A3-4744-AEEA-5FBC1C5FBC89}" name="Total Seals per Local Educational Agency" totalsRowFunction="sum" dataDxfId="146" totalsRowDxfId="145">
      <calculatedColumnFormula>SUM(Ventura[[#This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Ventura county and also includes language totals."/>
    </ext>
  </extLst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5CB60F16-39B5-4F00-801A-87AB78A2541B}" name="Yolo" displayName="Yolo" ref="A2:Z8" totalsRowCount="1" headerRowDxfId="144" dataDxfId="143">
  <autoFilter ref="A2:Z7" xr:uid="{00000000-0009-0000-0100-00001C000000}"/>
  <sortState xmlns:xlrd2="http://schemas.microsoft.com/office/spreadsheetml/2017/richdata2" ref="A3:Z7">
    <sortCondition ref="A2:A7"/>
  </sortState>
  <tableColumns count="26">
    <tableColumn id="1" xr3:uid="{52EA91B0-FB81-49ED-AE35-696D4346FFBD}" name="Participating Districts" totalsRowLabel="Total Districts: 5" dataDxfId="142" totalsRowDxfId="141"/>
    <tableColumn id="2" xr3:uid="{63E42A5D-19B7-45AB-801B-E44C53E58FA4}" name="Participating Schools" totalsRowLabel="Total Schools: 10" dataDxfId="140" totalsRowDxfId="139"/>
    <tableColumn id="3" xr3:uid="{E4EED2DF-3306-42F1-8DD5-DD688FAA0CEA}" name="American Sign Language Total" totalsRowFunction="sum" dataDxfId="138" totalsRowDxfId="137"/>
    <tableColumn id="4" xr3:uid="{E7267657-0D30-4A8F-8112-E49701F9C386}" name="Arabic Total" totalsRowFunction="sum" dataDxfId="136" totalsRowDxfId="135"/>
    <tableColumn id="5" xr3:uid="{752ECC47-3EFF-41DC-AC81-FF77BDDE278F}" name="Armenian Total" totalsRowFunction="sum" dataDxfId="134" totalsRowDxfId="133"/>
    <tableColumn id="22" xr3:uid="{EB5E603E-2D05-4B6F-A168-EFE4ABC63639}" name="Bengali Total" totalsRowFunction="sum" dataDxfId="132" totalsRowDxfId="131"/>
    <tableColumn id="18" xr3:uid="{4989D4F3-2685-4D91-99CE-0DEFB24EC736}" name="Chinese (Mandarin or Cantonese) Total" totalsRowFunction="sum" dataDxfId="130" totalsRowDxfId="129"/>
    <tableColumn id="23" xr3:uid="{10EE861F-8327-416C-87FE-37226363160E}" name="Farsi (Persian) Total" totalsRowFunction="sum" dataDxfId="128" totalsRowDxfId="127"/>
    <tableColumn id="6" xr3:uid="{A6733111-57B4-4283-8A2F-5ED20F6F636F}" name="French Total" totalsRowFunction="sum" dataDxfId="126" totalsRowDxfId="125"/>
    <tableColumn id="7" xr3:uid="{DCEB8AEF-9FBD-4169-87C1-47A2F1A67DCD}" name="German Total" totalsRowFunction="sum" dataDxfId="124" totalsRowDxfId="123"/>
    <tableColumn id="19" xr3:uid="{9CA3F46C-5FDD-4EA8-8DEB-C4852AEF03D5}" name="Hebrew Total" totalsRowFunction="sum" dataDxfId="122" totalsRowDxfId="121"/>
    <tableColumn id="24" xr3:uid="{70B619CF-3E01-421E-A799-3C765E64309D}" name="Hindi Total" totalsRowFunction="sum" dataDxfId="120" totalsRowDxfId="119"/>
    <tableColumn id="8" xr3:uid="{9878D90A-7794-458D-9DA4-BCA040C4293D}" name="Hmong Total" totalsRowFunction="sum" dataDxfId="118" totalsRowDxfId="117"/>
    <tableColumn id="9" xr3:uid="{66A763D4-6B65-4B27-A89C-26D18199FD4D}" name="Italian Total" totalsRowFunction="sum" dataDxfId="116" totalsRowDxfId="115"/>
    <tableColumn id="10" xr3:uid="{55929FC5-BF90-4478-91B7-C5882781AE5C}" name="Japanese Total" totalsRowFunction="sum" dataDxfId="114" totalsRowDxfId="113"/>
    <tableColumn id="11" xr3:uid="{5504786E-A63B-4C22-B150-7E248FA045CF}" name="Korean Total" totalsRowFunction="sum" dataDxfId="112" totalsRowDxfId="111"/>
    <tableColumn id="12" xr3:uid="{37EA3EF2-D57A-49BB-8DA1-A7C58FA69AD9}" name="Latin Total" totalsRowFunction="sum" dataDxfId="110" totalsRowDxfId="109"/>
    <tableColumn id="13" xr3:uid="{4F1ADDA1-C72A-4321-A32E-83AE671C2170}" name="Portuguese Total" totalsRowFunction="sum" dataDxfId="108" totalsRowDxfId="107"/>
    <tableColumn id="25" xr3:uid="{46B13BFE-031E-457C-B32F-5B08C63AB1F2}" name="Punjabi Total" totalsRowFunction="sum" dataDxfId="106" totalsRowDxfId="105"/>
    <tableColumn id="20" xr3:uid="{8BCBC6B9-2F04-46A5-81C8-F590F894D362}" name="Russian Total" totalsRowFunction="sum" dataDxfId="104" totalsRowDxfId="103"/>
    <tableColumn id="14" xr3:uid="{BCCD15F7-5965-4BF9-B32A-CC7EFEC2C472}" name="Spanish Total" totalsRowFunction="sum" dataDxfId="102" totalsRowDxfId="101"/>
    <tableColumn id="15" xr3:uid="{FDA18131-CCB8-4DBE-928A-049EA4B9BED8}" name="Tagalog (Filipino) Total" totalsRowFunction="sum" dataDxfId="100" totalsRowDxfId="99"/>
    <tableColumn id="26" xr3:uid="{D56F970F-3D6C-4D04-A97A-85488FDB6C84}" name="Urdu Total" totalsRowFunction="sum" dataDxfId="98" totalsRowDxfId="97"/>
    <tableColumn id="16" xr3:uid="{C1352CF3-9CE5-40A7-8C1B-AFFE55FC431E}" name="Vietnamese Total" totalsRowFunction="sum" dataDxfId="96" totalsRowDxfId="95"/>
    <tableColumn id="17" xr3:uid="{F45EC713-7F58-43D2-9518-624A73D73B54}" name="Other Total" totalsRowFunction="sum" dataDxfId="94" totalsRowDxfId="93"/>
    <tableColumn id="21" xr3:uid="{3FBFDC2C-663C-4EA4-B81B-2C5FD695B5B5}" name="Total Seals per Local Educational Agency" totalsRowFunction="sum" dataDxfId="92" totalsRowDxfId="91">
      <calculatedColumnFormula>SUM(Yolo[[#This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Yolo county and also includes language totals."/>
    </ext>
  </extLst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34F283D1-7C6A-4CC5-8592-32302BE23D7C}" name="Yuba" displayName="Yuba" ref="A2:Z5" totalsRowCount="1" headerRowDxfId="90" dataDxfId="89">
  <autoFilter ref="A2:Z4" xr:uid="{00000000-0009-0000-0100-00001C000000}"/>
  <tableColumns count="26">
    <tableColumn id="1" xr3:uid="{7569C687-2EDA-4D2A-8379-4C90B61687B2}" name="Participating Districts" totalsRowLabel="Total Districts: 2" dataDxfId="88" totalsRowDxfId="87"/>
    <tableColumn id="2" xr3:uid="{FCF992CD-E130-4F86-8854-4BA51161A37B}" name="Participating Schools" totalsRowLabel="Total Schools: 5" dataDxfId="86" totalsRowDxfId="85"/>
    <tableColumn id="3" xr3:uid="{2A40D8C9-EC3C-454F-8695-62378AC03F83}" name="American Sign Language Total" totalsRowFunction="sum" dataDxfId="84" totalsRowDxfId="83"/>
    <tableColumn id="4" xr3:uid="{1F99BC7A-8A4F-4067-84BE-0A3CFDC143E2}" name="Arabic Total" totalsRowFunction="sum" dataDxfId="82" totalsRowDxfId="81"/>
    <tableColumn id="5" xr3:uid="{F5ACDC7A-FD7E-43FB-B496-9E5C9189099A}" name="Armenian Total" totalsRowFunction="sum" dataDxfId="80" totalsRowDxfId="79"/>
    <tableColumn id="22" xr3:uid="{1FB810CB-97AD-4C66-94CE-05BE24C22D11}" name="Bengali Total" totalsRowFunction="sum" dataDxfId="78" totalsRowDxfId="77"/>
    <tableColumn id="18" xr3:uid="{238DAE74-6DD3-42A1-8326-9CC766E2CC33}" name="Chinese (Mandarin or Cantonese) Total" totalsRowFunction="sum" dataDxfId="76" totalsRowDxfId="75"/>
    <tableColumn id="23" xr3:uid="{9056D717-C3EC-481A-88EC-4DAA18AA1F79}" name="Farsi (Persian) Total" totalsRowFunction="sum" dataDxfId="74" totalsRowDxfId="73"/>
    <tableColumn id="6" xr3:uid="{58CFA860-9348-458D-A5F8-0AE12F7B4AF2}" name="French Total" totalsRowFunction="sum" dataDxfId="72" totalsRowDxfId="71"/>
    <tableColumn id="7" xr3:uid="{3C4E69A0-3CF9-4FC7-B297-1294F2C128C1}" name="German Total" totalsRowFunction="sum" dataDxfId="70" totalsRowDxfId="69"/>
    <tableColumn id="19" xr3:uid="{E45DEF8B-57F5-4691-8286-FE081E4E9051}" name="Hebrew Total" totalsRowFunction="sum" dataDxfId="68" totalsRowDxfId="67"/>
    <tableColumn id="24" xr3:uid="{B2EA338B-E1C5-4B34-BDE1-371C688C42D8}" name="Hindi Total" totalsRowFunction="sum" dataDxfId="66" totalsRowDxfId="65"/>
    <tableColumn id="8" xr3:uid="{8381D257-411F-4A33-82C2-CF168C0B45D3}" name="Hmong Total" totalsRowFunction="sum" dataDxfId="64" totalsRowDxfId="63"/>
    <tableColumn id="9" xr3:uid="{0DD874A5-C91E-4BC2-8E92-0C7870D57A7B}" name="Italian Total" totalsRowFunction="sum" dataDxfId="62" totalsRowDxfId="61"/>
    <tableColumn id="10" xr3:uid="{6436C8DC-F953-4500-858E-F1ED33DA7F83}" name="Japanese Total" totalsRowFunction="sum" dataDxfId="60" totalsRowDxfId="59"/>
    <tableColumn id="11" xr3:uid="{D0556083-0679-420C-8390-8B5B9DCD32C4}" name="Korean Total" totalsRowFunction="sum" dataDxfId="58" totalsRowDxfId="57"/>
    <tableColumn id="12" xr3:uid="{1C3D131B-3BF6-447C-A19B-011726674763}" name="Latin Total" totalsRowFunction="sum" dataDxfId="56" totalsRowDxfId="55"/>
    <tableColumn id="13" xr3:uid="{0C64F3B9-7A77-4519-9681-DFADF27170CC}" name="Portuguese Total" totalsRowFunction="sum" dataDxfId="54" totalsRowDxfId="53"/>
    <tableColumn id="25" xr3:uid="{64C63592-8B45-4EC3-9D79-F32A6801302C}" name="Punjabi Total" totalsRowFunction="sum" dataDxfId="52" totalsRowDxfId="51"/>
    <tableColumn id="20" xr3:uid="{BDB72582-8A67-45EF-BAD2-09BC73D44D3A}" name="Russian Total" totalsRowFunction="sum" dataDxfId="50" totalsRowDxfId="49"/>
    <tableColumn id="14" xr3:uid="{16F2B8AA-53F6-4C35-B51D-FE8DE5B30625}" name="Spanish Total" totalsRowFunction="sum" dataDxfId="48" totalsRowDxfId="47"/>
    <tableColumn id="15" xr3:uid="{9A428318-E8FE-4713-B906-C3DD6353F082}" name="Tagalog (Filipino) Total" totalsRowFunction="sum" dataDxfId="46" totalsRowDxfId="45"/>
    <tableColumn id="26" xr3:uid="{DD6C716D-5F49-4361-85C5-6D83E4C3A598}" name="Urdu Total" totalsRowFunction="sum" dataDxfId="44" totalsRowDxfId="43"/>
    <tableColumn id="16" xr3:uid="{6F9D992D-2A85-4351-8CEF-BEF3235A1FE0}" name="Vietnamese Total" totalsRowFunction="sum" dataDxfId="42" totalsRowDxfId="41"/>
    <tableColumn id="17" xr3:uid="{31FE8FDB-785F-451B-9754-198EA449A5B1}" name="Other Total" totalsRowFunction="sum" dataDxfId="40" totalsRowDxfId="39"/>
    <tableColumn id="21" xr3:uid="{E0DD2AA2-3C12-449C-B8C6-72A6EC2AC3A0}" name="Total Seals per Local Educational Agency" totalsRowFunction="sum" dataDxfId="38" totalsRowDxfId="37">
      <calculatedColumnFormula>SUM(Yuba[[#This Row],[American Sign Language Total]:[Other Total]])</calculatedColumnFormula>
    </tableColumn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Summary="This table includes the total number of schools and districts that participated in the 2022-23 California State Seal of Biliteracy program in Yuba county and also includes language total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7.xml"/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29D1D-369A-4C1A-ACC3-76C14DAA0EE5}">
  <sheetPr>
    <tabColor theme="4" tint="-0.249977111117893"/>
  </sheetPr>
  <dimension ref="A1:AA6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.5" x14ac:dyDescent="0.35"/>
  <cols>
    <col min="1" max="1" width="19.84375" customWidth="1"/>
    <col min="2" max="3" width="14.4609375" bestFit="1" customWidth="1"/>
    <col min="4" max="4" width="16.07421875" bestFit="1" customWidth="1"/>
    <col min="5" max="5" width="7.765625" customWidth="1"/>
    <col min="6" max="6" width="9.765625" customWidth="1"/>
    <col min="7" max="7" width="8.07421875" customWidth="1"/>
    <col min="8" max="8" width="12.3046875" customWidth="1"/>
    <col min="9" max="9" width="10.3046875" bestFit="1" customWidth="1"/>
    <col min="10" max="10" width="8.765625" bestFit="1" customWidth="1"/>
    <col min="11" max="11" width="8.84375" customWidth="1"/>
    <col min="12" max="12" width="9.3046875" bestFit="1" customWidth="1"/>
    <col min="13" max="13" width="7.4609375" bestFit="1" customWidth="1"/>
    <col min="14" max="14" width="9.07421875" bestFit="1" customWidth="1"/>
    <col min="15" max="15" width="8.07421875" bestFit="1" customWidth="1"/>
    <col min="16" max="16" width="10.23046875" customWidth="1"/>
    <col min="17" max="17" width="8" customWidth="1"/>
    <col min="18" max="18" width="7.23046875" bestFit="1" customWidth="1"/>
    <col min="19" max="19" width="11.07421875" customWidth="1"/>
    <col min="20" max="20" width="9.53515625" bestFit="1" customWidth="1"/>
    <col min="21" max="21" width="8.84375" customWidth="1"/>
    <col min="22" max="22" width="9" customWidth="1"/>
    <col min="23" max="23" width="9.23046875" customWidth="1"/>
    <col min="24" max="24" width="7.23046875" bestFit="1" customWidth="1"/>
    <col min="25" max="25" width="11.53515625" customWidth="1"/>
    <col min="26" max="26" width="7.69140625" bestFit="1" customWidth="1"/>
    <col min="27" max="27" width="7.69140625" customWidth="1"/>
  </cols>
  <sheetData>
    <row r="1" spans="1:27" ht="23" x14ac:dyDescent="0.5">
      <c r="A1" s="1" t="s">
        <v>711</v>
      </c>
      <c r="B1" s="1"/>
    </row>
    <row r="2" spans="1:27" x14ac:dyDescent="0.35">
      <c r="A2" t="s">
        <v>88</v>
      </c>
    </row>
    <row r="3" spans="1:27" x14ac:dyDescent="0.35">
      <c r="A3" s="15" t="s">
        <v>712</v>
      </c>
    </row>
    <row r="4" spans="1:27" ht="60" customHeight="1" x14ac:dyDescent="0.35">
      <c r="A4" s="2" t="s">
        <v>49</v>
      </c>
      <c r="B4" s="2" t="s">
        <v>62</v>
      </c>
      <c r="C4" s="2" t="s">
        <v>50</v>
      </c>
      <c r="D4" s="2" t="s">
        <v>51</v>
      </c>
      <c r="E4" s="2" t="s">
        <v>63</v>
      </c>
      <c r="F4" s="2" t="s">
        <v>73</v>
      </c>
      <c r="G4" s="2" t="s">
        <v>77</v>
      </c>
      <c r="H4" s="2" t="s">
        <v>89</v>
      </c>
      <c r="I4" s="2" t="s">
        <v>78</v>
      </c>
      <c r="J4" s="2" t="s">
        <v>52</v>
      </c>
      <c r="K4" s="2" t="s">
        <v>53</v>
      </c>
      <c r="L4" s="2" t="s">
        <v>72</v>
      </c>
      <c r="M4" s="2" t="s">
        <v>79</v>
      </c>
      <c r="N4" s="2" t="s">
        <v>67</v>
      </c>
      <c r="O4" s="2" t="s">
        <v>64</v>
      </c>
      <c r="P4" s="2" t="s">
        <v>54</v>
      </c>
      <c r="Q4" s="2" t="s">
        <v>55</v>
      </c>
      <c r="R4" s="2" t="s">
        <v>56</v>
      </c>
      <c r="S4" s="2" t="s">
        <v>74</v>
      </c>
      <c r="T4" s="2" t="s">
        <v>80</v>
      </c>
      <c r="U4" s="2" t="s">
        <v>75</v>
      </c>
      <c r="V4" s="2" t="s">
        <v>57</v>
      </c>
      <c r="W4" s="2" t="s">
        <v>71</v>
      </c>
      <c r="X4" s="2" t="s">
        <v>81</v>
      </c>
      <c r="Y4" s="2" t="s">
        <v>58</v>
      </c>
      <c r="Z4" s="2" t="s">
        <v>59</v>
      </c>
      <c r="AA4" s="2" t="s">
        <v>60</v>
      </c>
    </row>
    <row r="5" spans="1:27" x14ac:dyDescent="0.35">
      <c r="A5" t="s">
        <v>4</v>
      </c>
      <c r="B5" s="3">
        <v>23</v>
      </c>
      <c r="C5" s="17">
        <v>48</v>
      </c>
      <c r="D5" s="3">
        <f>Table2[[#Totals],[American Sign Language Total]]</f>
        <v>79</v>
      </c>
      <c r="E5" s="3">
        <f>Table2[[#Totals],[Arabic Total]]</f>
        <v>50</v>
      </c>
      <c r="F5" s="3">
        <f>Table2[[#Totals],[Armenian Total]]</f>
        <v>1</v>
      </c>
      <c r="G5" s="3">
        <f>Table2[[#Totals],[Bengali Total]]</f>
        <v>0</v>
      </c>
      <c r="H5" s="3">
        <f>Table2[[#Totals],[Chinese (Mandarin or Cantonese) Total]]</f>
        <v>546</v>
      </c>
      <c r="I5" s="3">
        <f>Table2[[#Totals],[Farsi (Persian) Total]]</f>
        <v>4</v>
      </c>
      <c r="J5" s="3">
        <f>Table2[[#Totals],[French Total]]</f>
        <v>206</v>
      </c>
      <c r="K5" s="3">
        <f>Table2[[#Totals],[German Total]]</f>
        <v>16</v>
      </c>
      <c r="L5" s="3">
        <f>Table2[[#Totals],[Hebrew Total]]</f>
        <v>1</v>
      </c>
      <c r="M5" s="3">
        <f>Table2[[#Totals],[Hindi Total]]</f>
        <v>7</v>
      </c>
      <c r="N5" s="3">
        <f>Table2[[#Totals],[Hmong Total]]</f>
        <v>0</v>
      </c>
      <c r="O5" s="3">
        <f>Table2[[#Totals],[Italian Total]]</f>
        <v>0</v>
      </c>
      <c r="P5" s="3">
        <f>Table2[[#Totals],[Japanese Total]]</f>
        <v>77</v>
      </c>
      <c r="Q5" s="3">
        <f>Table2[[#Totals],[Korean Total]]</f>
        <v>11</v>
      </c>
      <c r="R5" s="3">
        <f>Table2[[#Totals],[Latin Total]]</f>
        <v>3</v>
      </c>
      <c r="S5" s="3">
        <f>Table2[[#Totals],[Portuguese Total]]</f>
        <v>0</v>
      </c>
      <c r="T5" s="3">
        <f>Table2[[#Totals],[Punjabi Total]]</f>
        <v>0</v>
      </c>
      <c r="U5" s="3">
        <f>Table2[[#Totals],[Russian Total]]</f>
        <v>5</v>
      </c>
      <c r="V5" s="3">
        <f>Table2[[#Totals],[Spanish Total]]</f>
        <v>1531</v>
      </c>
      <c r="W5" s="3">
        <f>Table2[[#Totals],[Tagalog (Filipino) Total]]</f>
        <v>4</v>
      </c>
      <c r="X5" s="3">
        <f>Table2[[#Totals],[Urdu Total]]</f>
        <v>1</v>
      </c>
      <c r="Y5" s="3">
        <f>Table2[[#Totals],[Vietnamese Total]]</f>
        <v>34</v>
      </c>
      <c r="Z5" s="3">
        <f>Table2[[#Totals],[Other Total]]</f>
        <v>68</v>
      </c>
      <c r="AA5" s="3">
        <f>Table2[[#Totals],[Total Seals per Local Educational Agency]]</f>
        <v>2644</v>
      </c>
    </row>
    <row r="6" spans="1:27" x14ac:dyDescent="0.35">
      <c r="A6" t="s">
        <v>45</v>
      </c>
      <c r="B6" s="3">
        <v>1</v>
      </c>
      <c r="C6" s="17">
        <v>2</v>
      </c>
      <c r="D6" cm="1">
        <f t="array" ref="D6">Amador[American Sign Language Total]</f>
        <v>1</v>
      </c>
      <c r="E6" cm="1">
        <f t="array" ref="E6">Amador[Arabic Total]</f>
        <v>0</v>
      </c>
      <c r="F6" cm="1">
        <f t="array" ref="F6">Amador[Armenian Total]</f>
        <v>0</v>
      </c>
      <c r="G6" cm="1">
        <f t="array" ref="G6">Amador[Bengali Total]</f>
        <v>0</v>
      </c>
      <c r="H6" cm="1">
        <f t="array" ref="H6">Amador[Chinese (Mandarin or Cantonese) Total]</f>
        <v>0</v>
      </c>
      <c r="I6" cm="1">
        <f t="array" ref="I6">Amador[Farsi (Persian) Total]</f>
        <v>0</v>
      </c>
      <c r="J6" cm="1">
        <f t="array" ref="J6">Amador[French Total]</f>
        <v>0</v>
      </c>
      <c r="K6" cm="1">
        <f t="array" ref="K6">Amador[German Total]</f>
        <v>0</v>
      </c>
      <c r="L6" cm="1">
        <f t="array" ref="L6">Amador[Hebrew Total]</f>
        <v>0</v>
      </c>
      <c r="M6" cm="1">
        <f t="array" ref="M6">Amador[Hindi Total]</f>
        <v>0</v>
      </c>
      <c r="N6" cm="1">
        <f t="array" ref="N6">Amador[Hmong Total]</f>
        <v>0</v>
      </c>
      <c r="O6" cm="1">
        <f t="array" ref="O6">Amador[Italian Total]</f>
        <v>0</v>
      </c>
      <c r="P6" cm="1">
        <f t="array" ref="P6">Amador[Japanese Total]</f>
        <v>0</v>
      </c>
      <c r="Q6" cm="1">
        <f t="array" ref="Q6">Amador[Korean Total]</f>
        <v>0</v>
      </c>
      <c r="R6" cm="1">
        <f t="array" ref="R6">Amador[Latin Total]</f>
        <v>0</v>
      </c>
      <c r="S6" cm="1">
        <f t="array" ref="S6">Amador[Portuguese Total]</f>
        <v>0</v>
      </c>
      <c r="T6" cm="1">
        <f t="array" ref="T6">Amador[Punjabi Total]</f>
        <v>0</v>
      </c>
      <c r="U6" cm="1">
        <f t="array" ref="U6">Amador[Russian Total]</f>
        <v>0</v>
      </c>
      <c r="V6" cm="1">
        <f t="array" ref="V6">Amador[Spanish Total]</f>
        <v>30</v>
      </c>
      <c r="W6" cm="1">
        <f t="array" ref="W6">Amador[Tagalog (Filipino) Total]</f>
        <v>0</v>
      </c>
      <c r="X6" cm="1">
        <f t="array" ref="X6">Amador[Urdu Total]</f>
        <v>0</v>
      </c>
      <c r="Y6" cm="1">
        <f t="array" ref="Y6">Amador[Vietnamese Total]</f>
        <v>0</v>
      </c>
      <c r="Z6" cm="1">
        <f t="array" ref="Z6">Amador[Other Total]</f>
        <v>0</v>
      </c>
      <c r="AA6" cm="1">
        <f t="array" ref="AA6">Amador[Total Seals per Local Educational Agency]</f>
        <v>31</v>
      </c>
    </row>
    <row r="7" spans="1:27" x14ac:dyDescent="0.35">
      <c r="A7" t="s">
        <v>27</v>
      </c>
      <c r="B7" s="3">
        <v>8</v>
      </c>
      <c r="C7" s="17">
        <v>11</v>
      </c>
      <c r="D7">
        <f>Butte[[#Totals],[American Sign Language Total]]</f>
        <v>3</v>
      </c>
      <c r="E7">
        <f>Butte[[#Totals],[Arabic Total]]</f>
        <v>0</v>
      </c>
      <c r="F7">
        <f>Butte[[#Totals],[Armenian Total]]</f>
        <v>0</v>
      </c>
      <c r="G7">
        <f>Butte[[#Totals],[Bengali Total]]</f>
        <v>0</v>
      </c>
      <c r="H7">
        <f>Butte[[#Totals],[Chinese (Mandarin or Cantonese) Total]]</f>
        <v>0</v>
      </c>
      <c r="I7">
        <f>Butte[[#Totals],[Farsi (Persian) Total]]</f>
        <v>0</v>
      </c>
      <c r="J7">
        <f>Butte[[#Totals],[French Total]]</f>
        <v>3</v>
      </c>
      <c r="K7">
        <f>Butte[[#Totals],[German Total]]</f>
        <v>0</v>
      </c>
      <c r="L7">
        <f>Butte[[#Totals],[Hebrew Total]]</f>
        <v>0</v>
      </c>
      <c r="M7">
        <f>Butte[[#Totals],[Hindi Total]]</f>
        <v>0</v>
      </c>
      <c r="N7">
        <f>Butte[[#Totals],[Hmong Total]]</f>
        <v>0</v>
      </c>
      <c r="O7">
        <f>Butte[[#Totals],[Italian Total]]</f>
        <v>0</v>
      </c>
      <c r="P7">
        <f>Butte[[#Totals],[Japanese Total]]</f>
        <v>2</v>
      </c>
      <c r="Q7">
        <f>Butte[[#Totals],[Korean Total]]</f>
        <v>0</v>
      </c>
      <c r="R7">
        <f>Butte[[#Totals],[Latin Total]]</f>
        <v>0</v>
      </c>
      <c r="S7">
        <f>Butte[[#Totals],[Portuguese Total]]</f>
        <v>0</v>
      </c>
      <c r="T7">
        <f>Butte[[#Totals],[Punjabi Total]]</f>
        <v>0</v>
      </c>
      <c r="U7">
        <f>Butte[[#Totals],[Russian Total]]</f>
        <v>0</v>
      </c>
      <c r="V7">
        <f>Butte[[#Totals],[Spanish Total]]</f>
        <v>301</v>
      </c>
      <c r="W7">
        <f>Butte[[#Totals],[Tagalog (Filipino) Total]]</f>
        <v>0</v>
      </c>
      <c r="X7">
        <f>Butte[[#Totals],[Urdu Total]]</f>
        <v>0</v>
      </c>
      <c r="Y7">
        <f>Butte[[#Totals],[Vietnamese Total]]</f>
        <v>0</v>
      </c>
      <c r="Z7">
        <f>Butte[[#Totals],[Other Total]]</f>
        <v>0</v>
      </c>
      <c r="AA7">
        <f>Butte[[#Totals],[Total Seals per Local Educational Agency]]</f>
        <v>309</v>
      </c>
    </row>
    <row r="8" spans="1:27" x14ac:dyDescent="0.35">
      <c r="A8" t="s">
        <v>40</v>
      </c>
      <c r="B8" s="3">
        <v>2</v>
      </c>
      <c r="C8" s="17">
        <v>3</v>
      </c>
      <c r="D8">
        <f>Calaveras[[#Totals],[American Sign Language Total]]</f>
        <v>0</v>
      </c>
      <c r="E8">
        <f>Calaveras[[#Totals],[Arabic Total]]</f>
        <v>0</v>
      </c>
      <c r="F8">
        <f>Calaveras[[#Totals],[Armenian Total]]</f>
        <v>0</v>
      </c>
      <c r="G8">
        <f>Calaveras[[#Totals],[Bengali Total]]</f>
        <v>0</v>
      </c>
      <c r="H8">
        <f>Calaveras[[#Totals],[Chinese (Mandarin or Cantonese) Total]]</f>
        <v>0</v>
      </c>
      <c r="I8">
        <f>Calaveras[[#Totals],[Farsi (Persian) Total]]</f>
        <v>0</v>
      </c>
      <c r="J8">
        <f>Calaveras[[#Totals],[French Total]]</f>
        <v>0</v>
      </c>
      <c r="K8">
        <f>Calaveras[[#Totals],[German Total]]</f>
        <v>0</v>
      </c>
      <c r="L8">
        <f>Calaveras[[#Totals],[Hebrew Total]]</f>
        <v>0</v>
      </c>
      <c r="M8">
        <f>Calaveras[[#Totals],[Hindi Total]]</f>
        <v>0</v>
      </c>
      <c r="N8">
        <f>Calaveras[[#Totals],[Hmong Total]]</f>
        <v>0</v>
      </c>
      <c r="O8">
        <f>Calaveras[[#Totals],[Italian Total]]</f>
        <v>0</v>
      </c>
      <c r="P8">
        <f>Calaveras[[#Totals],[Japanese Total]]</f>
        <v>0</v>
      </c>
      <c r="Q8">
        <f>Calaveras[[#Totals],[Korean Total]]</f>
        <v>0</v>
      </c>
      <c r="R8">
        <f>Calaveras[[#Totals],[Latin Total]]</f>
        <v>0</v>
      </c>
      <c r="S8">
        <f>Calaveras[[#Totals],[Portuguese Total]]</f>
        <v>0</v>
      </c>
      <c r="T8">
        <f>Calaveras[[#Totals],[Punjabi Total]]</f>
        <v>0</v>
      </c>
      <c r="U8">
        <f>Calaveras[[#Totals],[Russian Total]]</f>
        <v>0</v>
      </c>
      <c r="V8">
        <f>Calaveras[[#Totals],[Spanish Total]]</f>
        <v>18</v>
      </c>
      <c r="W8">
        <f>Calaveras[[#Totals],[Tagalog (Filipino) Total]]</f>
        <v>0</v>
      </c>
      <c r="X8">
        <f>Calaveras[[#Totals],[Urdu Total]]</f>
        <v>0</v>
      </c>
      <c r="Y8">
        <f>Calaveras[[#Totals],[Vietnamese Total]]</f>
        <v>0</v>
      </c>
      <c r="Z8">
        <f>Calaveras[[#Totals],[Other Total]]</f>
        <v>0</v>
      </c>
      <c r="AA8">
        <f>Calaveras[[#Totals],[Total Seals per Local Educational Agency]]</f>
        <v>18</v>
      </c>
    </row>
    <row r="9" spans="1:27" x14ac:dyDescent="0.35">
      <c r="A9" t="s">
        <v>31</v>
      </c>
      <c r="B9">
        <v>4</v>
      </c>
      <c r="C9" s="17">
        <v>4</v>
      </c>
      <c r="D9">
        <f>Colusa[[#Totals],[American Sign Language Total]]</f>
        <v>0</v>
      </c>
      <c r="E9">
        <f>Colusa[[#Totals],[Arabic Total]]</f>
        <v>0</v>
      </c>
      <c r="F9">
        <f>Colusa[[#Totals],[Armenian Total]]</f>
        <v>0</v>
      </c>
      <c r="G9">
        <f>Colusa[[#Totals],[Bengali Total]]</f>
        <v>0</v>
      </c>
      <c r="H9">
        <f>Colusa[[#Totals],[Chinese (Mandarin or Cantonese) Total]]</f>
        <v>0</v>
      </c>
      <c r="I9">
        <f>Colusa[[#Totals],[Farsi (Persian) Total]]</f>
        <v>0</v>
      </c>
      <c r="J9">
        <f>Colusa[[#Totals],[French Total]]</f>
        <v>0</v>
      </c>
      <c r="K9">
        <f>Colusa[[#Totals],[German Total]]</f>
        <v>0</v>
      </c>
      <c r="L9">
        <f>Colusa[[#Totals],[Hebrew Total]]</f>
        <v>0</v>
      </c>
      <c r="M9">
        <f>Colusa[[#Totals],[Hindi Total]]</f>
        <v>0</v>
      </c>
      <c r="N9">
        <f>Colusa[[#Totals],[Hmong Total]]</f>
        <v>0</v>
      </c>
      <c r="O9">
        <f>Colusa[[#Totals],[Italian Total]]</f>
        <v>0</v>
      </c>
      <c r="P9">
        <f>Colusa[[#Totals],[Japanese Total]]</f>
        <v>0</v>
      </c>
      <c r="Q9">
        <f>Colusa[[#Totals],[Korean Total]]</f>
        <v>0</v>
      </c>
      <c r="R9">
        <f>Colusa[[#Totals],[Latin Total]]</f>
        <v>0</v>
      </c>
      <c r="S9">
        <f>Colusa[[#Totals],[Portuguese Total]]</f>
        <v>0</v>
      </c>
      <c r="T9">
        <f>Colusa[[#Totals],[Punjabi Total]]</f>
        <v>0</v>
      </c>
      <c r="U9">
        <f>Colusa[[#Totals],[Russian Total]]</f>
        <v>0</v>
      </c>
      <c r="V9">
        <f>Colusa[[#Totals],[Spanish Total]]</f>
        <v>102</v>
      </c>
      <c r="W9">
        <f>Colusa[[#Totals],[Tagalog (Filipino) Total]]</f>
        <v>0</v>
      </c>
      <c r="X9">
        <f>Colusa[[#Totals],[Urdu Total ]]</f>
        <v>0</v>
      </c>
      <c r="Y9">
        <f>Colusa[[#Totals],[Vietnamese Total]]</f>
        <v>0</v>
      </c>
      <c r="Z9">
        <f>Colusa[[#Totals],[Other Total]]</f>
        <v>0</v>
      </c>
      <c r="AA9">
        <f>Colusa[[#Totals],[Total Seals per Local Educational Agency]]</f>
        <v>102</v>
      </c>
    </row>
    <row r="10" spans="1:27" x14ac:dyDescent="0.35">
      <c r="A10" t="s">
        <v>35</v>
      </c>
      <c r="B10" s="3">
        <v>11</v>
      </c>
      <c r="C10" s="17">
        <v>26</v>
      </c>
      <c r="D10" s="3">
        <f>ContraCosta[[#Totals],[American Sign Language Total]]</f>
        <v>3</v>
      </c>
      <c r="E10" s="3">
        <f>ContraCosta[[#Totals],[Arabic Total]]</f>
        <v>3</v>
      </c>
      <c r="F10" s="3">
        <f>ContraCosta[[#Totals],[Armenian Total]]</f>
        <v>0</v>
      </c>
      <c r="G10" s="3">
        <f>ContraCosta[[#Totals],[Bengali Total]]</f>
        <v>0</v>
      </c>
      <c r="H10" s="3">
        <f>ContraCosta[[#Totals],[Chinese (Mandarin or Cantonese) Total]]</f>
        <v>156</v>
      </c>
      <c r="I10" s="3">
        <f>ContraCosta[[#Totals],[Farsi (Persian) Total]]</f>
        <v>7</v>
      </c>
      <c r="J10" s="3">
        <f>ContraCosta[[#Totals],[French Total]]</f>
        <v>271</v>
      </c>
      <c r="K10" s="3">
        <f>ContraCosta[[#Totals],[German Total]]</f>
        <v>38</v>
      </c>
      <c r="L10" s="3">
        <f>ContraCosta[[#Totals],[Hebrew Total]]</f>
        <v>0</v>
      </c>
      <c r="M10" s="3">
        <f>ContraCosta[[#Totals],[Hindi Total]]</f>
        <v>0</v>
      </c>
      <c r="N10" s="3">
        <f>ContraCosta[[#Totals],[Hmong Total]]</f>
        <v>0</v>
      </c>
      <c r="O10" s="3">
        <f>ContraCosta[[#Totals],[Italian Total]]</f>
        <v>12</v>
      </c>
      <c r="P10" s="3">
        <f>ContraCosta[[#Totals],[Japanese Total]]</f>
        <v>11</v>
      </c>
      <c r="Q10" s="3">
        <f>ContraCosta[[#Totals],[Korean Total]]</f>
        <v>15</v>
      </c>
      <c r="R10" s="3">
        <f>ContraCosta[[#Totals],[Latin Total]]</f>
        <v>56</v>
      </c>
      <c r="S10" s="3">
        <f>ContraCosta[[#Totals],[Portuguese Total]]</f>
        <v>2</v>
      </c>
      <c r="T10" s="3">
        <f>ContraCosta[[#Totals],[Punjabi Total]]</f>
        <v>0</v>
      </c>
      <c r="U10" s="3">
        <f>ContraCosta[[#Totals],[Russian Total]]</f>
        <v>3</v>
      </c>
      <c r="V10" s="3">
        <f>ContraCosta[[#Totals],[Spanish Total]]</f>
        <v>1564</v>
      </c>
      <c r="W10" s="3">
        <f>ContraCosta[[#Totals],[Tagalog (Filipino) Total]]</f>
        <v>7</v>
      </c>
      <c r="X10" s="3">
        <f>ContraCosta[[#Totals],[Urdu Total]]</f>
        <v>0</v>
      </c>
      <c r="Y10" s="3">
        <f>ContraCosta[[#Totals],[Vietnamese Total]]</f>
        <v>1</v>
      </c>
      <c r="Z10" s="3">
        <f>ContraCosta[[#Totals],[Other Total]]</f>
        <v>14</v>
      </c>
      <c r="AA10" s="3">
        <f>ContraCosta[[#Totals],[Total Seals per Local Educational Agency]]</f>
        <v>2163</v>
      </c>
    </row>
    <row r="11" spans="1:27" x14ac:dyDescent="0.35">
      <c r="A11" t="s">
        <v>29</v>
      </c>
      <c r="B11" s="3">
        <v>1</v>
      </c>
      <c r="C11" s="17">
        <v>1</v>
      </c>
      <c r="D11">
        <f>DelNorte[[#Totals],[American Sign Language Total]]</f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15</v>
      </c>
      <c r="W11">
        <v>0</v>
      </c>
      <c r="X11">
        <v>0</v>
      </c>
      <c r="Y11">
        <v>0</v>
      </c>
      <c r="Z11">
        <v>4</v>
      </c>
      <c r="AA11">
        <v>20</v>
      </c>
    </row>
    <row r="12" spans="1:27" x14ac:dyDescent="0.35">
      <c r="A12" t="s">
        <v>39</v>
      </c>
      <c r="B12" s="3">
        <v>5</v>
      </c>
      <c r="C12" s="17">
        <v>8</v>
      </c>
      <c r="D12">
        <f>ElDorado[[#Totals],[American Sign Language Total]]</f>
        <v>1</v>
      </c>
      <c r="E12">
        <f>ElDorado[[#Totals],[Arabic Total]]</f>
        <v>0</v>
      </c>
      <c r="F12">
        <f>ElDorado[[#Totals],[Armenian Total]]</f>
        <v>0</v>
      </c>
      <c r="G12">
        <f>ElDorado[[#Totals],[Bengali Total]]</f>
        <v>0</v>
      </c>
      <c r="H12">
        <f>ElDorado[[#Totals],[Chinese (Mandarin or Cantonese) Total]]</f>
        <v>2</v>
      </c>
      <c r="I12">
        <f>ElDorado[[#Totals],[Farsi (Persian) Total]]</f>
        <v>0</v>
      </c>
      <c r="J12">
        <f>ElDorado[[#Totals],[French Total]]</f>
        <v>27</v>
      </c>
      <c r="K12">
        <f>ElDorado[[#Totals],[German Total]]</f>
        <v>3</v>
      </c>
      <c r="L12">
        <f>ElDorado[[#Totals],[Hebrew Total]]</f>
        <v>0</v>
      </c>
      <c r="M12">
        <f>ElDorado[[#Totals],[Hindi Total]]</f>
        <v>0</v>
      </c>
      <c r="N12">
        <f>ElDorado[[#Totals],[Hmong Total]]</f>
        <v>0</v>
      </c>
      <c r="O12">
        <f>ElDorado[[#Totals],[Italian Total]]</f>
        <v>5</v>
      </c>
      <c r="P12">
        <f>ElDorado[[#Totals],[Japanese Total]]</f>
        <v>18</v>
      </c>
      <c r="Q12">
        <f>ElDorado[[#Totals],[Korean Total]]</f>
        <v>0</v>
      </c>
      <c r="R12">
        <f>ElDorado[[#Totals],[Latin Total]]</f>
        <v>2</v>
      </c>
      <c r="S12">
        <f>ElDorado[[#Totals],[Portuguese Total]]</f>
        <v>0</v>
      </c>
      <c r="T12">
        <f>ElDorado[[#Totals],[Punjabi Total]]</f>
        <v>0</v>
      </c>
      <c r="U12">
        <f>ElDorado[[#Totals],[Russian Total]]</f>
        <v>2</v>
      </c>
      <c r="V12">
        <f>ElDorado[[#Totals],[Spanish Total]]</f>
        <v>197</v>
      </c>
      <c r="W12">
        <f>ElDorado[[#Totals],[Tagalog (Filipino) Total]]</f>
        <v>0</v>
      </c>
      <c r="X12">
        <f>ElDorado[[#Totals],[Urdu Total]]</f>
        <v>0</v>
      </c>
      <c r="Y12">
        <f>ElDorado[[#Totals],[Vietnamese Total]]</f>
        <v>0</v>
      </c>
      <c r="Z12">
        <f>ElDorado[[#Totals],[Other Total]]</f>
        <v>0</v>
      </c>
      <c r="AA12">
        <f>ElDorado[[#Totals],[Total Seals per Local Educational Agency]]</f>
        <v>257</v>
      </c>
    </row>
    <row r="13" spans="1:27" x14ac:dyDescent="0.35">
      <c r="A13" t="s">
        <v>10</v>
      </c>
      <c r="B13">
        <v>16</v>
      </c>
      <c r="C13" s="17">
        <v>39</v>
      </c>
      <c r="D13" s="3">
        <f>Fresno[[#Totals],[American Sign Language Total]]</f>
        <v>8</v>
      </c>
      <c r="E13" s="3">
        <f>Fresno[[#Totals],[Arabic Total]]</f>
        <v>5</v>
      </c>
      <c r="F13" s="3">
        <f>Fresno[[#Totals],[Armenian Total]]</f>
        <v>7</v>
      </c>
      <c r="G13" s="3">
        <f>Fresno[[#Totals],[Bengali Total]]</f>
        <v>0</v>
      </c>
      <c r="H13" s="3">
        <f>Fresno[[#Totals],[Chinese (Mandarin or Cantonese) Total]]</f>
        <v>16</v>
      </c>
      <c r="I13" s="3">
        <f>Fresno[[#Totals],[Farsi (Persian) Total]]</f>
        <v>1</v>
      </c>
      <c r="J13" s="3">
        <f>Fresno[[#Totals],[French Total]]</f>
        <v>45</v>
      </c>
      <c r="K13" s="3">
        <f>Fresno[[#Totals],[German Total]]</f>
        <v>3</v>
      </c>
      <c r="L13" s="3">
        <f>Fresno[[#Totals],[Hebrew Total]]</f>
        <v>0</v>
      </c>
      <c r="M13" s="3">
        <f>Fresno[[#Totals],[Hindi Total]]</f>
        <v>3</v>
      </c>
      <c r="N13" s="3">
        <f>Fresno[[#Totals],[Hmong Total]]</f>
        <v>108</v>
      </c>
      <c r="O13" s="3">
        <f>Fresno[[#Totals],[Italian Total]]</f>
        <v>2</v>
      </c>
      <c r="P13" s="3">
        <f>Fresno[[#Totals],[Japanese Total]]</f>
        <v>5</v>
      </c>
      <c r="Q13" s="3">
        <f>Fresno[[#Totals],[Korean Total]]</f>
        <v>2</v>
      </c>
      <c r="R13" s="3">
        <f>Fresno[[#Totals],[Latin Total]]</f>
        <v>15</v>
      </c>
      <c r="S13" s="3">
        <f>Fresno[[#Totals],[Portuguese Total]]</f>
        <v>3</v>
      </c>
      <c r="T13" s="3">
        <f>Fresno[[#Totals],[Punjabi Total]]</f>
        <v>21</v>
      </c>
      <c r="U13" s="3">
        <f>Fresno[[#Totals],[Russian Total]]</f>
        <v>2</v>
      </c>
      <c r="V13" s="3">
        <f>Fresno[[#Totals],[Spanish Total]]</f>
        <v>1533</v>
      </c>
      <c r="W13" s="3">
        <f>Fresno[[#Totals],[Tagalog (Filipino) Total]]</f>
        <v>2</v>
      </c>
      <c r="X13" s="3">
        <f>Fresno[[#Totals],[Urdu Total]]</f>
        <v>1</v>
      </c>
      <c r="Y13" s="3">
        <f>Fresno[[#Totals],[Vietnamese Total]]</f>
        <v>2</v>
      </c>
      <c r="Z13" s="3">
        <f>Fresno[[#Totals],[Other Total]]</f>
        <v>7</v>
      </c>
      <c r="AA13" s="3">
        <f>Fresno[[#Totals],[Total Seals per Local Educational Agency]]</f>
        <v>1791</v>
      </c>
    </row>
    <row r="14" spans="1:27" x14ac:dyDescent="0.35">
      <c r="A14" t="s">
        <v>22</v>
      </c>
      <c r="B14" s="3">
        <v>3</v>
      </c>
      <c r="C14" s="17">
        <v>3</v>
      </c>
      <c r="D14">
        <f>Glenn[[#Totals],[American Sign Language Total]]</f>
        <v>0</v>
      </c>
      <c r="E14">
        <f>SUBTOTAL(109,Glenn[Arabic Total])</f>
        <v>0</v>
      </c>
      <c r="F14">
        <f>SUBTOTAL(109,Glenn[Armenian Total])</f>
        <v>0</v>
      </c>
      <c r="G14">
        <f>SUBTOTAL(109,Glenn[Bengali Total])</f>
        <v>0</v>
      </c>
      <c r="H14">
        <f>SUBTOTAL(109,Glenn[Chinese (Mandarin or Cantonese) Total])</f>
        <v>0</v>
      </c>
      <c r="I14">
        <f>SUBTOTAL(109,Glenn[Farsi (Persian) Total])</f>
        <v>0</v>
      </c>
      <c r="J14">
        <f>SUBTOTAL(109,Glenn[French Total])</f>
        <v>1</v>
      </c>
      <c r="K14">
        <f>SUBTOTAL(109,Glenn[German Total])</f>
        <v>0</v>
      </c>
      <c r="L14">
        <f>SUBTOTAL(109,Glenn[Hebrew Total])</f>
        <v>0</v>
      </c>
      <c r="M14">
        <f>SUBTOTAL(109,Glenn[Hindi Total])</f>
        <v>0</v>
      </c>
      <c r="N14">
        <f>SUBTOTAL(109,Glenn[Hmong Total])</f>
        <v>0</v>
      </c>
      <c r="O14">
        <f>SUBTOTAL(109,Glenn[Italian Total])</f>
        <v>0</v>
      </c>
      <c r="P14">
        <f>SUBTOTAL(109,Glenn[Japanese Total])</f>
        <v>0</v>
      </c>
      <c r="Q14">
        <f>SUBTOTAL(109,Glenn[Korean Total])</f>
        <v>0</v>
      </c>
      <c r="R14">
        <f>SUBTOTAL(109,Glenn[Latin Total])</f>
        <v>2</v>
      </c>
      <c r="S14">
        <f>SUBTOTAL(109,Glenn[Portuguese Total])</f>
        <v>0</v>
      </c>
      <c r="T14">
        <f>SUBTOTAL(109,Glenn[Punjabi Total])</f>
        <v>0</v>
      </c>
      <c r="U14">
        <f>SUBTOTAL(109,Glenn[Russian Total])</f>
        <v>0</v>
      </c>
      <c r="V14">
        <f>SUBTOTAL(109,Glenn[Spanish Total])</f>
        <v>32</v>
      </c>
      <c r="W14">
        <f>SUBTOTAL(109,Glenn[Tagalog (Filipino) Total])</f>
        <v>0</v>
      </c>
      <c r="X14">
        <f>SUBTOTAL(109,Glenn[Urdu Total])</f>
        <v>0</v>
      </c>
      <c r="Y14">
        <f>SUBTOTAL(109,Glenn[Vietnamese Total])</f>
        <v>0</v>
      </c>
      <c r="Z14">
        <f>SUBTOTAL(109,Glenn[Other Total])</f>
        <v>0</v>
      </c>
      <c r="AA14">
        <f>SUBTOTAL(109,Glenn[Total Seals per Local Educational Agency])</f>
        <v>35</v>
      </c>
    </row>
    <row r="15" spans="1:27" x14ac:dyDescent="0.35">
      <c r="A15" t="s">
        <v>13</v>
      </c>
      <c r="B15" s="3">
        <v>5</v>
      </c>
      <c r="C15" s="17">
        <v>8</v>
      </c>
      <c r="D15">
        <f>Humboldt[[#Totals],[American Sign Language Total]]</f>
        <v>0</v>
      </c>
      <c r="E15">
        <f>Humboldt[[#Totals],[Arabic Total]]</f>
        <v>2</v>
      </c>
      <c r="F15">
        <f>Humboldt[[#Totals],[Armenian Total]]</f>
        <v>0</v>
      </c>
      <c r="G15">
        <f>Humboldt[[#Totals],[Bengali Total]]</f>
        <v>0</v>
      </c>
      <c r="H15">
        <f>Humboldt[[#Totals],[Chinese (Mandarin or Cantonese) Total]]</f>
        <v>0</v>
      </c>
      <c r="I15">
        <f>Humboldt[[#Totals],[Farsi (Persian) Total]]</f>
        <v>0</v>
      </c>
      <c r="J15">
        <f>Humboldt[[#Totals],[French Total]]</f>
        <v>14</v>
      </c>
      <c r="K15">
        <f>Humboldt[[#Totals],[German Total]]</f>
        <v>10</v>
      </c>
      <c r="L15">
        <f>Humboldt[[#Totals],[Hebrew Total]]</f>
        <v>0</v>
      </c>
      <c r="M15">
        <f>Humboldt[[#Totals],[Hindi Total]]</f>
        <v>0</v>
      </c>
      <c r="N15">
        <f>Humboldt[[#Totals],[Hmong Total]]</f>
        <v>0</v>
      </c>
      <c r="O15">
        <f>Humboldt[[#Totals],[Italian Total]]</f>
        <v>0</v>
      </c>
      <c r="P15">
        <f>Humboldt[[#Totals],[Japanese Total]]</f>
        <v>0</v>
      </c>
      <c r="Q15">
        <f>Humboldt[[#Totals],[Korean Total]]</f>
        <v>0</v>
      </c>
      <c r="R15">
        <f>Humboldt[[#Totals],[Latin Total]]</f>
        <v>0</v>
      </c>
      <c r="S15">
        <f>Humboldt[[#Totals],[Portuguese Total]]</f>
        <v>0</v>
      </c>
      <c r="T15">
        <f>Humboldt[[#Totals],[Punjabi Total]]</f>
        <v>0</v>
      </c>
      <c r="U15">
        <f>Humboldt[[#Totals],[Russian Total]]</f>
        <v>0</v>
      </c>
      <c r="V15">
        <f>Humboldt[[#Totals],[Spanish Total]]</f>
        <v>139</v>
      </c>
      <c r="W15">
        <f>Humboldt[[#Totals],[Tagalog (Filipino) Total]]</f>
        <v>1</v>
      </c>
      <c r="X15">
        <f>Humboldt[[#Totals],[Urdu Total]]</f>
        <v>0</v>
      </c>
      <c r="Y15">
        <f>Humboldt[[#Totals],[Vietnamese Total]]</f>
        <v>0</v>
      </c>
      <c r="Z15">
        <f>Humboldt[[#Totals],[Other Total]]</f>
        <v>0</v>
      </c>
      <c r="AA15">
        <f>Humboldt[[#Totals],[Total Seals per Local Educational Agency]]</f>
        <v>166</v>
      </c>
    </row>
    <row r="16" spans="1:27" x14ac:dyDescent="0.35">
      <c r="A16" t="s">
        <v>47</v>
      </c>
      <c r="B16">
        <v>4</v>
      </c>
      <c r="C16" s="17">
        <v>6</v>
      </c>
      <c r="D16">
        <f>Imperial[[#Totals],[American Sign Language Total]]</f>
        <v>0</v>
      </c>
      <c r="E16">
        <f>Imperial[[#Totals],[Arabic Total]]</f>
        <v>0</v>
      </c>
      <c r="F16">
        <f>Imperial[[#Totals],[Armenian Total]]</f>
        <v>0</v>
      </c>
      <c r="G16">
        <f>Imperial[[#Totals],[Bengali Total]]</f>
        <v>0</v>
      </c>
      <c r="H16">
        <f>Imperial[[#Totals],[Chinese (Mandarin or Cantonese) Total]]</f>
        <v>0</v>
      </c>
      <c r="I16">
        <f>Imperial[[#Totals],[Farsi (Persian) Total]]</f>
        <v>0</v>
      </c>
      <c r="J16">
        <f>Imperial[[#Totals],[French Total]]</f>
        <v>0</v>
      </c>
      <c r="K16">
        <f>Imperial[[#Totals],[German Total]]</f>
        <v>0</v>
      </c>
      <c r="L16">
        <f>Imperial[[#Totals],[Hebrew Total]]</f>
        <v>0</v>
      </c>
      <c r="M16">
        <f>Imperial[[#Totals],[Hindi Total]]</f>
        <v>0</v>
      </c>
      <c r="N16">
        <f>Imperial[[#Totals],[Hmong Total]]</f>
        <v>0</v>
      </c>
      <c r="O16">
        <f>Imperial[[#Totals],[Italian Total]]</f>
        <v>0</v>
      </c>
      <c r="P16">
        <f>Imperial[[#Totals],[Japanese Total]]</f>
        <v>0</v>
      </c>
      <c r="Q16">
        <f>Imperial[[#Totals],[Korean Total]]</f>
        <v>0</v>
      </c>
      <c r="R16">
        <f>Imperial[[#Totals],[Latin Total]]</f>
        <v>0</v>
      </c>
      <c r="S16">
        <f>Imperial[[#Totals],[Portuguese Total]]</f>
        <v>0</v>
      </c>
      <c r="T16">
        <f>Imperial[[#Totals],[Punjabi Total]]</f>
        <v>0</v>
      </c>
      <c r="U16">
        <f>Imperial[[#Totals],[Russian Total]]</f>
        <v>0</v>
      </c>
      <c r="V16">
        <f>Imperial[[#Totals],[Spanish Total]]</f>
        <v>286</v>
      </c>
      <c r="W16">
        <f>Imperial[[#Totals],[Tagalog (Filipino) Total]]</f>
        <v>0</v>
      </c>
      <c r="X16">
        <f>Imperial[[#Totals],[Urdu Total]]</f>
        <v>0</v>
      </c>
      <c r="Y16">
        <f>Imperial[[#Totals],[Vietnamese Total]]</f>
        <v>0</v>
      </c>
      <c r="Z16">
        <f>Imperial[[#Totals],[Other Total]]</f>
        <v>0</v>
      </c>
      <c r="AA16">
        <f>Imperial[[#Totals],[Total Seals per Local Educational Agency]]</f>
        <v>286</v>
      </c>
    </row>
    <row r="17" spans="1:27" x14ac:dyDescent="0.35">
      <c r="A17" t="s">
        <v>76</v>
      </c>
      <c r="B17" s="3">
        <v>1</v>
      </c>
      <c r="C17" s="17">
        <v>1</v>
      </c>
      <c r="D17">
        <f>Inyo[[#Totals],[American Sign Language Total]]</f>
        <v>0</v>
      </c>
      <c r="E17">
        <f>Inyo[[#Totals],[Arabic Total]]</f>
        <v>0</v>
      </c>
      <c r="F17">
        <f>Inyo[[#Totals],[Armenian Total]]</f>
        <v>0</v>
      </c>
      <c r="G17">
        <f>Inyo[[#Totals],[Bengali Total]]</f>
        <v>0</v>
      </c>
      <c r="H17">
        <f>Inyo[[#Totals],[Chinese (Mandarin or Cantonese) Total]]</f>
        <v>0</v>
      </c>
      <c r="I17">
        <f>Inyo[[#Totals],[Farsi (Persian) Total]]</f>
        <v>0</v>
      </c>
      <c r="J17">
        <f>Inyo[[#Totals],[French Total]]</f>
        <v>0</v>
      </c>
      <c r="K17">
        <f>Inyo[[#Totals],[German Total]]</f>
        <v>0</v>
      </c>
      <c r="L17">
        <f>Inyo[[#Totals],[Hebrew Total]]</f>
        <v>0</v>
      </c>
      <c r="M17">
        <f>Inyo[[#Totals],[Hindi Total]]</f>
        <v>0</v>
      </c>
      <c r="N17">
        <f>Inyo[[#Totals],[Hmong Total]]</f>
        <v>0</v>
      </c>
      <c r="O17">
        <f>Inyo[[#Totals],[Italian Total]]</f>
        <v>0</v>
      </c>
      <c r="P17">
        <f>Inyo[[#Totals],[Japanese Total]]</f>
        <v>0</v>
      </c>
      <c r="Q17">
        <f>Inyo[[#Totals],[Korean Total]]</f>
        <v>0</v>
      </c>
      <c r="R17">
        <f>Inyo[[#Totals],[Latin Total]]</f>
        <v>0</v>
      </c>
      <c r="S17">
        <f>Inyo[[#Totals],[Portuguese Total]]</f>
        <v>0</v>
      </c>
      <c r="T17">
        <f>Inyo[[#Totals],[Punjabi Total]]</f>
        <v>0</v>
      </c>
      <c r="U17">
        <f>Inyo[[#Totals],[Russian Total]]</f>
        <v>0</v>
      </c>
      <c r="V17">
        <f>Inyo[[#Totals],[Spanish Total]]</f>
        <v>17</v>
      </c>
      <c r="W17">
        <f>Inyo[[#Totals],[Tagalog (Filipino) Total]]</f>
        <v>0</v>
      </c>
      <c r="X17">
        <f>Inyo[[#Totals],[Urdu Total]]</f>
        <v>0</v>
      </c>
      <c r="Y17">
        <f>Inyo[[#Totals],[Vietnamese Total]]</f>
        <v>0</v>
      </c>
      <c r="Z17">
        <f>Inyo[[#Totals],[Other Total]]</f>
        <v>0</v>
      </c>
      <c r="AA17">
        <f>Inyo[[#Totals],[Total Seals per Local Educational Agency]]</f>
        <v>17</v>
      </c>
    </row>
    <row r="18" spans="1:27" x14ac:dyDescent="0.35">
      <c r="A18" t="s">
        <v>16</v>
      </c>
      <c r="B18" s="3">
        <v>11</v>
      </c>
      <c r="C18" s="17">
        <v>29</v>
      </c>
      <c r="D18" s="3">
        <f>Kern[[#Totals],[American Sign Language Total]]</f>
        <v>4</v>
      </c>
      <c r="E18" s="3">
        <f>Kern[[#Totals],[Arabic Total]]</f>
        <v>0</v>
      </c>
      <c r="F18" s="3">
        <f>Kern[[#Totals],[Armenian Total]]</f>
        <v>0</v>
      </c>
      <c r="G18" s="3">
        <f>Kern[[#Totals],[Bengali Total]]</f>
        <v>0</v>
      </c>
      <c r="H18" s="3">
        <f>Kern[[#Totals],[Chinese (Mandarin or Cantonese) Total]]</f>
        <v>4</v>
      </c>
      <c r="I18" s="3">
        <f>Kern[[#Totals],[Farsi (Persian) Total]]</f>
        <v>0</v>
      </c>
      <c r="J18" s="3">
        <f>Kern[[#Totals],[French Total]]</f>
        <v>71</v>
      </c>
      <c r="K18" s="3">
        <f>Kern[[#Totals],[German Total]]</f>
        <v>0</v>
      </c>
      <c r="L18" s="3">
        <f>Kern[[#Totals],[Hebrew Total]]</f>
        <v>0</v>
      </c>
      <c r="M18" s="3">
        <f>Kern[[#Totals],[Hindi Total]]</f>
        <v>0</v>
      </c>
      <c r="N18" s="3">
        <f>Kern[[#Totals],[Hmong Total]]</f>
        <v>0</v>
      </c>
      <c r="O18" s="3">
        <f>Kern[[#Totals],[Italian Total]]</f>
        <v>0</v>
      </c>
      <c r="P18" s="3">
        <f>Kern[[#Totals],[Japanese Total]]</f>
        <v>1</v>
      </c>
      <c r="Q18" s="3">
        <f>Kern[[#Totals],[Korean Total]]</f>
        <v>0</v>
      </c>
      <c r="R18" s="3">
        <f>Kern[[#Totals],[Latin Total]]</f>
        <v>1</v>
      </c>
      <c r="S18" s="3">
        <f>Kern[[#Totals],[Portuguese Total]]</f>
        <v>0</v>
      </c>
      <c r="T18" s="3">
        <f>Kern[[#Totals],[Punjabi Total]]</f>
        <v>10</v>
      </c>
      <c r="U18" s="3">
        <f>Kern[[#Totals],[Russian Total]]</f>
        <v>0</v>
      </c>
      <c r="V18" s="3">
        <f>Kern[[#Totals],[Spanish Total]]</f>
        <v>2654</v>
      </c>
      <c r="W18" s="3">
        <f>Kern[[#Totals],[Tagalog (Filipino) Total]]</f>
        <v>0</v>
      </c>
      <c r="X18" s="3">
        <f>Kern[[#Totals],[Urdu Total]]</f>
        <v>0</v>
      </c>
      <c r="Y18" s="3">
        <f>Kern[[#Totals],[Vietnamese Total]]</f>
        <v>1</v>
      </c>
      <c r="Z18" s="3">
        <f>Kern[[#Totals],[Other Total]]</f>
        <v>2</v>
      </c>
      <c r="AA18" s="3">
        <f>Kern[[#Totals],[Total Seals per Local Educational Agency]]</f>
        <v>2748</v>
      </c>
    </row>
    <row r="19" spans="1:27" x14ac:dyDescent="0.35">
      <c r="A19" t="s">
        <v>33</v>
      </c>
      <c r="B19">
        <v>2</v>
      </c>
      <c r="C19" s="17">
        <v>5</v>
      </c>
      <c r="D19">
        <f>Kings[[#Totals],[American Sign Language Total]]</f>
        <v>0</v>
      </c>
      <c r="E19">
        <f>Kings[[#Totals],[Arabic Total]]</f>
        <v>0</v>
      </c>
      <c r="F19">
        <f>Kings[[#Totals],[Armenian Total]]</f>
        <v>0</v>
      </c>
      <c r="G19">
        <f>Kings[[#Totals],[Bengali Total]]</f>
        <v>0</v>
      </c>
      <c r="H19">
        <f>Kings[[#Totals],[Chinese (Mandarin or Cantonese) Total]]</f>
        <v>0</v>
      </c>
      <c r="I19">
        <f>Kings[[#Totals],[Farsi (Persian) Total]]</f>
        <v>0</v>
      </c>
      <c r="J19">
        <f>Kings[[#Totals],[French Total]]</f>
        <v>0</v>
      </c>
      <c r="K19">
        <f>Kings[[#Totals],[German Total]]</f>
        <v>0</v>
      </c>
      <c r="L19">
        <f>Kings[[#Totals],[Hebrew Total]]</f>
        <v>0</v>
      </c>
      <c r="M19">
        <f>Kings[[#Totals],[Hindi Total]]</f>
        <v>0</v>
      </c>
      <c r="N19">
        <f>Kings[[#Totals],[Hmong Total]]</f>
        <v>0</v>
      </c>
      <c r="O19">
        <f>Kings[[#Totals],[Italian Total]]</f>
        <v>0</v>
      </c>
      <c r="P19">
        <f>Kings[[#Totals],[Japanese Total]]</f>
        <v>1</v>
      </c>
      <c r="Q19">
        <f>Kings[[#Totals],[Korean Total]]</f>
        <v>0</v>
      </c>
      <c r="R19">
        <f>Kings[[#Totals],[Latin Total]]</f>
        <v>0</v>
      </c>
      <c r="S19">
        <f>Kings[[#Totals],[Portuguese Total]]</f>
        <v>0</v>
      </c>
      <c r="T19">
        <f>Kings[[#Totals],[Punjabi Total]]</f>
        <v>0</v>
      </c>
      <c r="U19">
        <f>Kings[[#Totals],[Russian Total]]</f>
        <v>0</v>
      </c>
      <c r="V19">
        <f>Kings[[#Totals],[Spanish Total]]</f>
        <v>80</v>
      </c>
      <c r="W19">
        <f>Kings[[#Totals],[Tagalog (Filipino) Total]]</f>
        <v>0</v>
      </c>
      <c r="X19">
        <f>Kings[[#Totals],[Urdu Total]]</f>
        <v>0</v>
      </c>
      <c r="Y19">
        <f>Kings[[#Totals],[Vietnamese Total]]</f>
        <v>0</v>
      </c>
      <c r="Z19">
        <f>Kings[[#Totals],[Other Total]]</f>
        <v>0</v>
      </c>
      <c r="AA19">
        <f>Kings[[#Totals],[Total Seals per Local Educational Agency]]</f>
        <v>81</v>
      </c>
    </row>
    <row r="20" spans="1:27" x14ac:dyDescent="0.35">
      <c r="A20" t="s">
        <v>36</v>
      </c>
      <c r="B20" s="3">
        <v>2</v>
      </c>
      <c r="C20" s="17">
        <v>2</v>
      </c>
      <c r="D20">
        <f>Lake[[#Totals],[American Sign Language Total]]</f>
        <v>0</v>
      </c>
      <c r="E20">
        <f>Lake[[#Totals],[Arabic Total]]</f>
        <v>0</v>
      </c>
      <c r="F20">
        <f>Lake[[#Totals],[Armenian Total]]</f>
        <v>0</v>
      </c>
      <c r="G20">
        <f>Lake[[#Totals],[Bengali Total]]</f>
        <v>0</v>
      </c>
      <c r="H20">
        <f>Lake[[#Totals],[Chinese (Mandarin or Cantonese) Total]]</f>
        <v>0</v>
      </c>
      <c r="I20">
        <f>Lake[[#Totals],[Farsi (Persian) Total]]</f>
        <v>0</v>
      </c>
      <c r="J20">
        <f>Lake[[#Totals],[French Total]]</f>
        <v>0</v>
      </c>
      <c r="K20">
        <f>Lake[[#Totals],[German Total]]</f>
        <v>0</v>
      </c>
      <c r="L20">
        <f>Lake[[#Totals],[Hebrew Total]]</f>
        <v>0</v>
      </c>
      <c r="M20">
        <f>Lake[[#Totals],[Hindi Total]]</f>
        <v>0</v>
      </c>
      <c r="N20">
        <f>Lake[[#Totals],[Hmong Total]]</f>
        <v>0</v>
      </c>
      <c r="O20">
        <f>Lake[[#Totals],[Italian Total]]</f>
        <v>0</v>
      </c>
      <c r="P20">
        <f>Lake[[#Totals],[Japanese Total]]</f>
        <v>0</v>
      </c>
      <c r="Q20">
        <f>Lake[[#Totals],[Korean Total]]</f>
        <v>0</v>
      </c>
      <c r="R20">
        <f>Lake[[#Totals],[Latin Total]]</f>
        <v>0</v>
      </c>
      <c r="S20">
        <f>Lake[[#Totals],[Portuguese Total]]</f>
        <v>0</v>
      </c>
      <c r="T20">
        <f>Lake[[#Totals],[Punjabi Total]]</f>
        <v>0</v>
      </c>
      <c r="U20">
        <f>Lake[[#Totals],[Russian Total]]</f>
        <v>0</v>
      </c>
      <c r="V20">
        <f>Lake[[#Totals],[Spanish Total]]</f>
        <v>23</v>
      </c>
      <c r="W20">
        <f>Lake[[#Totals],[Tagalog (Filipino) Total]]</f>
        <v>0</v>
      </c>
      <c r="X20">
        <f>Lake[[#Totals],[Urdu Total]]</f>
        <v>0</v>
      </c>
      <c r="Y20">
        <f>Lake[[#Totals],[Vietnamese Total]]</f>
        <v>0</v>
      </c>
      <c r="Z20">
        <f>Lake[[#Totals],[Other Total]]</f>
        <v>0</v>
      </c>
      <c r="AA20">
        <f>Lake[[#Totals],[Total Seals per Local Educational Agency]]</f>
        <v>23</v>
      </c>
    </row>
    <row r="21" spans="1:27" x14ac:dyDescent="0.35">
      <c r="A21" t="s">
        <v>44</v>
      </c>
      <c r="B21" s="3">
        <v>1</v>
      </c>
      <c r="C21" s="17">
        <v>1</v>
      </c>
      <c r="D21">
        <f>Lassen[[#Totals],[American Sign Language Total]]</f>
        <v>0</v>
      </c>
      <c r="E21">
        <f>Lassen[[#Totals],[Arabic Total]]</f>
        <v>0</v>
      </c>
      <c r="F21">
        <f>Lassen[[#Totals],[Armenian Total]]</f>
        <v>0</v>
      </c>
      <c r="G21">
        <f>Lassen[[#Totals],[Bengali Total]]</f>
        <v>0</v>
      </c>
      <c r="H21">
        <f>Lassen[[#Totals],[Chinese (Mandarin or Cantonese) Total]]</f>
        <v>0</v>
      </c>
      <c r="I21">
        <f>Lassen[[#Totals],[Farsi (Persian) Total]]</f>
        <v>0</v>
      </c>
      <c r="J21">
        <f>Lassen[[#Totals],[French Total]]</f>
        <v>0</v>
      </c>
      <c r="K21">
        <f>Lassen[[#Totals],[German Total]]</f>
        <v>0</v>
      </c>
      <c r="L21">
        <f>Lassen[[#Totals],[Hebrew Total]]</f>
        <v>0</v>
      </c>
      <c r="M21">
        <f>Lassen[[#Totals],[Hindi Total]]</f>
        <v>0</v>
      </c>
      <c r="N21">
        <f>Lassen[[#Totals],[Hmong Total]]</f>
        <v>0</v>
      </c>
      <c r="O21">
        <f>Lassen[[#Totals],[Italian Total]]</f>
        <v>0</v>
      </c>
      <c r="P21">
        <f>Lassen[[#Totals],[Japanese Total]]</f>
        <v>0</v>
      </c>
      <c r="Q21">
        <f>Lassen[[#Totals],[Korean Total]]</f>
        <v>0</v>
      </c>
      <c r="R21">
        <f>Lassen[[#Totals],[Latin Total]]</f>
        <v>0</v>
      </c>
      <c r="S21">
        <f>Lassen[[#Totals],[Portuguese Total]]</f>
        <v>0</v>
      </c>
      <c r="T21">
        <f>Lassen[[#Totals],[Punjabi Total ]]</f>
        <v>0</v>
      </c>
      <c r="U21">
        <f>Lassen[[#Totals],[Russian Total]]</f>
        <v>0</v>
      </c>
      <c r="V21">
        <f>Lassen[[#Totals],[Spanish Total]]</f>
        <v>20</v>
      </c>
      <c r="W21">
        <f>Lassen[[#Totals],[Tagalog (Filipino) Total]]</f>
        <v>0</v>
      </c>
      <c r="X21">
        <f>Lassen[[#Totals],[Urdu Total]]</f>
        <v>0</v>
      </c>
      <c r="Y21">
        <f>Lassen[[#Totals],[Vietnamese Total]]</f>
        <v>0</v>
      </c>
      <c r="Z21">
        <f>Lassen[[#Totals],[Other Total]]</f>
        <v>0</v>
      </c>
      <c r="AA21">
        <f>Lassen[[#Totals],[Total Seals per Local Educational Agency]]</f>
        <v>20</v>
      </c>
    </row>
    <row r="22" spans="1:27" x14ac:dyDescent="0.35">
      <c r="A22" t="s">
        <v>1</v>
      </c>
      <c r="B22" s="4">
        <v>97</v>
      </c>
      <c r="C22" s="18">
        <v>429</v>
      </c>
      <c r="D22" s="3">
        <f>LosAngeles[[#Totals],[American Sign Language Total]]</f>
        <v>234</v>
      </c>
      <c r="E22" s="3">
        <f>LosAngeles[[#Totals],[Arabic Total]]</f>
        <v>36</v>
      </c>
      <c r="F22" s="3">
        <f>LosAngeles[[#Totals],[Armenian Total]]</f>
        <v>179</v>
      </c>
      <c r="G22" s="3">
        <f>LosAngeles[[#Totals],[Bengali Total]]</f>
        <v>20</v>
      </c>
      <c r="H22" s="3">
        <f>LosAngeles[[#Totals],[Chinese (Mandarin or Cantonese) Total]]</f>
        <v>1224</v>
      </c>
      <c r="I22" s="3">
        <f>LosAngeles[[#Totals],[Farsi (Persian) Total]]</f>
        <v>12</v>
      </c>
      <c r="J22" s="3">
        <f>LosAngeles[[#Totals],[French Total]]</f>
        <v>818</v>
      </c>
      <c r="K22" s="3">
        <f>LosAngeles[[#Totals],[German Total]]</f>
        <v>118</v>
      </c>
      <c r="L22" s="3">
        <f>LosAngeles[[#Totals],[Hebrew Total]]</f>
        <v>14</v>
      </c>
      <c r="M22" s="3">
        <f>LosAngeles[[#Totals],[Hindi Total]]</f>
        <v>9</v>
      </c>
      <c r="N22" s="3">
        <f>LosAngeles[[#Totals],[Hmong Total]]</f>
        <v>1</v>
      </c>
      <c r="O22" s="3">
        <f>LosAngeles[[#Totals],[Italian Total]]</f>
        <v>48</v>
      </c>
      <c r="P22" s="3">
        <f>LosAngeles[[#Totals],[Japanese Total]]</f>
        <v>436</v>
      </c>
      <c r="Q22" s="3">
        <f>LosAngeles[[#Totals],[Korean Total]]</f>
        <v>483</v>
      </c>
      <c r="R22" s="3">
        <f>LosAngeles[[#Totals],[Latin Total]]</f>
        <v>154</v>
      </c>
      <c r="S22" s="3">
        <f>LosAngeles[[#Totals],[Portuguese Total]]</f>
        <v>7</v>
      </c>
      <c r="T22" s="3">
        <f>LosAngeles[[#Totals],[Punjabi Total]]</f>
        <v>7</v>
      </c>
      <c r="U22" s="3">
        <f>LosAngeles[[#Totals],[Russian Total]]</f>
        <v>152</v>
      </c>
      <c r="V22" s="3">
        <f>LosAngeles[[#Totals],[Spanish Total]]</f>
        <v>16236</v>
      </c>
      <c r="W22" s="3">
        <f>LosAngeles[[#Totals],[Tagalog (Filipino) Total]]</f>
        <v>80</v>
      </c>
      <c r="X22" s="3">
        <f>LosAngeles[[#Totals],[Urdu Total]]</f>
        <v>18</v>
      </c>
      <c r="Y22" s="3">
        <f>LosAngeles[[#Totals],[Vietnamese Total]]</f>
        <v>51</v>
      </c>
      <c r="Z22" s="3">
        <f>LosAngeles[[#Totals],[Other Total]]</f>
        <v>60</v>
      </c>
      <c r="AA22" s="3">
        <f>LosAngeles[[#Totals],[Total Seals per Local Educational Agency]]</f>
        <v>20397</v>
      </c>
    </row>
    <row r="23" spans="1:27" x14ac:dyDescent="0.35">
      <c r="A23" t="s">
        <v>24</v>
      </c>
      <c r="B23" s="3">
        <v>3</v>
      </c>
      <c r="C23" s="17">
        <v>5</v>
      </c>
      <c r="D23">
        <f>Madera[[#Totals],[American Sign Language Total]]</f>
        <v>0</v>
      </c>
      <c r="E23">
        <f>Madera[[#Totals],[Arabic Total]]</f>
        <v>0</v>
      </c>
      <c r="F23">
        <f>Madera[[#Totals],[Armenian Total]]</f>
        <v>0</v>
      </c>
      <c r="G23">
        <f>Madera[[#Totals],[Bengali Total]]</f>
        <v>0</v>
      </c>
      <c r="H23">
        <f>Madera[[#Totals],[Chinese (Mandarin or Cantonese) Total]]</f>
        <v>0</v>
      </c>
      <c r="I23">
        <f>Madera[[#Totals],[Farsi (Persian) Total]]</f>
        <v>0</v>
      </c>
      <c r="J23">
        <f>Madera[[#Totals],[French Total]]</f>
        <v>7</v>
      </c>
      <c r="K23">
        <f>Madera[[#Totals],[German Total]]</f>
        <v>0</v>
      </c>
      <c r="L23">
        <f>Madera[[#Totals],[Hebrew Total]]</f>
        <v>0</v>
      </c>
      <c r="M23">
        <f>Madera[[#Totals],[Hindi Total]]</f>
        <v>0</v>
      </c>
      <c r="N23">
        <f>Madera[[#Totals],[Hmong Total]]</f>
        <v>0</v>
      </c>
      <c r="O23">
        <f>Madera[[#Totals],[Italian Total]]</f>
        <v>0</v>
      </c>
      <c r="P23">
        <f>Madera[[#Totals],[Japanese Total]]</f>
        <v>0</v>
      </c>
      <c r="Q23">
        <f>Madera[[#Totals],[Korean Total]]</f>
        <v>0</v>
      </c>
      <c r="R23">
        <f>Madera[[#Totals],[Latin Total]]</f>
        <v>0</v>
      </c>
      <c r="S23">
        <f>Madera[[#Totals],[Portuguese Total]]</f>
        <v>0</v>
      </c>
      <c r="T23">
        <f>Madera[[#Totals],[Punjabi Total]]</f>
        <v>0</v>
      </c>
      <c r="U23">
        <f>Madera[[#Totals],[Russian Total]]</f>
        <v>0</v>
      </c>
      <c r="V23">
        <f>Madera[[#Totals],[Spanish Total]]</f>
        <v>390</v>
      </c>
      <c r="W23">
        <f>Madera[[#Totals],[Tagalog (Filipino) Total]]</f>
        <v>0</v>
      </c>
      <c r="X23">
        <f>Madera[[#Totals],[Urdu Total]]</f>
        <v>0</v>
      </c>
      <c r="Y23">
        <f>Madera[[#Totals],[Vietnamese Total]]</f>
        <v>0</v>
      </c>
      <c r="Z23">
        <f>Madera[[#Totals],[Other Total]]</f>
        <v>0</v>
      </c>
      <c r="AA23">
        <f>Madera[[#Totals],[Total Seals per Local Educational Agency]]</f>
        <v>397</v>
      </c>
    </row>
    <row r="24" spans="1:27" x14ac:dyDescent="0.35">
      <c r="A24" t="s">
        <v>11</v>
      </c>
      <c r="B24" s="3">
        <v>6</v>
      </c>
      <c r="C24" s="17">
        <v>10</v>
      </c>
      <c r="D24">
        <f>Marin[[#Totals],[American Sign Language Total]]</f>
        <v>0</v>
      </c>
      <c r="E24">
        <f>Marin[[#Totals],[Arabic Total]]</f>
        <v>0</v>
      </c>
      <c r="F24">
        <f>Marin[[#Totals],[Armenian Total]]</f>
        <v>0</v>
      </c>
      <c r="G24">
        <f>Marin[[#Totals],[Bengali Total]]</f>
        <v>0</v>
      </c>
      <c r="H24">
        <f>Marin[[#Totals],[Chinese (Mandarin or Cantonese) Total]]</f>
        <v>6</v>
      </c>
      <c r="I24">
        <f>Marin[[#Totals],[Farsi (Persian) Total]]</f>
        <v>0</v>
      </c>
      <c r="J24">
        <f>Marin[[#Totals],[French Total]]</f>
        <v>48</v>
      </c>
      <c r="K24">
        <f>Marin[[#Totals],[German Total]]</f>
        <v>2</v>
      </c>
      <c r="L24">
        <f>Marin[[#Totals],[Hebrew Total]]</f>
        <v>1</v>
      </c>
      <c r="M24">
        <f>Marin[[#Totals],[Hindi Total]]</f>
        <v>0</v>
      </c>
      <c r="N24">
        <f>Marin[[#Totals],[Hmong Total]]</f>
        <v>0</v>
      </c>
      <c r="O24">
        <f>Marin[[#Totals],[Italian Total]]</f>
        <v>0</v>
      </c>
      <c r="P24">
        <f>Marin[[#Totals],[Japanese Total]]</f>
        <v>2</v>
      </c>
      <c r="Q24">
        <f>Marin[[#Totals],[Korean Total]]</f>
        <v>0</v>
      </c>
      <c r="R24">
        <f>Marin[[#Totals],[Latin Total]]</f>
        <v>0</v>
      </c>
      <c r="S24">
        <f>Marin[[#Totals],[Portuguese Total]]</f>
        <v>0</v>
      </c>
      <c r="T24">
        <f>Marin[[#Totals],[Punjabi Total]]</f>
        <v>0</v>
      </c>
      <c r="U24">
        <f>Marin[[#Totals],[Russian Total]]</f>
        <v>1</v>
      </c>
      <c r="V24">
        <f>Marin[[#Totals],[Spanish Total]]</f>
        <v>479</v>
      </c>
      <c r="W24">
        <f>Marin[[#Totals],[Tagalog (Filipino) Total]]</f>
        <v>0</v>
      </c>
      <c r="X24">
        <f>Marin[[#Totals],[Urdu Total]]</f>
        <v>0</v>
      </c>
      <c r="Y24">
        <f>Marin[[#Totals],[Vietnamese Total]]</f>
        <v>0</v>
      </c>
      <c r="Z24">
        <f>Marin[[#Totals],[Other Total]]</f>
        <v>0</v>
      </c>
      <c r="AA24">
        <f>Marin[[#Totals],[Total Seals per Local Educational Agency]]</f>
        <v>539</v>
      </c>
    </row>
    <row r="25" spans="1:27" x14ac:dyDescent="0.35">
      <c r="A25" t="s">
        <v>20</v>
      </c>
      <c r="B25" s="3">
        <v>5</v>
      </c>
      <c r="C25" s="17">
        <v>6</v>
      </c>
      <c r="D25">
        <f>Mendocino[[#Totals],[American Sign Language Total]]</f>
        <v>0</v>
      </c>
      <c r="E25">
        <f>Mendocino[[#Totals],[Arabic Total]]</f>
        <v>0</v>
      </c>
      <c r="F25">
        <f>Mendocino[[#Totals],[Armenian Total]]</f>
        <v>0</v>
      </c>
      <c r="G25">
        <f>Mendocino[[#Totals],[Bengali Total]]</f>
        <v>0</v>
      </c>
      <c r="H25">
        <f>Mendocino[[#Totals],[Chinese (Mandarin or Cantonese) Total]]</f>
        <v>0</v>
      </c>
      <c r="I25">
        <f>Mendocino[[#Totals],[Farsi (Persian) Total]]</f>
        <v>0</v>
      </c>
      <c r="J25">
        <f>Mendocino[[#Totals],[French Total]]</f>
        <v>0</v>
      </c>
      <c r="K25">
        <f>Mendocino[[#Totals],[German Total]]</f>
        <v>0</v>
      </c>
      <c r="L25">
        <f>Mendocino[[#Totals],[Hebrew Total]]</f>
        <v>0</v>
      </c>
      <c r="M25">
        <f>Mendocino[[#Totals],[Hindi Total]]</f>
        <v>0</v>
      </c>
      <c r="N25">
        <f>Mendocino[[#Totals],[Hmong Total]]</f>
        <v>0</v>
      </c>
      <c r="O25">
        <f>Mendocino[[#Totals],[Italian Total]]</f>
        <v>0</v>
      </c>
      <c r="P25">
        <f>Mendocino[[#Totals],[Japanese Total]]</f>
        <v>0</v>
      </c>
      <c r="Q25">
        <f>Mendocino[[#Totals],[Korean Total]]</f>
        <v>0</v>
      </c>
      <c r="R25">
        <f>Mendocino[[#Totals],[Latin Total]]</f>
        <v>0</v>
      </c>
      <c r="S25">
        <f>Mendocino[[#Totals],[Russian Total]]</f>
        <v>0</v>
      </c>
      <c r="T25">
        <f>Mendocino[[#Totals],[Portuguese Total]]</f>
        <v>0</v>
      </c>
      <c r="U25">
        <f>Mendocino[[#Totals],[Punjabi Total]]</f>
        <v>0</v>
      </c>
      <c r="V25">
        <f>Mendocino[[#Totals],[Spanish Total]]</f>
        <v>122</v>
      </c>
      <c r="W25">
        <f>Mendocino[[#Totals],[Tagalog (Filipino) Total]]</f>
        <v>0</v>
      </c>
      <c r="X25">
        <f>Mendocino[[#Totals],[Urdu Total]]</f>
        <v>0</v>
      </c>
      <c r="Y25">
        <f>Mendocino[[#Totals],[Vietnamese Total]]</f>
        <v>0</v>
      </c>
      <c r="Z25">
        <f>Mendocino[[#Totals],[Other Total]]</f>
        <v>1</v>
      </c>
      <c r="AA25">
        <f>Mendocino[[#Totals],[Total Seals per Local Educational Agency]]</f>
        <v>123</v>
      </c>
    </row>
    <row r="26" spans="1:27" x14ac:dyDescent="0.35">
      <c r="A26" t="s">
        <v>23</v>
      </c>
      <c r="B26" s="3">
        <v>9</v>
      </c>
      <c r="C26" s="17">
        <v>14</v>
      </c>
      <c r="D26">
        <f>Merced[[#Totals],[American Sign Language Total]]</f>
        <v>0</v>
      </c>
      <c r="E26">
        <f>Merced[[#Totals],[Arabic Total]]</f>
        <v>0</v>
      </c>
      <c r="F26">
        <f>Merced[[#Totals],[Armenian Total]]</f>
        <v>0</v>
      </c>
      <c r="G26">
        <f>Merced[[#Totals],[Bengali Total]]</f>
        <v>0</v>
      </c>
      <c r="H26">
        <f>Merced[[#Totals],[Chinese (Mandarin or Cantonese) Total]]</f>
        <v>0</v>
      </c>
      <c r="I26">
        <f>Merced[[#Totals],[Farsi (Persian) Total]]</f>
        <v>0</v>
      </c>
      <c r="J26">
        <f>Merced[[#Totals],[French Total]]</f>
        <v>0</v>
      </c>
      <c r="K26">
        <f>Merced[[#Totals],[German Total]]</f>
        <v>1</v>
      </c>
      <c r="L26">
        <f>Merced[[#Totals],[Hebrew Total]]</f>
        <v>0</v>
      </c>
      <c r="M26">
        <f>Merced[[#Totals],[Hindi Total]]</f>
        <v>2</v>
      </c>
      <c r="N26">
        <f>Merced[[#Totals],[Hmong Total]]</f>
        <v>2</v>
      </c>
      <c r="O26">
        <f>Merced[[#Totals],[Italian Total]]</f>
        <v>0</v>
      </c>
      <c r="P26">
        <f>Merced[[#Totals],[Japanese Total]]</f>
        <v>0</v>
      </c>
      <c r="Q26">
        <f>Merced[[#Totals],[Korean Total]]</f>
        <v>0</v>
      </c>
      <c r="R26">
        <f>Merced[[#Totals],[Latin Total]]</f>
        <v>0</v>
      </c>
      <c r="S26">
        <f>Merced[[#Totals],[Portuguese Total]]</f>
        <v>5</v>
      </c>
      <c r="T26">
        <f>Merced[[#Totals],[Punjabi Total]]</f>
        <v>8</v>
      </c>
      <c r="U26">
        <f>Merced[[#Totals],[Russian Total]]</f>
        <v>0</v>
      </c>
      <c r="V26">
        <f>Merced[[#Totals],[Spanish Total]]</f>
        <v>405</v>
      </c>
      <c r="W26">
        <f>Merced[[#Totals],[Tagalog (Filipino) Total]]</f>
        <v>1</v>
      </c>
      <c r="X26">
        <f>Merced[[#Totals],[Urdu Total]]</f>
        <v>0</v>
      </c>
      <c r="Y26">
        <f>Merced[[#Totals],[Vietnamese Total]]</f>
        <v>0</v>
      </c>
      <c r="Z26">
        <f>Merced[[#Totals],[Other Total]]</f>
        <v>1</v>
      </c>
      <c r="AA26">
        <f>Merced[[#Totals],[Total Seals per Local Educational Agency]]</f>
        <v>425</v>
      </c>
    </row>
    <row r="27" spans="1:27" x14ac:dyDescent="0.35">
      <c r="A27" t="s">
        <v>42</v>
      </c>
      <c r="B27">
        <v>2</v>
      </c>
      <c r="C27" s="18">
        <v>3</v>
      </c>
      <c r="D27">
        <f>Mono[[#Totals],[American Sign Language Total]]</f>
        <v>0</v>
      </c>
      <c r="E27">
        <f>Mono[[#Totals],[Arabic Total]]</f>
        <v>0</v>
      </c>
      <c r="F27">
        <f>Mono[[#Totals],[Armenian Total]]</f>
        <v>0</v>
      </c>
      <c r="G27">
        <f>Mono[[#Totals],[Bengali Total]]</f>
        <v>0</v>
      </c>
      <c r="H27">
        <f>Mono[[#Totals],[Chinese (Mandarin or Cantonese) Total]]</f>
        <v>0</v>
      </c>
      <c r="I27">
        <f>Mono[[#Totals],[Farsi (Persian) Total]]</f>
        <v>0</v>
      </c>
      <c r="J27">
        <f>Mono[[#Totals],[French Total]]</f>
        <v>0</v>
      </c>
      <c r="K27">
        <f>Mono[[#Totals],[German Total]]</f>
        <v>0</v>
      </c>
      <c r="L27">
        <f>Mono[[#Totals],[Hebrew Total]]</f>
        <v>0</v>
      </c>
      <c r="M27">
        <f>Mono[[#Totals],[Hindi Total]]</f>
        <v>0</v>
      </c>
      <c r="N27">
        <f>Mono[[#Totals],[Hmong Total]]</f>
        <v>0</v>
      </c>
      <c r="O27">
        <f>Mono[[#Totals],[Italian Total]]</f>
        <v>0</v>
      </c>
      <c r="P27">
        <f>Mono[[#Totals],[Japanese Total]]</f>
        <v>0</v>
      </c>
      <c r="Q27">
        <f>Mono[[#Totals],[Korean Total]]</f>
        <v>0</v>
      </c>
      <c r="R27">
        <f>Mono[[#Totals],[Latin Total]]</f>
        <v>0</v>
      </c>
      <c r="S27">
        <f>Mono[[#Totals],[Portuguese Total]]</f>
        <v>0</v>
      </c>
      <c r="T27">
        <f>Mono[[#Totals],[Punjabi Total]]</f>
        <v>0</v>
      </c>
      <c r="U27">
        <f>Mono[[#Totals],[Russian Total]]</f>
        <v>0</v>
      </c>
      <c r="V27">
        <f>Mono[[#Totals],[Spanish Total]]</f>
        <v>26</v>
      </c>
      <c r="W27">
        <f>Mono[[#Totals],[Tagalog (Filipino) Total]]</f>
        <v>0</v>
      </c>
      <c r="X27">
        <f>Mono[[#Totals],[Urdu Total]]</f>
        <v>0</v>
      </c>
      <c r="Y27">
        <f>Mono[[#Totals],[Vietnamese Total]]</f>
        <v>0</v>
      </c>
      <c r="Z27">
        <f>Mono[[#Totals],[Other Total]]</f>
        <v>0</v>
      </c>
      <c r="AA27">
        <f>Mono[[#Totals],[Total Seals per Local Educational Agency]]</f>
        <v>26</v>
      </c>
    </row>
    <row r="28" spans="1:27" x14ac:dyDescent="0.35">
      <c r="A28" t="s">
        <v>28</v>
      </c>
      <c r="B28" s="3">
        <v>7</v>
      </c>
      <c r="C28" s="17">
        <v>17</v>
      </c>
      <c r="D28">
        <f>Monterey[[#Totals],[American Sign Language Total]]</f>
        <v>18</v>
      </c>
      <c r="E28">
        <f>Monterey[[#Totals],[Arabic Total]]</f>
        <v>3</v>
      </c>
      <c r="F28">
        <f>Monterey[[#Totals],[Armenian Total]]</f>
        <v>0</v>
      </c>
      <c r="G28">
        <f>Monterey[[#Totals],[Bengali Total]]</f>
        <v>0</v>
      </c>
      <c r="H28">
        <f>Monterey[[#Totals],[Chinese (Mandarin or Cantonese) Total]]</f>
        <v>9</v>
      </c>
      <c r="I28">
        <f>Monterey[[#Totals],[Farsi (Persian) Total]]</f>
        <v>0</v>
      </c>
      <c r="J28">
        <f>Monterey[[#Totals],[French Total]]</f>
        <v>102</v>
      </c>
      <c r="K28">
        <f>Monterey[[#Totals],[German Total]]</f>
        <v>0</v>
      </c>
      <c r="L28">
        <f>Monterey[[#Totals],[Hebrew Total]]</f>
        <v>0</v>
      </c>
      <c r="M28">
        <f>Monterey[[#Totals],[Hindi Total]]</f>
        <v>0</v>
      </c>
      <c r="N28">
        <f>Monterey[[#Totals],[Hmong Total]]</f>
        <v>0</v>
      </c>
      <c r="O28">
        <f>Monterey[[#Totals],[Italian Total]]</f>
        <v>0</v>
      </c>
      <c r="P28">
        <f>Monterey[[#Totals],[Japanese Total]]</f>
        <v>59</v>
      </c>
      <c r="Q28">
        <f>Monterey[[#Totals],[Korean Total]]</f>
        <v>2</v>
      </c>
      <c r="R28">
        <f>Monterey[[#Totals],[Latin Total]]</f>
        <v>0</v>
      </c>
      <c r="S28">
        <f>Monterey[[#Totals],[Portuguese Total]]</f>
        <v>0</v>
      </c>
      <c r="T28">
        <f>Monterey[[#Totals],[Punjabi Total]]</f>
        <v>0</v>
      </c>
      <c r="U28">
        <f>Monterey[[#Totals],[Russian Total]]</f>
        <v>2</v>
      </c>
      <c r="V28">
        <f>Monterey[[#Totals],[Spanish Total]]</f>
        <v>1320</v>
      </c>
      <c r="W28">
        <f>Monterey[[#Totals],[Tagalog (Filipino) Total]]</f>
        <v>7</v>
      </c>
      <c r="X28">
        <f>Monterey[[#Totals],[Urdu Total]]</f>
        <v>0</v>
      </c>
      <c r="Y28">
        <f>Monterey[[#Totals],[Vietnamese Total]]</f>
        <v>3</v>
      </c>
      <c r="Z28">
        <f>Monterey[[#Totals],[Other Total]]</f>
        <v>13</v>
      </c>
      <c r="AA28">
        <f>Monterey[[#Totals],[Total Seals per Local Educational Agency]]</f>
        <v>1538</v>
      </c>
    </row>
    <row r="29" spans="1:27" x14ac:dyDescent="0.35">
      <c r="A29" t="s">
        <v>37</v>
      </c>
      <c r="B29" s="3">
        <v>2</v>
      </c>
      <c r="C29" s="17">
        <v>7</v>
      </c>
      <c r="D29">
        <f>Napa[[#Totals],[American Sign Language Total]]</f>
        <v>40</v>
      </c>
      <c r="E29">
        <f>Napa[[#Totals],[Arabic Total]]</f>
        <v>0</v>
      </c>
      <c r="F29">
        <f>Napa[[#Totals],[Armenian Total]]</f>
        <v>0</v>
      </c>
      <c r="G29">
        <f>Napa[[#Totals],[Bengali Total]]</f>
        <v>0</v>
      </c>
      <c r="H29">
        <f>Napa[[#Totals],[Chinese (Mandarin or Cantonese) Total]]</f>
        <v>35</v>
      </c>
      <c r="I29">
        <f>Napa[[#Totals],[Farsi (Persian) Total]]</f>
        <v>0</v>
      </c>
      <c r="J29">
        <f>Napa[[#Totals],[French Total]]</f>
        <v>75</v>
      </c>
      <c r="K29">
        <f>Napa[[#Totals],[German Total]]</f>
        <v>0</v>
      </c>
      <c r="L29">
        <f>Napa[[#Totals],[Hebrew Total]]</f>
        <v>0</v>
      </c>
      <c r="M29">
        <f>Napa[[#Totals],[Hindi Total]]</f>
        <v>0</v>
      </c>
      <c r="N29">
        <f>Napa[[#Totals],[Hmong Total]]</f>
        <v>0</v>
      </c>
      <c r="O29">
        <f>Napa[[#Totals],[Italian Total]]</f>
        <v>0</v>
      </c>
      <c r="P29">
        <f>Napa[[#Totals],[Japanese Total]]</f>
        <v>0</v>
      </c>
      <c r="Q29">
        <f>Napa[[#Totals],[Korean Total]]</f>
        <v>0</v>
      </c>
      <c r="R29">
        <f>Napa[[#Totals],[Latin Total]]</f>
        <v>0</v>
      </c>
      <c r="S29">
        <f>Napa[[#Totals],[Portuguese Total]]</f>
        <v>0</v>
      </c>
      <c r="T29">
        <f>Napa[[#Totals],[Punjabi Total]]</f>
        <v>0</v>
      </c>
      <c r="U29">
        <f>Napa[[#Totals],[Russian Total]]</f>
        <v>0</v>
      </c>
      <c r="V29">
        <f>Napa[[#Totals],[Spanish Total]]</f>
        <v>390</v>
      </c>
      <c r="W29">
        <f>Napa[[#Totals],[Tagalog (Filipino) Total]]</f>
        <v>0</v>
      </c>
      <c r="X29">
        <f>Napa[[#Totals],[Urdu Total]]</f>
        <v>0</v>
      </c>
      <c r="Y29">
        <f>Napa[[#Totals],[Vietnamese Total]]</f>
        <v>0</v>
      </c>
      <c r="Z29">
        <f>Napa[[#Totals],[Other Total]]</f>
        <v>0</v>
      </c>
      <c r="AA29">
        <f>Napa[[#Totals],[Total Seals per Local Educational Agency]]</f>
        <v>540</v>
      </c>
    </row>
    <row r="30" spans="1:27" x14ac:dyDescent="0.35">
      <c r="A30" t="s">
        <v>48</v>
      </c>
      <c r="B30">
        <v>1</v>
      </c>
      <c r="C30" s="17">
        <v>1</v>
      </c>
      <c r="D30">
        <f>Nevada[[#Totals],[American Sign Language Total]]</f>
        <v>0</v>
      </c>
      <c r="E30">
        <f>Nevada[[#Totals],[Arabic Total]]</f>
        <v>0</v>
      </c>
      <c r="F30">
        <f>Nevada[[#Totals],[Armenian Total]]</f>
        <v>0</v>
      </c>
      <c r="G30">
        <f>Nevada[[#Totals],[Bengali Total]]</f>
        <v>0</v>
      </c>
      <c r="H30">
        <f>Nevada[[#Totals],[Chinese (Mandarin or Cantonese) Total]]</f>
        <v>0</v>
      </c>
      <c r="I30">
        <f>Nevada[[#Totals],[Farsi (Persian) Total]]</f>
        <v>0</v>
      </c>
      <c r="J30">
        <f>Nevada[[#Totals],[French Total]]</f>
        <v>0</v>
      </c>
      <c r="K30">
        <f>Nevada[[#Totals],[German Total]]</f>
        <v>0</v>
      </c>
      <c r="L30">
        <f>Nevada[[#Totals],[Hebrew Total]]</f>
        <v>0</v>
      </c>
      <c r="M30">
        <f>Nevada[[#Totals],[Hindi Total]]</f>
        <v>0</v>
      </c>
      <c r="N30">
        <f>Nevada[[#Totals],[Hmong Total]]</f>
        <v>0</v>
      </c>
      <c r="O30">
        <f>Nevada[[#Totals],[Italian Total]]</f>
        <v>0</v>
      </c>
      <c r="P30">
        <f>Nevada[[#Totals],[Japanese Total]]</f>
        <v>0</v>
      </c>
      <c r="Q30">
        <f>Nevada[[#Totals],[Korean Total]]</f>
        <v>0</v>
      </c>
      <c r="R30">
        <f>Nevada[[#Totals],[Latin Total]]</f>
        <v>0</v>
      </c>
      <c r="S30">
        <f>Nevada[[#Totals],[Portuguese Total]]</f>
        <v>0</v>
      </c>
      <c r="T30">
        <f>Nevada[[#Totals],[Punjabi Total]]</f>
        <v>0</v>
      </c>
      <c r="U30">
        <f>Nevada[[#Totals],[Russian Total]]</f>
        <v>0</v>
      </c>
      <c r="V30">
        <f>Nevada[[#Totals],[Spanish Total]]</f>
        <v>1</v>
      </c>
      <c r="W30">
        <f>Nevada[[#Totals],[Tagalog (Filipino) Total]]</f>
        <v>0</v>
      </c>
      <c r="X30">
        <f>Nevada[[#Totals],[Urdu Total]]</f>
        <v>0</v>
      </c>
      <c r="Y30">
        <f>Nevada[[#Totals],[Vietnamese Total]]</f>
        <v>0</v>
      </c>
      <c r="Z30">
        <f>Nevada[[#Totals],[Other Total]]</f>
        <v>0</v>
      </c>
      <c r="AA30">
        <f>Nevada[[#Totals],[Total Seals per Local Educational Agency]]</f>
        <v>1</v>
      </c>
    </row>
    <row r="31" spans="1:27" x14ac:dyDescent="0.35">
      <c r="A31" t="s">
        <v>8</v>
      </c>
      <c r="B31">
        <v>24</v>
      </c>
      <c r="C31" s="18">
        <v>98</v>
      </c>
      <c r="D31" s="3">
        <f>Orange[[#Totals],[American Sign Language Total]]</f>
        <v>133</v>
      </c>
      <c r="E31" s="3">
        <f>Orange[[#Totals],[Arabic Total]]</f>
        <v>21</v>
      </c>
      <c r="F31" s="3">
        <f>Orange[[#Totals],[Armenian Total]]</f>
        <v>0</v>
      </c>
      <c r="G31" s="3">
        <f>Orange[[#Totals],[Bengali Total]]</f>
        <v>0</v>
      </c>
      <c r="H31" s="3">
        <f>Orange[[#Totals],[Chinese (Mandarin or Cantonese) Total]]</f>
        <v>501</v>
      </c>
      <c r="I31" s="3">
        <f>Orange[[#Totals],[Farsi (Persian) Total]]</f>
        <v>4</v>
      </c>
      <c r="J31" s="3">
        <f>Orange[[#Totals],[French Total]]</f>
        <v>627</v>
      </c>
      <c r="K31" s="3">
        <f>Orange[[#Totals],[German Total]]</f>
        <v>41</v>
      </c>
      <c r="L31" s="3">
        <f>Orange[[#Totals],[Hebrew Total]]</f>
        <v>4</v>
      </c>
      <c r="M31" s="3">
        <f>Orange[[#Totals],[Hindi Total]]</f>
        <v>7</v>
      </c>
      <c r="N31" s="3">
        <f>Orange[[#Totals],[Hmong Total]]</f>
        <v>0</v>
      </c>
      <c r="O31" s="3">
        <f>Orange[[#Totals],[Italian Total]]</f>
        <v>4</v>
      </c>
      <c r="P31" s="3">
        <f>Orange[[#Totals],[Japanese Total]]</f>
        <v>74</v>
      </c>
      <c r="Q31" s="3">
        <f>Orange[[#Totals],[Korean Total]]</f>
        <v>278</v>
      </c>
      <c r="R31" s="3">
        <f>Orange[[#Totals],[Latin Total]]</f>
        <v>47</v>
      </c>
      <c r="S31" s="3">
        <f>Orange[[#Totals],[Portuguese Total]]</f>
        <v>2</v>
      </c>
      <c r="T31" s="3">
        <f>Orange[[#Totals],[Punjabi Total]]</f>
        <v>1</v>
      </c>
      <c r="U31" s="3">
        <f>Orange[[#Totals],[Russian Total]]</f>
        <v>12</v>
      </c>
      <c r="V31" s="3">
        <f>Orange[[#Totals],[Spanish Total]]</f>
        <v>7020</v>
      </c>
      <c r="W31" s="3">
        <f>Orange[[#Totals],[Tagalog (Filipino) Total]]</f>
        <v>11</v>
      </c>
      <c r="X31" s="3">
        <f>Orange[[#Totals],[Urdu Total]]</f>
        <v>0</v>
      </c>
      <c r="Y31" s="3">
        <f>Orange[[#Totals],[Vietnamese Total]]</f>
        <v>852</v>
      </c>
      <c r="Z31" s="3">
        <f>Orange[[#Totals],[Other Total]]</f>
        <v>33</v>
      </c>
      <c r="AA31" s="3">
        <f>Orange[[#Totals],[Total Seals per Local Educational Agency]]</f>
        <v>9672</v>
      </c>
    </row>
    <row r="32" spans="1:27" x14ac:dyDescent="0.35">
      <c r="A32" t="s">
        <v>19</v>
      </c>
      <c r="B32">
        <v>9</v>
      </c>
      <c r="C32" s="18">
        <v>23</v>
      </c>
      <c r="D32" s="3">
        <f>Placer1[[#Totals],[American Sign Language Total]]</f>
        <v>66</v>
      </c>
      <c r="E32" s="3">
        <f>Placer1[[#Totals],[Arabic Total]]</f>
        <v>1</v>
      </c>
      <c r="F32" s="3">
        <f>Placer1[[#Totals],[Armenian Total]]</f>
        <v>0</v>
      </c>
      <c r="G32" s="3">
        <f>Placer1[[#Totals],[Bengali Total]]</f>
        <v>0</v>
      </c>
      <c r="H32" s="3">
        <f>Placer1[[#Totals],[Chinese (Mandarin or Cantonese) Total]]</f>
        <v>13</v>
      </c>
      <c r="I32" s="3">
        <f>Placer1[[#Totals],[Farsi (Persian) Total]]</f>
        <v>2</v>
      </c>
      <c r="J32" s="3">
        <f>Placer1[[#Totals],[French Total]]</f>
        <v>65</v>
      </c>
      <c r="K32" s="3">
        <f>Placer1[[#Totals],[German Total]]</f>
        <v>32</v>
      </c>
      <c r="L32" s="3">
        <f>Placer1[[#Totals],[Hebrew Total]]</f>
        <v>0</v>
      </c>
      <c r="M32" s="3">
        <f>Placer1[[#Totals],[Hindi Total]]</f>
        <v>0</v>
      </c>
      <c r="N32" s="3">
        <f>Placer1[[#Totals],[Hmong Total]]</f>
        <v>0</v>
      </c>
      <c r="O32" s="3">
        <f>Placer1[[#Totals],[Italian Total]]</f>
        <v>0</v>
      </c>
      <c r="P32" s="3">
        <f>Placer1[[#Totals],[Japanese Total]]</f>
        <v>1</v>
      </c>
      <c r="Q32" s="3">
        <f>Placer1[[#Totals],[Korean Total]]</f>
        <v>0</v>
      </c>
      <c r="R32" s="3">
        <f>Placer1[[#Totals],[Latin Total]]</f>
        <v>3</v>
      </c>
      <c r="S32" s="3">
        <f>Placer1[[#Totals],[Portuguese Total]]</f>
        <v>0</v>
      </c>
      <c r="T32" s="3">
        <f>Placer1[[#Totals],[Punjabi Total]]</f>
        <v>1</v>
      </c>
      <c r="U32" s="3">
        <f>Placer1[[#Totals],[Russian Total]]</f>
        <v>23</v>
      </c>
      <c r="V32" s="3">
        <f>Placer1[[#Totals],[Spanish Total]]</f>
        <v>999</v>
      </c>
      <c r="W32" s="3">
        <f>Placer1[[#Totals],[Tagalog (Filipino) Total]]</f>
        <v>7</v>
      </c>
      <c r="X32" s="3">
        <f>Placer1[[#Totals],[Urdu Total]]</f>
        <v>0</v>
      </c>
      <c r="Y32" s="3">
        <f>Placer1[[#Totals],[Vietnamese Total]]</f>
        <v>1</v>
      </c>
      <c r="Z32" s="3">
        <f>Placer1[[#Totals],[Other Total]]</f>
        <v>24</v>
      </c>
      <c r="AA32" s="3">
        <f>Placer1[[#Totals],[Total Seals per Local Educational Agency]]</f>
        <v>1238</v>
      </c>
    </row>
    <row r="33" spans="1:27" x14ac:dyDescent="0.35">
      <c r="A33" t="s">
        <v>43</v>
      </c>
      <c r="B33" s="3">
        <v>1</v>
      </c>
      <c r="C33" s="17">
        <v>3</v>
      </c>
      <c r="D33">
        <f>Plumas[[#Totals],[American Sign Language Total]]</f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9</v>
      </c>
      <c r="W33">
        <v>0</v>
      </c>
      <c r="X33">
        <v>0</v>
      </c>
      <c r="Y33">
        <v>0</v>
      </c>
      <c r="Z33">
        <v>0</v>
      </c>
      <c r="AA33" s="3">
        <v>9</v>
      </c>
    </row>
    <row r="34" spans="1:27" x14ac:dyDescent="0.35">
      <c r="A34" t="s">
        <v>0</v>
      </c>
      <c r="B34" s="3">
        <v>24</v>
      </c>
      <c r="C34" s="17">
        <v>82</v>
      </c>
      <c r="D34" s="3">
        <f>SUBTOTAL(109,Riverside[American Sign Language Total])</f>
        <v>339</v>
      </c>
      <c r="E34" s="3">
        <f>SUBTOTAL(109,Riverside[Arabic Total])</f>
        <v>11</v>
      </c>
      <c r="F34" s="3">
        <f>SUBTOTAL(109,Riverside[Armenian Total])</f>
        <v>0</v>
      </c>
      <c r="G34" s="3">
        <f>SUBTOTAL(109,Riverside[Bengali Total])</f>
        <v>0</v>
      </c>
      <c r="H34" s="3">
        <f>SUBTOTAL(109,Riverside[Chinese (Mandarin or Cantonese) Total])</f>
        <v>91</v>
      </c>
      <c r="I34" s="3">
        <f>SUBTOTAL(109,Riverside[Farsi (Persian) Total])</f>
        <v>1</v>
      </c>
      <c r="J34" s="3">
        <f>SUBTOTAL(109,Riverside[French Total])</f>
        <v>162</v>
      </c>
      <c r="K34" s="3">
        <f>SUBTOTAL(109,Riverside[German Total])</f>
        <v>6</v>
      </c>
      <c r="L34" s="3">
        <f>SUBTOTAL(109,Riverside[Hebrew Total])</f>
        <v>0</v>
      </c>
      <c r="M34" s="3">
        <f>SUBTOTAL(109,Riverside[Hindi Total])</f>
        <v>0</v>
      </c>
      <c r="N34" s="3">
        <f>SUBTOTAL(109,Riverside[Hmong Total])</f>
        <v>0</v>
      </c>
      <c r="O34" s="3">
        <f>SUBTOTAL(109,Riverside[Italian Total])</f>
        <v>1</v>
      </c>
      <c r="P34" s="3">
        <f>SUBTOTAL(109,Riverside[Japanese Total])</f>
        <v>7</v>
      </c>
      <c r="Q34" s="3">
        <f>SUBTOTAL(109,Riverside[Korean Total])</f>
        <v>4</v>
      </c>
      <c r="R34" s="3">
        <f>SUBTOTAL(109,Riverside[Latin Total])</f>
        <v>13</v>
      </c>
      <c r="S34" s="3">
        <f>SUBTOTAL(109,Riverside[Portuguese Total])</f>
        <v>1</v>
      </c>
      <c r="T34" s="3">
        <f>SUBTOTAL(109,Riverside[Punjabi Total])</f>
        <v>0</v>
      </c>
      <c r="U34" s="3">
        <f>SUBTOTAL(109,Riverside[Russian Total])</f>
        <v>6</v>
      </c>
      <c r="V34" s="3">
        <f>SUBTOTAL(109,Riverside[Spanish Total])</f>
        <v>4173</v>
      </c>
      <c r="W34" s="3">
        <f>SUBTOTAL(109,Riverside[Tagalog (Filipino) Total])</f>
        <v>200</v>
      </c>
      <c r="X34" s="3">
        <f>SUBTOTAL(109,Riverside[Urdu Total])</f>
        <v>2</v>
      </c>
      <c r="Y34" s="3">
        <f>SUBTOTAL(109,Riverside[Vietnamese Total])</f>
        <v>1</v>
      </c>
      <c r="Z34" s="3">
        <f>SUBTOTAL(109,Riverside[Other Total])</f>
        <v>14</v>
      </c>
      <c r="AA34" s="3">
        <f>SUBTOTAL(109,Riverside[Total Seals per Local Educational Agency])</f>
        <v>5032</v>
      </c>
    </row>
    <row r="35" spans="1:27" x14ac:dyDescent="0.35">
      <c r="A35" t="s">
        <v>61</v>
      </c>
      <c r="B35" s="3">
        <v>17</v>
      </c>
      <c r="C35" s="17">
        <v>63</v>
      </c>
      <c r="D35" s="3">
        <f>Sacramento[[#Totals],[American Sign Language Total]]</f>
        <v>17</v>
      </c>
      <c r="E35" s="3">
        <v>23</v>
      </c>
      <c r="F35" s="3">
        <v>10</v>
      </c>
      <c r="G35" s="3">
        <v>0</v>
      </c>
      <c r="H35" s="3">
        <v>90</v>
      </c>
      <c r="I35" s="3">
        <v>52</v>
      </c>
      <c r="J35" s="3">
        <v>228</v>
      </c>
      <c r="K35" s="3">
        <v>20</v>
      </c>
      <c r="L35" s="3">
        <v>0</v>
      </c>
      <c r="M35" s="3">
        <v>20</v>
      </c>
      <c r="N35" s="3">
        <v>27</v>
      </c>
      <c r="O35" s="3">
        <v>4</v>
      </c>
      <c r="P35" s="3">
        <v>117</v>
      </c>
      <c r="Q35" s="3">
        <v>9</v>
      </c>
      <c r="R35" s="3">
        <v>0</v>
      </c>
      <c r="S35" s="3">
        <v>6</v>
      </c>
      <c r="T35" s="3">
        <v>21</v>
      </c>
      <c r="U35" s="3">
        <v>128</v>
      </c>
      <c r="V35" s="3">
        <v>1493</v>
      </c>
      <c r="W35" s="3">
        <v>12</v>
      </c>
      <c r="X35" s="3">
        <v>20</v>
      </c>
      <c r="Y35" s="3">
        <v>29</v>
      </c>
      <c r="Z35" s="3">
        <v>145</v>
      </c>
      <c r="AA35" s="3">
        <v>2471</v>
      </c>
    </row>
    <row r="36" spans="1:27" x14ac:dyDescent="0.35">
      <c r="A36" t="s">
        <v>46</v>
      </c>
      <c r="B36">
        <v>2</v>
      </c>
      <c r="C36" s="18">
        <v>2</v>
      </c>
      <c r="D36" s="3">
        <f>SanBenito[[#Totals],[American Sign Language Total]]</f>
        <v>31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110</v>
      </c>
      <c r="W36" s="3">
        <v>0</v>
      </c>
      <c r="X36" s="3">
        <v>0</v>
      </c>
      <c r="Y36" s="3">
        <v>0</v>
      </c>
      <c r="Z36" s="3">
        <v>0</v>
      </c>
      <c r="AA36" s="3">
        <v>144</v>
      </c>
    </row>
    <row r="37" spans="1:27" x14ac:dyDescent="0.35">
      <c r="A37" t="s">
        <v>9</v>
      </c>
      <c r="B37">
        <v>36</v>
      </c>
      <c r="C37" s="18">
        <v>90</v>
      </c>
      <c r="D37" s="3">
        <f>SanBernardino[[#Totals],[American Sign Language Total]]</f>
        <v>106</v>
      </c>
      <c r="E37" s="3">
        <v>16</v>
      </c>
      <c r="F37" s="3">
        <v>0</v>
      </c>
      <c r="G37" s="3">
        <v>1</v>
      </c>
      <c r="H37" s="3">
        <v>224</v>
      </c>
      <c r="I37" s="3">
        <v>2</v>
      </c>
      <c r="J37" s="3">
        <v>119</v>
      </c>
      <c r="K37" s="3">
        <v>2</v>
      </c>
      <c r="L37" s="3">
        <v>0</v>
      </c>
      <c r="M37" s="3">
        <v>3</v>
      </c>
      <c r="N37" s="3">
        <v>1</v>
      </c>
      <c r="O37" s="3">
        <v>1</v>
      </c>
      <c r="P37" s="3">
        <v>25</v>
      </c>
      <c r="Q37" s="3">
        <v>25</v>
      </c>
      <c r="R37" s="3">
        <v>9</v>
      </c>
      <c r="S37" s="3">
        <v>6</v>
      </c>
      <c r="T37" s="3">
        <v>1</v>
      </c>
      <c r="U37" s="3">
        <v>4</v>
      </c>
      <c r="V37" s="3">
        <v>4472</v>
      </c>
      <c r="W37" s="3">
        <v>19</v>
      </c>
      <c r="X37" s="3">
        <v>1</v>
      </c>
      <c r="Y37" s="3">
        <v>8</v>
      </c>
      <c r="Z37" s="3">
        <v>17</v>
      </c>
      <c r="AA37" s="3">
        <v>5062</v>
      </c>
    </row>
    <row r="38" spans="1:27" x14ac:dyDescent="0.35">
      <c r="A38" t="s">
        <v>15</v>
      </c>
      <c r="B38" s="3">
        <v>46</v>
      </c>
      <c r="C38" s="17">
        <v>117</v>
      </c>
      <c r="D38" s="3">
        <f>SanDiego[[#Totals],[American Sign Language Total]]</f>
        <v>329</v>
      </c>
      <c r="E38" s="3">
        <f>SUBTOTAL(109,SanDiego[Arabic Total])</f>
        <v>14</v>
      </c>
      <c r="F38" s="3">
        <f>SUBTOTAL(109,SanDiego[Armenian Total])</f>
        <v>0</v>
      </c>
      <c r="G38" s="3">
        <f>SUBTOTAL(109,SanDiego[Bengali Total])</f>
        <v>0</v>
      </c>
      <c r="H38" s="3">
        <f>SUBTOTAL(109,SanDiego[Chinese (Mandarin or Cantonese) Total])</f>
        <v>271</v>
      </c>
      <c r="I38" s="3">
        <f>SUBTOTAL(109,SanDiego[Farsi (Persian) Total])</f>
        <v>9</v>
      </c>
      <c r="J38" s="3">
        <f>SUBTOTAL(109,SanDiego[French Total])</f>
        <v>300</v>
      </c>
      <c r="K38" s="3">
        <f>SUBTOTAL(109,SanDiego[German Total])</f>
        <v>54</v>
      </c>
      <c r="L38" s="3">
        <f>SUBTOTAL(109,SanDiego[Hebrew Total])</f>
        <v>12</v>
      </c>
      <c r="M38" s="3">
        <f>SUBTOTAL(109,SanDiego[Hindi Total])</f>
        <v>0</v>
      </c>
      <c r="N38" s="3">
        <f>SUBTOTAL(109,SanDiego[Hmong Total])</f>
        <v>0</v>
      </c>
      <c r="O38" s="3">
        <f>SUBTOTAL(109,SanDiego[Italian Total])</f>
        <v>17</v>
      </c>
      <c r="P38" s="3">
        <f>SUBTOTAL(109,SanDiego[Japanese Total])</f>
        <v>105</v>
      </c>
      <c r="Q38" s="3">
        <f>SUBTOTAL(109,SanDiego[Korean Total])</f>
        <v>11</v>
      </c>
      <c r="R38" s="3">
        <f>SUBTOTAL(109,SanDiego[Latin Total])</f>
        <v>46</v>
      </c>
      <c r="S38" s="3">
        <f>SUBTOTAL(109,SanDiego[Portuguese Total])</f>
        <v>8</v>
      </c>
      <c r="T38" s="3">
        <f>SUBTOTAL(109,SanDiego[Punjabi Total])</f>
        <v>0</v>
      </c>
      <c r="U38" s="3">
        <f>SUBTOTAL(109,SanDiego[Russian Total])</f>
        <v>15</v>
      </c>
      <c r="V38" s="3">
        <f>SUBTOTAL(109,SanDiego[Spanish Total])</f>
        <v>4475</v>
      </c>
      <c r="W38" s="3">
        <f>SUBTOTAL(109,SanDiego[Tagalog (Filipino) Total])</f>
        <v>100</v>
      </c>
      <c r="X38" s="3">
        <f>SUBTOTAL(109,SanDiego[Urdu Total])</f>
        <v>1</v>
      </c>
      <c r="Y38" s="3">
        <f>SUBTOTAL(109,SanDiego[Vietnamese Total])</f>
        <v>2</v>
      </c>
      <c r="Z38" s="3">
        <f>SUBTOTAL(109,SanDiego[Other Total])</f>
        <v>29</v>
      </c>
      <c r="AA38" s="3">
        <f>SUBTOTAL(109,SanDiego[Total Seals per Local Educational Agency])</f>
        <v>5798</v>
      </c>
    </row>
    <row r="39" spans="1:27" x14ac:dyDescent="0.35">
      <c r="A39" t="s">
        <v>34</v>
      </c>
      <c r="B39">
        <v>4</v>
      </c>
      <c r="C39" s="18">
        <v>18</v>
      </c>
      <c r="D39" s="3">
        <f>SanFrancisco[[#Totals],[American Sign Language Total]]</f>
        <v>0</v>
      </c>
      <c r="E39" s="3">
        <v>5</v>
      </c>
      <c r="F39" s="3">
        <v>0</v>
      </c>
      <c r="G39" s="3">
        <v>0</v>
      </c>
      <c r="H39" s="3">
        <v>290</v>
      </c>
      <c r="I39" s="3">
        <v>0</v>
      </c>
      <c r="J39" s="3">
        <v>2</v>
      </c>
      <c r="K39" s="3">
        <v>0</v>
      </c>
      <c r="L39" s="3">
        <v>0</v>
      </c>
      <c r="M39" s="3">
        <v>0</v>
      </c>
      <c r="N39" s="3">
        <v>0</v>
      </c>
      <c r="O39" s="3">
        <v>12</v>
      </c>
      <c r="P39" s="3">
        <v>69</v>
      </c>
      <c r="Q39" s="3">
        <v>20</v>
      </c>
      <c r="R39" s="3">
        <v>5</v>
      </c>
      <c r="S39" s="3">
        <v>1</v>
      </c>
      <c r="T39" s="3">
        <v>0</v>
      </c>
      <c r="U39" s="3">
        <v>10</v>
      </c>
      <c r="V39" s="3">
        <v>364</v>
      </c>
      <c r="W39" s="3">
        <v>10</v>
      </c>
      <c r="X39" s="3">
        <v>0</v>
      </c>
      <c r="Y39" s="3">
        <v>6</v>
      </c>
      <c r="Z39" s="3">
        <v>0</v>
      </c>
      <c r="AA39" s="3">
        <v>794</v>
      </c>
    </row>
    <row r="40" spans="1:27" x14ac:dyDescent="0.35">
      <c r="A40" t="s">
        <v>12</v>
      </c>
      <c r="B40">
        <v>15</v>
      </c>
      <c r="C40" s="18">
        <v>35</v>
      </c>
      <c r="D40" s="3">
        <f>SanJoaquin[[#Totals],[American Sign Language Total]]</f>
        <v>3</v>
      </c>
      <c r="E40" s="3">
        <v>7</v>
      </c>
      <c r="F40" s="3">
        <v>0</v>
      </c>
      <c r="G40" s="3">
        <v>0</v>
      </c>
      <c r="H40" s="3">
        <v>10</v>
      </c>
      <c r="I40" s="3">
        <v>1</v>
      </c>
      <c r="J40" s="3">
        <v>100</v>
      </c>
      <c r="K40" s="3">
        <v>0</v>
      </c>
      <c r="L40" s="3">
        <v>0</v>
      </c>
      <c r="M40" s="3">
        <v>1</v>
      </c>
      <c r="N40" s="3">
        <v>0</v>
      </c>
      <c r="O40" s="3">
        <v>42</v>
      </c>
      <c r="P40" s="3">
        <v>6</v>
      </c>
      <c r="Q40" s="3">
        <v>0</v>
      </c>
      <c r="R40" s="3">
        <v>0</v>
      </c>
      <c r="S40" s="3">
        <v>0</v>
      </c>
      <c r="T40" s="3">
        <v>2</v>
      </c>
      <c r="U40" s="3">
        <v>0</v>
      </c>
      <c r="V40" s="3">
        <v>1408</v>
      </c>
      <c r="W40" s="3">
        <v>12</v>
      </c>
      <c r="X40" s="3">
        <v>2</v>
      </c>
      <c r="Y40" s="3">
        <v>1</v>
      </c>
      <c r="Z40" s="3">
        <v>25</v>
      </c>
      <c r="AA40" s="3">
        <v>1620</v>
      </c>
    </row>
    <row r="41" spans="1:27" x14ac:dyDescent="0.35">
      <c r="A41" t="s">
        <v>25</v>
      </c>
      <c r="B41" s="3">
        <v>4</v>
      </c>
      <c r="C41" s="17">
        <v>8</v>
      </c>
      <c r="D41" s="3">
        <f>SanLuisObispo[[#Totals],[American Sign Language Total]]</f>
        <v>53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2</v>
      </c>
      <c r="Q41" s="3">
        <v>0</v>
      </c>
      <c r="R41" s="3">
        <v>13</v>
      </c>
      <c r="S41" s="3">
        <v>0</v>
      </c>
      <c r="T41" s="3">
        <v>0</v>
      </c>
      <c r="U41" s="3">
        <v>0</v>
      </c>
      <c r="V41" s="3">
        <v>207</v>
      </c>
      <c r="W41" s="3">
        <v>0</v>
      </c>
      <c r="X41" s="3">
        <v>0</v>
      </c>
      <c r="Y41" s="3">
        <v>0</v>
      </c>
      <c r="Z41" s="3">
        <v>1</v>
      </c>
      <c r="AA41" s="3">
        <v>278</v>
      </c>
    </row>
    <row r="42" spans="1:27" x14ac:dyDescent="0.35">
      <c r="A42" t="s">
        <v>17</v>
      </c>
      <c r="B42" s="3">
        <v>7</v>
      </c>
      <c r="C42" s="17">
        <v>17</v>
      </c>
      <c r="D42" s="3">
        <f>SanMateo[[#Totals],[American Sign Language Total]]</f>
        <v>0</v>
      </c>
      <c r="E42" s="3">
        <v>1</v>
      </c>
      <c r="F42" s="3">
        <v>0</v>
      </c>
      <c r="G42" s="3">
        <v>0</v>
      </c>
      <c r="H42" s="3">
        <v>179</v>
      </c>
      <c r="I42" s="3">
        <v>0</v>
      </c>
      <c r="J42" s="3">
        <v>31</v>
      </c>
      <c r="K42" s="3">
        <v>1</v>
      </c>
      <c r="L42" s="3">
        <v>0</v>
      </c>
      <c r="M42" s="3">
        <v>0</v>
      </c>
      <c r="N42" s="3">
        <v>0</v>
      </c>
      <c r="O42" s="3">
        <v>29</v>
      </c>
      <c r="P42" s="3">
        <v>18</v>
      </c>
      <c r="Q42" s="3">
        <v>0</v>
      </c>
      <c r="R42" s="3">
        <v>0</v>
      </c>
      <c r="S42" s="3">
        <v>2</v>
      </c>
      <c r="T42" s="3">
        <v>0</v>
      </c>
      <c r="U42" s="3">
        <v>1</v>
      </c>
      <c r="V42" s="3">
        <v>581</v>
      </c>
      <c r="W42" s="3">
        <v>32</v>
      </c>
      <c r="X42" s="3">
        <v>0</v>
      </c>
      <c r="Y42" s="3">
        <v>1</v>
      </c>
      <c r="Z42" s="3">
        <v>4</v>
      </c>
      <c r="AA42" s="3">
        <v>880</v>
      </c>
    </row>
    <row r="43" spans="1:27" x14ac:dyDescent="0.35">
      <c r="A43" t="s">
        <v>30</v>
      </c>
      <c r="B43">
        <v>7</v>
      </c>
      <c r="C43" s="18">
        <v>15</v>
      </c>
      <c r="D43" s="3">
        <f>SantaBarbara[[#Totals],[American Sign Language Total]]</f>
        <v>6</v>
      </c>
      <c r="E43" s="3">
        <v>0</v>
      </c>
      <c r="F43" s="3">
        <v>0</v>
      </c>
      <c r="G43" s="3">
        <v>0</v>
      </c>
      <c r="H43" s="3">
        <v>5</v>
      </c>
      <c r="I43" s="3">
        <v>0</v>
      </c>
      <c r="J43" s="3">
        <v>50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4</v>
      </c>
      <c r="Q43" s="3">
        <v>2</v>
      </c>
      <c r="R43" s="3">
        <v>1</v>
      </c>
      <c r="S43" s="3">
        <v>0</v>
      </c>
      <c r="T43" s="3">
        <v>0</v>
      </c>
      <c r="U43" s="3">
        <v>0</v>
      </c>
      <c r="V43" s="3">
        <v>787</v>
      </c>
      <c r="W43" s="3">
        <v>1</v>
      </c>
      <c r="X43" s="3">
        <v>0</v>
      </c>
      <c r="Y43" s="3">
        <v>0</v>
      </c>
      <c r="Z43" s="3">
        <v>9</v>
      </c>
      <c r="AA43" s="3">
        <v>868</v>
      </c>
    </row>
    <row r="44" spans="1:27" x14ac:dyDescent="0.35">
      <c r="A44" t="s">
        <v>26</v>
      </c>
      <c r="B44" s="4">
        <v>18</v>
      </c>
      <c r="C44" s="18">
        <v>61</v>
      </c>
      <c r="D44" s="3">
        <f>SantaClara[[#Totals],[American Sign Language Total]]</f>
        <v>37</v>
      </c>
      <c r="E44" s="3">
        <v>8</v>
      </c>
      <c r="F44" s="3">
        <v>0</v>
      </c>
      <c r="G44" s="3">
        <v>25</v>
      </c>
      <c r="H44" s="3">
        <v>978</v>
      </c>
      <c r="I44" s="3">
        <v>27</v>
      </c>
      <c r="J44" s="3">
        <v>470</v>
      </c>
      <c r="K44" s="3">
        <v>43</v>
      </c>
      <c r="L44" s="3">
        <v>44</v>
      </c>
      <c r="M44" s="3">
        <v>14</v>
      </c>
      <c r="N44" s="3">
        <v>0</v>
      </c>
      <c r="O44" s="3">
        <v>5</v>
      </c>
      <c r="P44" s="3">
        <v>271</v>
      </c>
      <c r="Q44" s="3">
        <v>51</v>
      </c>
      <c r="R44" s="3">
        <v>6</v>
      </c>
      <c r="S44" s="3">
        <v>6</v>
      </c>
      <c r="T44" s="3">
        <v>0</v>
      </c>
      <c r="U44" s="3">
        <v>23</v>
      </c>
      <c r="V44" s="3">
        <v>2670</v>
      </c>
      <c r="W44" s="3">
        <v>14</v>
      </c>
      <c r="X44" s="3">
        <v>3</v>
      </c>
      <c r="Y44" s="3">
        <v>145</v>
      </c>
      <c r="Z44" s="3">
        <v>18</v>
      </c>
      <c r="AA44" s="3">
        <v>4858</v>
      </c>
    </row>
    <row r="45" spans="1:27" x14ac:dyDescent="0.35">
      <c r="A45" t="s">
        <v>6</v>
      </c>
      <c r="B45" s="4">
        <v>6</v>
      </c>
      <c r="C45" s="18">
        <v>12</v>
      </c>
      <c r="D45" s="3">
        <f>SantaCruz[[#Totals],[American Sign Language Total]]</f>
        <v>4</v>
      </c>
      <c r="E45" s="3">
        <f>SantaCruz[[#Totals],[Arabic Total]]</f>
        <v>1</v>
      </c>
      <c r="F45" s="3">
        <f>SantaCruz[[#Totals],[Armenian Total]]</f>
        <v>0</v>
      </c>
      <c r="G45" s="3">
        <f>SantaCruz[[#Totals],[Bengali Total]]</f>
        <v>0</v>
      </c>
      <c r="H45" s="3">
        <f>SantaCruz[[#Totals],[Chinese (Mandarin or Cantonese) Total]]</f>
        <v>4</v>
      </c>
      <c r="I45" s="3">
        <f>SantaCruz[[#Totals],[Farsi (Persian) Total]]</f>
        <v>0</v>
      </c>
      <c r="J45" s="3">
        <f>SantaCruz[[#Totals],[French Total]]</f>
        <v>14</v>
      </c>
      <c r="K45" s="3">
        <f>SantaCruz[[#Totals],[German Total]]</f>
        <v>2</v>
      </c>
      <c r="L45" s="3">
        <f>SantaCruz[[#Totals],[Hebrew Total]]</f>
        <v>0</v>
      </c>
      <c r="M45" s="3">
        <f>SantaCruz[[#Totals],[Hindi Total]]</f>
        <v>0</v>
      </c>
      <c r="N45" s="3">
        <f>SantaCruz[[#Totals],[Hmong Total]]</f>
        <v>0</v>
      </c>
      <c r="O45" s="3">
        <f>SantaCruz[[#Totals],[Italian Total]]</f>
        <v>0</v>
      </c>
      <c r="P45" s="3">
        <f>SantaCruz[[#Totals],[Japanese Total]]</f>
        <v>1</v>
      </c>
      <c r="Q45" s="3">
        <f>SantaCruz[[#Totals],[Korean Total]]</f>
        <v>0</v>
      </c>
      <c r="R45" s="3">
        <f>SantaCruz[[#Totals],[Latin Total]]</f>
        <v>1</v>
      </c>
      <c r="S45" s="3">
        <f>SantaCruz[[#Totals],[Portuguese Total]]</f>
        <v>0</v>
      </c>
      <c r="T45" s="3">
        <f>SantaCruz[[#Totals],[Punjabi Total]]</f>
        <v>0</v>
      </c>
      <c r="U45" s="3">
        <f>SantaCruz[[#Totals],[Russian Total]]</f>
        <v>0</v>
      </c>
      <c r="V45" s="3">
        <f>SantaCruz[[#Totals],[Spanish Total]]</f>
        <v>401</v>
      </c>
      <c r="W45" s="3">
        <f>SantaCruz[[#Totals],[Tagalog (Filipino) Total]]</f>
        <v>0</v>
      </c>
      <c r="X45" s="3">
        <f>SantaCruz[[#Totals],[Urdu Total]]</f>
        <v>0</v>
      </c>
      <c r="Y45" s="3">
        <f>SantaCruz[[#Totals],[Vietnamese Total]]</f>
        <v>0</v>
      </c>
      <c r="Z45" s="3">
        <f>SantaCruz[[#Totals],[Other Total]]</f>
        <v>3</v>
      </c>
      <c r="AA45" s="3">
        <f>SantaCruz[[#Totals],[Total Seals per Local Educational Agency]]</f>
        <v>431</v>
      </c>
    </row>
    <row r="46" spans="1:27" x14ac:dyDescent="0.35">
      <c r="A46" t="s">
        <v>84</v>
      </c>
      <c r="B46" s="4">
        <v>4</v>
      </c>
      <c r="C46" s="18">
        <v>6</v>
      </c>
      <c r="D46" s="3">
        <f>SUBTOTAL(109,Shasta[American Sign Language Total])</f>
        <v>37</v>
      </c>
      <c r="E46" s="3">
        <f>SUBTOTAL(109,Shasta[Arabic Total])</f>
        <v>1</v>
      </c>
      <c r="F46" s="3">
        <f>SUBTOTAL(109,Shasta[Armenian Total])</f>
        <v>0</v>
      </c>
      <c r="G46" s="3">
        <f>SUBTOTAL(109,Shasta[Bengali Total])</f>
        <v>0</v>
      </c>
      <c r="H46" s="3">
        <f>SUBTOTAL(109,Shasta[Chinese (Mandarin or Cantonese) Total])</f>
        <v>9</v>
      </c>
      <c r="I46" s="3">
        <f>SUBTOTAL(109,Shasta[Farsi (Persian) Total])</f>
        <v>2</v>
      </c>
      <c r="J46" s="3">
        <f>SUBTOTAL(109,Shasta[French Total])</f>
        <v>0</v>
      </c>
      <c r="K46" s="3">
        <f>SUBTOTAL(109,Shasta[German Total])</f>
        <v>0</v>
      </c>
      <c r="L46" s="3">
        <f>SUBTOTAL(109,Shasta[Hebrew Total])</f>
        <v>0</v>
      </c>
      <c r="M46" s="3">
        <f>SUBTOTAL(109,Shasta[Hindi Total])</f>
        <v>0</v>
      </c>
      <c r="N46" s="3">
        <f>SUBTOTAL(109,Shasta[Hmong Total])</f>
        <v>0</v>
      </c>
      <c r="O46" s="3">
        <f>SUBTOTAL(109,Shasta[Italian Total])</f>
        <v>0</v>
      </c>
      <c r="P46" s="3">
        <f>SUBTOTAL(109,Shasta[Japanese Total])</f>
        <v>0</v>
      </c>
      <c r="Q46" s="3">
        <f>SUBTOTAL(109,Shasta[Korean Total])</f>
        <v>0</v>
      </c>
      <c r="R46" s="3">
        <f>SUBTOTAL(109,Shasta[Latin Total])</f>
        <v>1</v>
      </c>
      <c r="S46" s="3">
        <f>SUBTOTAL(109,Shasta[Portuguese Total])</f>
        <v>0</v>
      </c>
      <c r="T46" s="3">
        <f>SUBTOTAL(109,Shasta[Punjabi Total])</f>
        <v>1</v>
      </c>
      <c r="U46" s="3">
        <f>SUBTOTAL(109,Shasta[Russian Total])</f>
        <v>0</v>
      </c>
      <c r="V46" s="3">
        <f>SUBTOTAL(109,Shasta[Spanish Total])</f>
        <v>48</v>
      </c>
      <c r="W46" s="3">
        <f>SUBTOTAL(109,Shasta[Tagalog (Filipino) Total])</f>
        <v>0</v>
      </c>
      <c r="X46" s="3">
        <f>SUBTOTAL(109,Shasta[Urdu Total])</f>
        <v>0</v>
      </c>
      <c r="Y46" s="3">
        <f>SUBTOTAL(109,Shasta[Vietnamese Total])</f>
        <v>0</v>
      </c>
      <c r="Z46" s="3">
        <f>SUBTOTAL(109,Shasta[Other Total])</f>
        <v>0</v>
      </c>
      <c r="AA46" s="3">
        <f>SUBTOTAL(109,Shasta[Total Seals per Local Educational Agency])</f>
        <v>99</v>
      </c>
    </row>
    <row r="47" spans="1:27" x14ac:dyDescent="0.35">
      <c r="A47" t="s">
        <v>85</v>
      </c>
      <c r="B47" s="4">
        <v>1</v>
      </c>
      <c r="C47" s="18">
        <v>1</v>
      </c>
      <c r="D47" s="3">
        <f>Sierra[[#Totals],[American Sign Language Total]]</f>
        <v>0</v>
      </c>
      <c r="E47" s="3">
        <f>Sierra[[#Totals],[Arabic Total]]</f>
        <v>0</v>
      </c>
      <c r="F47" s="3">
        <f>Sierra[[#Totals],[Armenian Total]]</f>
        <v>0</v>
      </c>
      <c r="G47" s="3">
        <f>Sierra[[#Totals],[Bengali Total]]</f>
        <v>0</v>
      </c>
      <c r="H47" s="3">
        <f>Sierra[[#Totals],[Chinese (Mandarin or Cantonese) Total]]</f>
        <v>0</v>
      </c>
      <c r="I47" s="3">
        <f>Sierra[[#Totals],[Farsi (Persian) Total]]</f>
        <v>0</v>
      </c>
      <c r="J47" s="3">
        <f>Sierra[[#Totals],[French Total]]</f>
        <v>0</v>
      </c>
      <c r="K47" s="3">
        <f>Sierra[[#Totals],[German Total]]</f>
        <v>0</v>
      </c>
      <c r="L47" s="3">
        <f>Sierra[[#Totals],[Hebrew Total]]</f>
        <v>0</v>
      </c>
      <c r="M47" s="3">
        <f>Sierra[[#Totals],[Hindi Total]]</f>
        <v>0</v>
      </c>
      <c r="N47" s="3">
        <f>Sierra[[#Totals],[Hmong Total]]</f>
        <v>0</v>
      </c>
      <c r="O47" s="3">
        <f>Sierra[[#Totals],[Italian Total]]</f>
        <v>0</v>
      </c>
      <c r="P47" s="3">
        <f>Sierra[[#Totals],[Japanese Total]]</f>
        <v>0</v>
      </c>
      <c r="Q47" s="3">
        <f>Sierra[[#Totals],[Korean Total]]</f>
        <v>0</v>
      </c>
      <c r="R47" s="3">
        <f>Sierra[[#Totals],[Latin Total]]</f>
        <v>0</v>
      </c>
      <c r="S47" s="3">
        <f>Sierra[[#Totals],[Portuguese Total]]</f>
        <v>0</v>
      </c>
      <c r="T47" s="3">
        <f>Sierra[[#Totals],[Punjabi Total]]</f>
        <v>0</v>
      </c>
      <c r="U47" s="3">
        <f>Sierra[[#Totals],[Russian Total]]</f>
        <v>0</v>
      </c>
      <c r="V47" s="3">
        <f>Sierra[[#Totals],[Spanish Total]]</f>
        <v>5</v>
      </c>
      <c r="W47" s="3">
        <f>Sierra[[#Totals],[Tagalog (Filipino) Total]]</f>
        <v>0</v>
      </c>
      <c r="X47" s="3">
        <f>Sierra[[#Totals],[Urdu Total]]</f>
        <v>0</v>
      </c>
      <c r="Y47" s="3">
        <f>Sierra[[#Totals],[Vietnamese Total]]</f>
        <v>0</v>
      </c>
      <c r="Z47" s="3">
        <f>Sierra[[#Totals],[Other Total]]</f>
        <v>0</v>
      </c>
      <c r="AA47" s="3">
        <f>Sierra[[#Totals],[Total Seals per Local Educational Agency]]</f>
        <v>5</v>
      </c>
    </row>
    <row r="48" spans="1:27" x14ac:dyDescent="0.35">
      <c r="A48" t="s">
        <v>86</v>
      </c>
      <c r="B48" s="4">
        <v>1</v>
      </c>
      <c r="C48" s="18">
        <v>1</v>
      </c>
      <c r="D48" s="3">
        <f>Siskiyou[[#Totals],[American Sign Language Total]]</f>
        <v>0</v>
      </c>
      <c r="E48" s="3">
        <f>Siskiyou[[#Totals],[Arabic Total]]</f>
        <v>0</v>
      </c>
      <c r="F48" s="3">
        <f>Siskiyou[[#Totals],[Armenian Total]]</f>
        <v>0</v>
      </c>
      <c r="G48" s="3">
        <f>Siskiyou[[#Totals],[Bengali Total]]</f>
        <v>0</v>
      </c>
      <c r="H48" s="3">
        <f>Siskiyou[[#Totals],[Chinese (Mandarin or Cantonese) Total]]</f>
        <v>0</v>
      </c>
      <c r="I48" s="3">
        <f>Siskiyou[[#Totals],[Farsi (Persian) Total]]</f>
        <v>0</v>
      </c>
      <c r="J48" s="3">
        <f>Siskiyou[[#Totals],[French Total]]</f>
        <v>0</v>
      </c>
      <c r="K48" s="3">
        <f>Siskiyou[[#Totals],[German Total]]</f>
        <v>0</v>
      </c>
      <c r="L48" s="3">
        <f>Siskiyou[[#Totals],[Hebrew Total]]</f>
        <v>0</v>
      </c>
      <c r="M48" s="3">
        <f>Siskiyou[[#Totals],[Hindi Total]]</f>
        <v>0</v>
      </c>
      <c r="N48" s="3">
        <f>Siskiyou[[#Totals],[Hmong Total]]</f>
        <v>0</v>
      </c>
      <c r="O48" s="3">
        <f>Siskiyou[[#Totals],[Italian Total]]</f>
        <v>0</v>
      </c>
      <c r="P48" s="3">
        <f>Siskiyou[[#Totals],[Japanese Total]]</f>
        <v>0</v>
      </c>
      <c r="Q48" s="3">
        <f>Siskiyou[[#Totals],[Korean Total]]</f>
        <v>0</v>
      </c>
      <c r="R48" s="3">
        <f>Siskiyou[[#Totals],[Latin Total]]</f>
        <v>0</v>
      </c>
      <c r="S48" s="3">
        <f>Siskiyou[[#Totals],[Portuguese Total]]</f>
        <v>0</v>
      </c>
      <c r="T48" s="3">
        <f>Siskiyou[[#Totals],[Punjabi Total]]</f>
        <v>0</v>
      </c>
      <c r="U48" s="3">
        <f>Siskiyou[[#Totals],[Russian Total]]</f>
        <v>0</v>
      </c>
      <c r="V48" s="3">
        <f>Siskiyou[[#Totals],[Spanish Total]]</f>
        <v>4</v>
      </c>
      <c r="W48" s="3">
        <f>Siskiyou[[#Totals],[Tagalog (Filipino) Total]]</f>
        <v>0</v>
      </c>
      <c r="X48" s="3">
        <f>Siskiyou[[#Totals],[Urdu Total]]</f>
        <v>0</v>
      </c>
      <c r="Y48" s="3">
        <f>Siskiyou[[#Totals],[Vietnamese Total]]</f>
        <v>0</v>
      </c>
      <c r="Z48" s="3">
        <f>Siskiyou[[#Totals],[Other Total]]</f>
        <v>0</v>
      </c>
      <c r="AA48" s="3">
        <f>Siskiyou[[#Totals],[Total Seals per Local Educational Agency]]</f>
        <v>4</v>
      </c>
    </row>
    <row r="49" spans="1:27" x14ac:dyDescent="0.35">
      <c r="A49" t="s">
        <v>21</v>
      </c>
      <c r="B49" s="4">
        <v>7</v>
      </c>
      <c r="C49" s="18">
        <v>13</v>
      </c>
      <c r="D49" s="3">
        <f>Solano[[#Totals],[American Sign Language Total]]</f>
        <v>7</v>
      </c>
      <c r="E49" s="3">
        <f>Solano[[#Totals],[Arabic Total]]</f>
        <v>0</v>
      </c>
      <c r="F49" s="3">
        <f>Solano[[#Totals],[Armenian Total]]</f>
        <v>0</v>
      </c>
      <c r="G49" s="3">
        <f>Solano[[#Totals],[Bengali Total]]</f>
        <v>0</v>
      </c>
      <c r="H49" s="3">
        <f>Solano[[#Totals],[Chinese (Mandarin or Cantonese) Total]]</f>
        <v>0</v>
      </c>
      <c r="I49" s="3">
        <f>Solano[[#Totals],[Farsi (Persian) Total]]</f>
        <v>0</v>
      </c>
      <c r="J49" s="3">
        <f>Solano[[#Totals],[French Total]]</f>
        <v>38</v>
      </c>
      <c r="K49" s="3">
        <f>Solano[[#Totals],[German Total]]</f>
        <v>14</v>
      </c>
      <c r="L49" s="3">
        <f>Solano[[#Totals],[Hebrew Total]]</f>
        <v>0</v>
      </c>
      <c r="M49" s="3">
        <f>Solano[[#Totals],[Hindi Total]]</f>
        <v>0</v>
      </c>
      <c r="N49" s="3">
        <f>Solano[[#Totals],[Hmong Total]]</f>
        <v>0</v>
      </c>
      <c r="O49" s="3">
        <f>Solano[[#Totals],[Italian Total]]</f>
        <v>0</v>
      </c>
      <c r="P49" s="3">
        <f>Solano[[#Totals],[Japanese Total]]</f>
        <v>2</v>
      </c>
      <c r="Q49" s="3">
        <f>Solano[[#Totals],[Korean Total]]</f>
        <v>1</v>
      </c>
      <c r="R49" s="3">
        <f>Solano[[#Totals],[Latin Total]]</f>
        <v>0</v>
      </c>
      <c r="S49" s="3">
        <f>Solano[[#Totals],[Portuguese Total]]</f>
        <v>0</v>
      </c>
      <c r="T49" s="3">
        <f>Solano[[#Totals],[Punjabi Total]]</f>
        <v>0</v>
      </c>
      <c r="U49" s="3">
        <f>Solano[[#Totals],[Russian Total]]</f>
        <v>1</v>
      </c>
      <c r="V49" s="3">
        <f>Solano[[#Totals],[Spanish Total]]</f>
        <v>468</v>
      </c>
      <c r="W49" s="3">
        <f>Solano[[#Totals],[Tagalog (Filipino) Total]]</f>
        <v>8</v>
      </c>
      <c r="X49" s="3">
        <f>Solano[[#Totals],[Urdu Total]]</f>
        <v>0</v>
      </c>
      <c r="Y49" s="3">
        <f>Solano[[#Totals],[Vietnamese Total]]</f>
        <v>2</v>
      </c>
      <c r="Z49" s="3">
        <f>Solano[[#Totals],[Other Total]]</f>
        <v>0</v>
      </c>
      <c r="AA49" s="3">
        <f>Solano[[#Totals],[Total Seals per Local Educational Agency]]</f>
        <v>541</v>
      </c>
    </row>
    <row r="50" spans="1:27" x14ac:dyDescent="0.35">
      <c r="A50" t="s">
        <v>3</v>
      </c>
      <c r="B50" s="4">
        <v>10</v>
      </c>
      <c r="C50" s="18">
        <v>16</v>
      </c>
      <c r="D50" s="3">
        <f>Sonoma[[#Totals],[American Sign Language Total]]</f>
        <v>0</v>
      </c>
      <c r="E50" s="3">
        <f>Sonoma[[#Totals],[Arabic Total]]</f>
        <v>0</v>
      </c>
      <c r="F50" s="3">
        <f>Sonoma[[#Totals],[Armenian Total]]</f>
        <v>0</v>
      </c>
      <c r="G50" s="3">
        <f>Sonoma[[#Totals],[Bengali Total]]</f>
        <v>0</v>
      </c>
      <c r="H50" s="3">
        <f>Sonoma[[#Totals],[Chinese (Mandarin or Cantonese) Total]]</f>
        <v>15</v>
      </c>
      <c r="I50" s="3">
        <f>Sonoma[[#Totals],[Farsi (Persian) Total]]</f>
        <v>0</v>
      </c>
      <c r="J50" s="3">
        <f>Sonoma[[#Totals],[French Total]]</f>
        <v>47</v>
      </c>
      <c r="K50" s="3">
        <f>Sonoma[[#Totals],[German Total]]</f>
        <v>0</v>
      </c>
      <c r="L50" s="3">
        <f>Sonoma[[#Totals],[Hebrew Total]]</f>
        <v>0</v>
      </c>
      <c r="M50" s="3">
        <f>Sonoma[[#Totals],[Hindi Total]]</f>
        <v>0</v>
      </c>
      <c r="N50" s="3">
        <f>Sonoma[[#Totals],[Hmong Total]]</f>
        <v>0</v>
      </c>
      <c r="O50" s="3">
        <f>Sonoma[[#Totals],[Italian Total]]</f>
        <v>0</v>
      </c>
      <c r="P50" s="3">
        <f>Sonoma[[#Totals],[Japanese Total]]</f>
        <v>2</v>
      </c>
      <c r="Q50" s="3">
        <f>Sonoma[[#Totals],[Korean Total]]</f>
        <v>0</v>
      </c>
      <c r="R50" s="3">
        <f>Sonoma[[#Totals],[Latin Total]]</f>
        <v>0</v>
      </c>
      <c r="S50" s="3">
        <f>Sonoma[[#Totals],[Portuguese Total]]</f>
        <v>0</v>
      </c>
      <c r="T50" s="3">
        <f>Sonoma[[#Totals],[Punjabi Total]]</f>
        <v>0</v>
      </c>
      <c r="U50" s="3">
        <f>Sonoma[[#Totals],[Russian Total]]</f>
        <v>0</v>
      </c>
      <c r="V50" s="3">
        <f>Sonoma[[#Totals],[Spanish Total]]</f>
        <v>748</v>
      </c>
      <c r="W50" s="3">
        <f>Sonoma[[#Totals],[Tagalog (Filipino) Total]]</f>
        <v>35</v>
      </c>
      <c r="X50" s="3">
        <f>Sonoma[[#Totals],[Urdu Total]]</f>
        <v>0</v>
      </c>
      <c r="Y50" s="3">
        <f>Sonoma[[#Totals],[Vietnamese Total]]</f>
        <v>0</v>
      </c>
      <c r="Z50" s="3">
        <f>Sonoma[[#Totals],[Other Total]]</f>
        <v>0</v>
      </c>
      <c r="AA50" s="3">
        <f>Sonoma[[#Totals],[Total Seals per Local Educational Agency]]</f>
        <v>847</v>
      </c>
    </row>
    <row r="51" spans="1:27" x14ac:dyDescent="0.35">
      <c r="A51" t="s">
        <v>7</v>
      </c>
      <c r="B51" s="4">
        <v>9</v>
      </c>
      <c r="C51" s="18">
        <v>19</v>
      </c>
      <c r="D51" s="3">
        <f>Stanislaus[[#Totals],[American Sign Language Total]]</f>
        <v>0</v>
      </c>
      <c r="E51" s="3">
        <f>Stanislaus[[#Totals],[Arabic Total]]</f>
        <v>3</v>
      </c>
      <c r="F51" s="3">
        <f>Stanislaus[[#Totals],[Armenian Total]]</f>
        <v>0</v>
      </c>
      <c r="G51" s="3">
        <f>Stanislaus[[#Totals],[Bengali Total]]</f>
        <v>0</v>
      </c>
      <c r="H51" s="3">
        <f>Stanislaus[[#Totals],[Chinese (Mandarin or Cantonese) Total]]</f>
        <v>2</v>
      </c>
      <c r="I51" s="3">
        <f>Stanislaus[[#Totals],[Farsi (Persian) Total]]</f>
        <v>0</v>
      </c>
      <c r="J51" s="3">
        <f>Stanislaus[[#Totals],[French Total]]</f>
        <v>14</v>
      </c>
      <c r="K51" s="3">
        <f>Stanislaus[[#Totals],[German Total]]</f>
        <v>2</v>
      </c>
      <c r="L51" s="3">
        <f>Stanislaus[[#Totals],[Hebrew Total]]</f>
        <v>0</v>
      </c>
      <c r="M51" s="3">
        <f>Stanislaus[[#Totals],[Hindi Total]]</f>
        <v>3</v>
      </c>
      <c r="N51" s="3">
        <f>Stanislaus[[#Totals],[Hmong Total]]</f>
        <v>0</v>
      </c>
      <c r="O51" s="3">
        <f>Stanislaus[[#Totals],[Italian Total]]</f>
        <v>2</v>
      </c>
      <c r="P51" s="3">
        <f>Stanislaus[[#Totals],[Japanese Total]]</f>
        <v>0</v>
      </c>
      <c r="Q51" s="3">
        <f>Stanislaus[[#Totals],[Korean Total]]</f>
        <v>0</v>
      </c>
      <c r="R51" s="3">
        <f>Stanislaus[[#Totals],[Latin Total]]</f>
        <v>0</v>
      </c>
      <c r="S51" s="3">
        <f>Stanislaus[[#Totals],[Portuguese Total]]</f>
        <v>7</v>
      </c>
      <c r="T51" s="3">
        <f>Stanislaus[[#Totals],[Punjabi Total]]</f>
        <v>6</v>
      </c>
      <c r="U51" s="3">
        <f>Stanislaus[[#Totals],[Russian Total]]</f>
        <v>0</v>
      </c>
      <c r="V51" s="3">
        <f>Stanislaus[[#Totals],[Spanish Total]]</f>
        <v>693</v>
      </c>
      <c r="W51" s="3">
        <f>Stanislaus[[#Totals],[Tagalog (Filipino) Total]]</f>
        <v>0</v>
      </c>
      <c r="X51" s="3">
        <f>Stanislaus[[#Totals],[Urdu Total]]</f>
        <v>0</v>
      </c>
      <c r="Y51" s="3">
        <f>Stanislaus[[#Totals],[Vietnamese Total]]</f>
        <v>0</v>
      </c>
      <c r="Z51" s="3">
        <f>Stanislaus[[#Totals],[Other Total]]</f>
        <v>3</v>
      </c>
      <c r="AA51" s="3">
        <f>Stanislaus[[#Totals],[Total Seals per Local Educational Agency]]</f>
        <v>735</v>
      </c>
    </row>
    <row r="52" spans="1:27" x14ac:dyDescent="0.35">
      <c r="A52" t="s">
        <v>18</v>
      </c>
      <c r="B52" s="4">
        <v>6</v>
      </c>
      <c r="C52" s="18">
        <v>9</v>
      </c>
      <c r="D52" s="3">
        <f>Sutter[[#Totals],[American Sign Language Total]]</f>
        <v>4</v>
      </c>
      <c r="E52" s="3">
        <f>Sutter[[#Totals],[Arabic Total]]</f>
        <v>5</v>
      </c>
      <c r="F52" s="3">
        <f>Sutter[[#Totals],[Armenian Total]]</f>
        <v>0</v>
      </c>
      <c r="G52" s="3">
        <f>Sutter[[#Totals],[Bengali Total]]</f>
        <v>0</v>
      </c>
      <c r="H52" s="3">
        <f>Sutter[[#Totals],[Chinese (Mandarin or Cantonese) Total]]</f>
        <v>1</v>
      </c>
      <c r="I52" s="3">
        <f>Sutter[[#Totals],[Farsi (Persian) Total]]</f>
        <v>0</v>
      </c>
      <c r="J52" s="3">
        <f>Sutter[[#Totals],[French Total]]</f>
        <v>0</v>
      </c>
      <c r="K52" s="3">
        <f>Sutter[[#Totals],[German Total]]</f>
        <v>0</v>
      </c>
      <c r="L52" s="3">
        <f>Sutter[[#Totals],[Hebrew Total]]</f>
        <v>0</v>
      </c>
      <c r="M52" s="3">
        <f>Sutter[[#Totals],[Hindi Total]]</f>
        <v>0</v>
      </c>
      <c r="N52" s="3">
        <f>Sutter[[#Totals],[Hmong Total]]</f>
        <v>0</v>
      </c>
      <c r="O52" s="3">
        <f>Sutter[[#Totals],[Italian Total]]</f>
        <v>0</v>
      </c>
      <c r="P52" s="3">
        <f>Sutter[[#Totals],[Japanese Total]]</f>
        <v>0</v>
      </c>
      <c r="Q52" s="3">
        <f>Sutter[[#Totals],[Korean Total]]</f>
        <v>0</v>
      </c>
      <c r="R52" s="3">
        <f>Sutter[[#Totals],[Latin Total]]</f>
        <v>2</v>
      </c>
      <c r="S52" s="3">
        <f>Sutter[[#Totals],[Portuguese Total]]</f>
        <v>0</v>
      </c>
      <c r="T52" s="3">
        <f>Sutter[[#Totals],[Punjabi Total]]</f>
        <v>126</v>
      </c>
      <c r="U52" s="3">
        <f>Sutter[[#Totals],[Russian Total]]</f>
        <v>4</v>
      </c>
      <c r="V52" s="3">
        <f>Sutter[[#Totals],[Spanish Total]]</f>
        <v>164</v>
      </c>
      <c r="W52" s="3">
        <f>Sutter[[#Totals],[Tagalog (Filipino) Total]]</f>
        <v>0</v>
      </c>
      <c r="X52" s="3">
        <f>Sutter[[#Totals],[Urdu Total]]</f>
        <v>0</v>
      </c>
      <c r="Y52" s="3">
        <f>Sutter[[#Totals],[Vietnamese Total]]</f>
        <v>0</v>
      </c>
      <c r="Z52" s="3">
        <f>Sutter[[#Totals],[Other Total]]</f>
        <v>5</v>
      </c>
      <c r="AA52" s="3">
        <f>Sutter[[#Totals],[Total Seals per Local Educational Agency]]</f>
        <v>311</v>
      </c>
    </row>
    <row r="53" spans="1:27" x14ac:dyDescent="0.35">
      <c r="A53" t="s">
        <v>2</v>
      </c>
      <c r="B53" s="4">
        <v>2</v>
      </c>
      <c r="C53" s="18">
        <v>2</v>
      </c>
      <c r="D53" s="3">
        <f>Tehama[[#Totals],[American Sign Language Total]]</f>
        <v>0</v>
      </c>
      <c r="E53" s="3">
        <f>Tehama[[#Totals],[Arabic Total]]</f>
        <v>0</v>
      </c>
      <c r="F53" s="3">
        <f>Tehama[[#Totals],[Armenian Total]]</f>
        <v>0</v>
      </c>
      <c r="G53" s="3">
        <f>Tehama[[#Totals],[Bengali Total]]</f>
        <v>0</v>
      </c>
      <c r="H53" s="3">
        <f>Tehama[[#Totals],[Chinese (Mandarin or Cantonese) Total]]</f>
        <v>0</v>
      </c>
      <c r="I53" s="3">
        <f>Tehama[[#Totals],[Farsi (Persian) Total]]</f>
        <v>0</v>
      </c>
      <c r="J53" s="3">
        <f>Tehama[[#Totals],[French Total]]</f>
        <v>0</v>
      </c>
      <c r="K53" s="3">
        <f>Tehama[[#Totals],[German Total]]</f>
        <v>0</v>
      </c>
      <c r="L53" s="3">
        <f>Tehama[[#Totals],[Hebrew Total]]</f>
        <v>0</v>
      </c>
      <c r="M53" s="3">
        <f>Tehama[[#Totals],[Hindi Total]]</f>
        <v>0</v>
      </c>
      <c r="N53" s="3">
        <f>Tehama[[#Totals],[Hmong Total]]</f>
        <v>0</v>
      </c>
      <c r="O53" s="3">
        <f>Tehama[[#Totals],[Italian Total]]</f>
        <v>0</v>
      </c>
      <c r="P53" s="3">
        <f>Tehama[[#Totals],[Japanese Total]]</f>
        <v>0</v>
      </c>
      <c r="Q53" s="3">
        <f>Tehama[[#Totals],[Korean Total]]</f>
        <v>0</v>
      </c>
      <c r="R53" s="3">
        <f>Tehama[[#Totals],[Latin Total]]</f>
        <v>0</v>
      </c>
      <c r="S53" s="3">
        <f>Tehama[[#Totals],[Portuguese Total]]</f>
        <v>0</v>
      </c>
      <c r="T53" s="3">
        <f>Tehama[[#Totals],[Punjabi Total]]</f>
        <v>0</v>
      </c>
      <c r="U53" s="3">
        <f>Tehama[[#Totals],[Russian Total]]</f>
        <v>0</v>
      </c>
      <c r="V53" s="3">
        <f>Tehama[[#Totals],[Spanish Total]]</f>
        <v>30</v>
      </c>
      <c r="W53" s="3">
        <f>Tehama[[#Totals],[Tagalog (Filipino) Total]]</f>
        <v>0</v>
      </c>
      <c r="X53" s="3">
        <f>Tehama[[#Totals],[Urdu Total]]</f>
        <v>0</v>
      </c>
      <c r="Y53" s="3">
        <f>Tehama[[#Totals],[Vietnamese Total]]</f>
        <v>0</v>
      </c>
      <c r="Z53" s="3">
        <f>Tehama[[#Totals],[Other Total]]</f>
        <v>0</v>
      </c>
      <c r="AA53" s="3">
        <f>Tehama[[#Totals],[Total Seals per Local Educational Agency]]</f>
        <v>30</v>
      </c>
    </row>
    <row r="54" spans="1:27" x14ac:dyDescent="0.35">
      <c r="A54" t="s">
        <v>989</v>
      </c>
      <c r="B54" s="19">
        <v>2</v>
      </c>
      <c r="C54" s="20">
        <v>2</v>
      </c>
      <c r="D54" s="3">
        <f>Tulare47[[#Totals],[American Sign Language Total]]</f>
        <v>0</v>
      </c>
      <c r="E54" s="3">
        <f>Tulare47[[#Totals],[Arabic Total]]</f>
        <v>0</v>
      </c>
      <c r="F54" s="3">
        <f>Tulare47[[#Totals],[Armenian Total]]</f>
        <v>0</v>
      </c>
      <c r="G54" s="3">
        <f>Tulare47[[#Totals],[Bengali Total]]</f>
        <v>0</v>
      </c>
      <c r="H54" s="3">
        <f>Tulare47[[#Totals],[Chinese (Mandarin or Cantonese) Total]]</f>
        <v>0</v>
      </c>
      <c r="I54" s="3">
        <f>Tulare47[[#Totals],[Farsi (Persian) Total]]</f>
        <v>0</v>
      </c>
      <c r="J54" s="3">
        <f>Tulare47[[#Totals],[French Total]]</f>
        <v>0</v>
      </c>
      <c r="K54" s="3">
        <f>Tulare47[[#Totals],[German Total]]</f>
        <v>0</v>
      </c>
      <c r="L54" s="3">
        <f>Tulare47[[#Totals],[Hebrew Total]]</f>
        <v>0</v>
      </c>
      <c r="M54" s="3">
        <f>Tulare47[[#Totals],[Hindi Total]]</f>
        <v>0</v>
      </c>
      <c r="N54" s="3">
        <f>Tulare47[[#Totals],[Hmong Total]]</f>
        <v>10</v>
      </c>
      <c r="O54" s="3">
        <f>Tulare47[[#Totals],[Italian Total]]</f>
        <v>0</v>
      </c>
      <c r="P54" s="3">
        <f>Tulare47[[#Totals],[Japanese Total]]</f>
        <v>0</v>
      </c>
      <c r="Q54" s="3">
        <f>Tulare47[[#Totals],[Korean Total]]</f>
        <v>0</v>
      </c>
      <c r="R54" s="3">
        <f>Tulare47[[#Totals],[Latin Total]]</f>
        <v>0</v>
      </c>
      <c r="S54" s="3">
        <f>Tulare47[[#Totals],[Portuguese Total]]</f>
        <v>0</v>
      </c>
      <c r="T54" s="3">
        <f>Tulare47[[#Totals],[Punjabi Total]]</f>
        <v>0</v>
      </c>
      <c r="U54" s="3">
        <f>Tulare47[[#Totals],[Russian Total]]</f>
        <v>0</v>
      </c>
      <c r="V54" s="3">
        <f>Tulare47[[#Totals],[Spanish Total]]</f>
        <v>10</v>
      </c>
      <c r="W54" s="3">
        <f>Tulare47[[#Totals],[Tagalog (Filipino) Total]]</f>
        <v>0</v>
      </c>
      <c r="X54" s="3">
        <f>Tulare47[[#Totals],[Urdu Total]]</f>
        <v>0</v>
      </c>
      <c r="Y54" s="3">
        <f>Tulare47[[#Totals],[Vietnamese Total]]</f>
        <v>0</v>
      </c>
      <c r="Z54" s="3">
        <f>Tulare47[[#Totals],[Other Total]]</f>
        <v>0</v>
      </c>
      <c r="AA54" s="3">
        <f>Tulare47[[#Totals],[Total Seals per Local Educational Agency]]</f>
        <v>20</v>
      </c>
    </row>
    <row r="55" spans="1:27" x14ac:dyDescent="0.35">
      <c r="A55" t="s">
        <v>5</v>
      </c>
      <c r="B55" s="4">
        <v>13</v>
      </c>
      <c r="C55" s="18">
        <v>27</v>
      </c>
      <c r="D55" s="3">
        <f>SUBTOTAL(109,Tulare[American Sign Language Total])</f>
        <v>21</v>
      </c>
      <c r="E55" s="3">
        <f>SUBTOTAL(109,Tulare[Arabic Total])</f>
        <v>0</v>
      </c>
      <c r="F55" s="3">
        <f>SUBTOTAL(109,Tulare[Armenian Total])</f>
        <v>0</v>
      </c>
      <c r="G55" s="3">
        <f>SUBTOTAL(109,Tulare[Bengali Total])</f>
        <v>1</v>
      </c>
      <c r="H55" s="3">
        <f>SUBTOTAL(109,Tulare[Chinese (Mandarin or Cantonese) Total])</f>
        <v>1</v>
      </c>
      <c r="I55" s="3">
        <f>SUBTOTAL(109,Tulare[Farsi (Persian) Total])</f>
        <v>0</v>
      </c>
      <c r="J55" s="3">
        <f>SUBTOTAL(109,Tulare[French Total])</f>
        <v>23</v>
      </c>
      <c r="K55" s="3">
        <f>SUBTOTAL(109,Tulare[German Total])</f>
        <v>0</v>
      </c>
      <c r="L55" s="3">
        <f>SUBTOTAL(109,Tulare[Hebrew Total])</f>
        <v>0</v>
      </c>
      <c r="M55" s="3">
        <f>SUBTOTAL(109,Tulare[Hindi Total])</f>
        <v>0</v>
      </c>
      <c r="N55" s="3">
        <f>SUBTOTAL(109,Tulare[Hmong Total])</f>
        <v>0</v>
      </c>
      <c r="O55" s="3">
        <f>SUBTOTAL(109,Tulare[Italian Total])</f>
        <v>0</v>
      </c>
      <c r="P55" s="3">
        <f>SUBTOTAL(109,Tulare[Japanese Total])</f>
        <v>1</v>
      </c>
      <c r="Q55" s="3">
        <f>SUBTOTAL(109,Tulare[Korean Total])</f>
        <v>0</v>
      </c>
      <c r="R55" s="3">
        <f>SUBTOTAL(109,Tulare[Latin Total])</f>
        <v>0</v>
      </c>
      <c r="S55" s="3">
        <f>SUBTOTAL(109,Tulare[Portuguese Total])</f>
        <v>63</v>
      </c>
      <c r="T55" s="3">
        <f>SUBTOTAL(109,Tulare[Punjabi Total])</f>
        <v>0</v>
      </c>
      <c r="U55" s="3">
        <f>SUBTOTAL(109,Tulare[Russian Total])</f>
        <v>0</v>
      </c>
      <c r="V55" s="3">
        <f>SUBTOTAL(109,Tulare[Spanish Total])</f>
        <v>915</v>
      </c>
      <c r="W55" s="3">
        <f>SUBTOTAL(109,Tulare[Tagalog (Filipino) Total])</f>
        <v>3</v>
      </c>
      <c r="X55" s="3">
        <f>SUBTOTAL(109,Tulare[Urdu Total])</f>
        <v>0</v>
      </c>
      <c r="Y55" s="3">
        <f>SUBTOTAL(109,Tulare[Vietnamese Total])</f>
        <v>0</v>
      </c>
      <c r="Z55" s="3">
        <f>SUBTOTAL(109,Tulare[Other Total])</f>
        <v>3</v>
      </c>
      <c r="AA55" s="3">
        <f>SUBTOTAL(109,Tulare[Total Seals per Local Educational Agency])</f>
        <v>1031</v>
      </c>
    </row>
    <row r="56" spans="1:27" x14ac:dyDescent="0.35">
      <c r="A56" t="s">
        <v>175</v>
      </c>
      <c r="B56" s="19">
        <f>Ventura4[[#Totals],[American Sign Language Total]]</f>
        <v>0</v>
      </c>
      <c r="C56" s="20">
        <v>3</v>
      </c>
      <c r="D56" s="3">
        <f>Ventura4[[#Totals],[American Sign Language Total]]</f>
        <v>0</v>
      </c>
      <c r="E56" s="3">
        <f>Ventura4[[#Totals],[Arabic Total]]</f>
        <v>0</v>
      </c>
      <c r="F56" s="3">
        <f>Ventura4[[#Totals],[Armenian Total]]</f>
        <v>0</v>
      </c>
      <c r="G56" s="3">
        <f>Ventura4[[#Totals],[Bengali Total]]</f>
        <v>0</v>
      </c>
      <c r="H56" s="3">
        <f>Ventura4[[#Totals],[Chinese (Mandarin or Cantonese) Total]]</f>
        <v>0</v>
      </c>
      <c r="I56" s="3">
        <f>Ventura4[[#Totals],[Farsi (Persian) Total]]</f>
        <v>0</v>
      </c>
      <c r="J56" s="3">
        <f>Ventura4[[#Totals],[French Total]]</f>
        <v>0</v>
      </c>
      <c r="K56" s="3">
        <f>Ventura4[[#Totals],[German Total]]</f>
        <v>0</v>
      </c>
      <c r="L56" s="3">
        <f>Ventura4[[#Totals],[Hebrew Total]]</f>
        <v>0</v>
      </c>
      <c r="M56" s="3">
        <f>Ventura4[[#Totals],[Hindi Total]]</f>
        <v>0</v>
      </c>
      <c r="N56" s="3">
        <f>Ventura4[[#Totals],[Hmong Total]]</f>
        <v>0</v>
      </c>
      <c r="O56" s="3">
        <f>Ventura4[[#Totals],[Italian Total]]</f>
        <v>0</v>
      </c>
      <c r="P56" s="3">
        <f>Ventura4[[#Totals],[Japanese Total]]</f>
        <v>0</v>
      </c>
      <c r="Q56" s="3">
        <f>Ventura4[[#Totals],[Korean Total]]</f>
        <v>0</v>
      </c>
      <c r="R56" s="3">
        <f>Ventura4[[#Totals],[Latin Total]]</f>
        <v>0</v>
      </c>
      <c r="S56" s="3">
        <f>Ventura4[[#Totals],[Portuguese Total]]</f>
        <v>0</v>
      </c>
      <c r="T56" s="3">
        <f>Ventura4[[#Totals],[Punjabi Total]]</f>
        <v>0</v>
      </c>
      <c r="U56" s="3">
        <f>Ventura4[[#Totals],[Russian Total]]</f>
        <v>0</v>
      </c>
      <c r="V56" s="3">
        <f>Ventura4[[#Totals],[Spanish Total]]</f>
        <v>18</v>
      </c>
      <c r="W56" s="3">
        <f>Ventura4[[#Totals],[Tagalog (Filipino) Total]]</f>
        <v>19</v>
      </c>
      <c r="X56" s="3">
        <f>Ventura4[[#Totals],[Urdu Total]]</f>
        <v>0</v>
      </c>
      <c r="Y56" s="3">
        <f>Ventura4[[#Totals],[Vietnamese Total]]</f>
        <v>0</v>
      </c>
      <c r="Z56" s="3">
        <f>Ventura4[[#Totals],[Other Total]]</f>
        <v>0</v>
      </c>
      <c r="AA56" s="3">
        <f>Ventura4[[#Totals],[Total Seals per Local Educational Agency]]</f>
        <v>37</v>
      </c>
    </row>
    <row r="57" spans="1:27" x14ac:dyDescent="0.35">
      <c r="A57" t="s">
        <v>38</v>
      </c>
      <c r="B57" s="4">
        <v>10</v>
      </c>
      <c r="C57" s="18">
        <v>28</v>
      </c>
      <c r="D57" s="3">
        <f>Ventura[[#Totals],[American Sign Language Total]]</f>
        <v>25</v>
      </c>
      <c r="E57" s="3">
        <f>Ventura[[#Totals],[Arabic Total]]</f>
        <v>1</v>
      </c>
      <c r="F57" s="3">
        <f>Ventura[[#Totals],[Armenian Total]]</f>
        <v>0</v>
      </c>
      <c r="G57" s="3">
        <f>Ventura[[#Totals],[Bengali Total]]</f>
        <v>0</v>
      </c>
      <c r="H57" s="3">
        <f>Ventura[[#Totals],[Chinese (Mandarin or Cantonese) Total]]</f>
        <v>55</v>
      </c>
      <c r="I57" s="3">
        <f>Ventura[[#Totals],[Farsi (Persian) Total]]</f>
        <v>0</v>
      </c>
      <c r="J57" s="3">
        <f>Ventura[[#Totals],[French Total]]</f>
        <v>103</v>
      </c>
      <c r="K57" s="3">
        <f>Ventura[[#Totals],[German Total]]</f>
        <v>16</v>
      </c>
      <c r="L57" s="3">
        <f>Ventura[[#Totals],[Hebrew Total]]</f>
        <v>4</v>
      </c>
      <c r="M57" s="3">
        <f>Ventura[[#Totals],[Hindi Total]]</f>
        <v>0</v>
      </c>
      <c r="N57" s="3">
        <f>Ventura[[#Totals],[Hmong Total]]</f>
        <v>0</v>
      </c>
      <c r="O57" s="3">
        <f>Ventura[[#Totals],[Italian Total]]</f>
        <v>1</v>
      </c>
      <c r="P57" s="3">
        <f>Ventura[[#Totals],[Japanese Total]]</f>
        <v>3</v>
      </c>
      <c r="Q57" s="3">
        <f>Ventura[[#Totals],[Korean Total]]</f>
        <v>0</v>
      </c>
      <c r="R57" s="3">
        <f>Ventura[[#Totals],[Latin Total]]</f>
        <v>0</v>
      </c>
      <c r="S57" s="3">
        <f>Ventura[[#Totals],[Portuguese Total]]</f>
        <v>1</v>
      </c>
      <c r="T57" s="3">
        <f>Ventura[[#Totals],[Punjabi Total]]</f>
        <v>0</v>
      </c>
      <c r="U57" s="3">
        <f>Ventura[[#Totals],[Russian Total]]</f>
        <v>3</v>
      </c>
      <c r="V57" s="3">
        <f>Ventura[[#Totals],[Spanish Total]]</f>
        <v>1170</v>
      </c>
      <c r="W57" s="3">
        <f>Ventura[[#Totals],[Tagalog (Filipino) Total]]</f>
        <v>2</v>
      </c>
      <c r="X57" s="3">
        <f>Ventura[[#Totals],[Urdu Total]]</f>
        <v>0</v>
      </c>
      <c r="Y57" s="3">
        <f>Ventura[[#Totals],[Vietnamese Total]]</f>
        <v>1</v>
      </c>
      <c r="Z57" s="3">
        <f>Ventura[[#Totals],[Other Total]]</f>
        <v>11</v>
      </c>
      <c r="AA57" s="3">
        <f>Ventura[[#Totals],[Total Seals per Local Educational Agency]]</f>
        <v>1396</v>
      </c>
    </row>
    <row r="58" spans="1:27" x14ac:dyDescent="0.35">
      <c r="A58" t="s">
        <v>32</v>
      </c>
      <c r="B58" s="3">
        <v>5</v>
      </c>
      <c r="C58" s="17">
        <v>10</v>
      </c>
      <c r="D58" s="3">
        <f>Yolo[[#Totals],[American Sign Language Total]]</f>
        <v>0</v>
      </c>
      <c r="E58" s="3">
        <f>Yolo[[#Totals],[Arabic Total]]</f>
        <v>0</v>
      </c>
      <c r="F58" s="3">
        <f>Yolo[[#Totals],[Armenian Total]]</f>
        <v>1</v>
      </c>
      <c r="G58" s="3">
        <f>Yolo[[#Totals],[Bengali Total]]</f>
        <v>0</v>
      </c>
      <c r="H58" s="3">
        <f>Yolo[[#Totals],[Chinese (Mandarin or Cantonese) Total]]</f>
        <v>16</v>
      </c>
      <c r="I58" s="3">
        <f>Yolo[[#Totals],[Farsi (Persian) Total]]</f>
        <v>7</v>
      </c>
      <c r="J58" s="3">
        <f>Yolo[[#Totals],[French Total]]</f>
        <v>16</v>
      </c>
      <c r="K58" s="3">
        <f>Yolo[[#Totals],[German Total]]</f>
        <v>2</v>
      </c>
      <c r="L58" s="3">
        <f>Yolo[[#Totals],[Hebrew Total]]</f>
        <v>1</v>
      </c>
      <c r="M58" s="3">
        <f>Yolo[[#Totals],[Hindi Total]]</f>
        <v>1</v>
      </c>
      <c r="N58" s="3">
        <f>Yolo[[#Totals],[Hmong Total]]</f>
        <v>0</v>
      </c>
      <c r="O58" s="3">
        <f>Yolo[[#Totals],[Italian Total]]</f>
        <v>1</v>
      </c>
      <c r="P58" s="3">
        <f>Yolo[[#Totals],[Japanese Total]]</f>
        <v>4</v>
      </c>
      <c r="Q58" s="3">
        <f>Yolo[[#Totals],[Korean Total]]</f>
        <v>3</v>
      </c>
      <c r="R58" s="3">
        <f>Yolo[[#Totals],[Latin Total]]</f>
        <v>0</v>
      </c>
      <c r="S58" s="3">
        <f>Yolo[[#Totals],[Portuguese Total]]</f>
        <v>0</v>
      </c>
      <c r="T58" s="3">
        <f>Yolo[[#Totals],[Punjabi Total]]</f>
        <v>4</v>
      </c>
      <c r="U58" s="3">
        <f>Yolo[[#Totals],[Russian Total]]</f>
        <v>39</v>
      </c>
      <c r="V58" s="3">
        <f>Yolo[[#Totals],[Spanish Total]]</f>
        <v>322</v>
      </c>
      <c r="W58" s="3">
        <f>Yolo[[#Totals],[Tagalog (Filipino) Total]]</f>
        <v>1</v>
      </c>
      <c r="X58" s="3">
        <f>Yolo[[#Totals],[Urdu Total]]</f>
        <v>7</v>
      </c>
      <c r="Y58" s="3">
        <f>Yolo[[#Totals],[Vietnamese Total]]</f>
        <v>0</v>
      </c>
      <c r="Z58" s="3">
        <f>Yolo[[#Totals],[Other Total]]</f>
        <v>6</v>
      </c>
      <c r="AA58" s="3">
        <f>Yolo[[#Totals],[Total Seals per Local Educational Agency]]</f>
        <v>431</v>
      </c>
    </row>
    <row r="59" spans="1:27" x14ac:dyDescent="0.35">
      <c r="A59" t="s">
        <v>41</v>
      </c>
      <c r="B59" s="3">
        <v>2</v>
      </c>
      <c r="C59" s="17">
        <v>5</v>
      </c>
      <c r="D59" s="3">
        <f>SUBTOTAL(109,Yuba[American Sign Language Total])</f>
        <v>5</v>
      </c>
      <c r="E59" s="3">
        <f>SUBTOTAL(109,Yuba[Arabic Total])</f>
        <v>0</v>
      </c>
      <c r="F59" s="3">
        <f>SUBTOTAL(109,Yuba[Armenian Total])</f>
        <v>0</v>
      </c>
      <c r="G59" s="3">
        <f>SUBTOTAL(109,Yuba[Bengali Total])</f>
        <v>0</v>
      </c>
      <c r="H59" s="3">
        <f>SUBTOTAL(109,Yuba[Chinese (Mandarin or Cantonese) Total])</f>
        <v>0</v>
      </c>
      <c r="I59" s="3">
        <f>SUBTOTAL(109,Yuba[Farsi (Persian) Total])</f>
        <v>0</v>
      </c>
      <c r="J59" s="3">
        <f>SUBTOTAL(109,Yuba[French Total])</f>
        <v>0</v>
      </c>
      <c r="K59" s="3">
        <f>SUBTOTAL(109,Yuba[German Total])</f>
        <v>0</v>
      </c>
      <c r="L59" s="3">
        <f>SUBTOTAL(109,Yuba[Hebrew Total])</f>
        <v>0</v>
      </c>
      <c r="M59" s="3">
        <f>SUBTOTAL(109,Yuba[Hindi Total])</f>
        <v>0</v>
      </c>
      <c r="N59" s="3">
        <f>SUBTOTAL(109,Yuba[Hmong Total])</f>
        <v>0</v>
      </c>
      <c r="O59" s="3">
        <f>SUBTOTAL(109,Yuba[Italian Total])</f>
        <v>5</v>
      </c>
      <c r="P59" s="3">
        <f>SUBTOTAL(109,Yuba[Japanese Total])</f>
        <v>0</v>
      </c>
      <c r="Q59" s="3">
        <f>SUBTOTAL(109,Yuba[Korean Total])</f>
        <v>0</v>
      </c>
      <c r="R59" s="3">
        <f>SUBTOTAL(109,Yuba[Latin Total])</f>
        <v>0</v>
      </c>
      <c r="S59" s="3">
        <f>SUBTOTAL(109,Yuba[Portuguese Total])</f>
        <v>1</v>
      </c>
      <c r="T59" s="3">
        <f>SUBTOTAL(109,Yuba[Punjabi Total])</f>
        <v>1</v>
      </c>
      <c r="U59" s="3">
        <f>SUBTOTAL(109,Yuba[Russian Total])</f>
        <v>2</v>
      </c>
      <c r="V59" s="3">
        <f>SUBTOTAL(109,Yuba[Spanish Total])</f>
        <v>43</v>
      </c>
      <c r="W59" s="3">
        <f>SUBTOTAL(109,Yuba[Tagalog (Filipino) Total])</f>
        <v>1</v>
      </c>
      <c r="X59" s="3">
        <f>SUBTOTAL(109,Yuba[Urdu Total])</f>
        <v>0</v>
      </c>
      <c r="Y59" s="3">
        <f>SUBTOTAL(109,Yuba[Vietnamese Total])</f>
        <v>0</v>
      </c>
      <c r="Z59" s="3">
        <f>SUBTOTAL(109,Yuba[Other Total])</f>
        <v>0</v>
      </c>
      <c r="AA59" s="3">
        <f>SUBTOTAL(109,Yuba[Total Seals per Local Educational Agency])</f>
        <v>58</v>
      </c>
    </row>
    <row r="60" spans="1:27" x14ac:dyDescent="0.35">
      <c r="A60" s="24" t="s">
        <v>1020</v>
      </c>
      <c r="B60" s="25">
        <f t="shared" ref="B60:Z60" si="0">SUM(B5:B59)</f>
        <v>524</v>
      </c>
      <c r="C60" s="25">
        <f t="shared" si="0"/>
        <v>1475</v>
      </c>
      <c r="D60" s="25">
        <f t="shared" si="0"/>
        <v>1614</v>
      </c>
      <c r="E60" s="25">
        <f t="shared" si="0"/>
        <v>218</v>
      </c>
      <c r="F60" s="25">
        <f t="shared" si="0"/>
        <v>198</v>
      </c>
      <c r="G60" s="25">
        <f t="shared" si="0"/>
        <v>47</v>
      </c>
      <c r="H60" s="25">
        <f t="shared" si="0"/>
        <v>4753</v>
      </c>
      <c r="I60" s="25">
        <f t="shared" si="0"/>
        <v>131</v>
      </c>
      <c r="J60" s="25">
        <f t="shared" si="0"/>
        <v>4101</v>
      </c>
      <c r="K60" s="25">
        <f t="shared" si="0"/>
        <v>429</v>
      </c>
      <c r="L60" s="25">
        <f t="shared" si="0"/>
        <v>81</v>
      </c>
      <c r="M60" s="25">
        <f t="shared" si="0"/>
        <v>70</v>
      </c>
      <c r="N60" s="25">
        <f t="shared" si="0"/>
        <v>150</v>
      </c>
      <c r="O60" s="25">
        <f t="shared" si="0"/>
        <v>191</v>
      </c>
      <c r="P60" s="25">
        <f t="shared" si="0"/>
        <v>1324</v>
      </c>
      <c r="Q60" s="25">
        <f t="shared" si="0"/>
        <v>917</v>
      </c>
      <c r="R60" s="25">
        <f t="shared" si="0"/>
        <v>380</v>
      </c>
      <c r="S60" s="25">
        <f t="shared" si="0"/>
        <v>121</v>
      </c>
      <c r="T60" s="25">
        <f t="shared" si="0"/>
        <v>210</v>
      </c>
      <c r="U60" s="25">
        <f t="shared" si="0"/>
        <v>438</v>
      </c>
      <c r="V60" s="25">
        <f t="shared" si="0"/>
        <v>61718</v>
      </c>
      <c r="W60" s="25">
        <f t="shared" si="0"/>
        <v>589</v>
      </c>
      <c r="X60" s="25">
        <f t="shared" si="0"/>
        <v>56</v>
      </c>
      <c r="Y60" s="25">
        <f t="shared" si="0"/>
        <v>1141</v>
      </c>
      <c r="Z60" s="25">
        <f t="shared" si="0"/>
        <v>520</v>
      </c>
      <c r="AA60" s="25">
        <f>SUM(AA5:AA59)</f>
        <v>79397</v>
      </c>
    </row>
  </sheetData>
  <phoneticPr fontId="19" type="noConversion"/>
  <pageMargins left="0.7" right="0.7" top="0.75" bottom="0.75" header="0.3" footer="0.3"/>
  <pageSetup orientation="landscape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6"/>
  <sheetViews>
    <sheetView showGridLines="0" zoomScaleNormal="100" workbookViewId="0"/>
  </sheetViews>
  <sheetFormatPr defaultColWidth="9.07421875" defaultRowHeight="15.5" x14ac:dyDescent="0.35"/>
  <cols>
    <col min="1" max="1" width="45.69140625" style="10" customWidth="1"/>
    <col min="2" max="2" width="45.23046875" style="10" customWidth="1"/>
    <col min="3" max="3" width="11" customWidth="1"/>
    <col min="4" max="4" width="8.4609375" bestFit="1" customWidth="1"/>
    <col min="5" max="5" width="11.23046875" bestFit="1" customWidth="1"/>
    <col min="6" max="6" width="9.4609375" bestFit="1" customWidth="1"/>
    <col min="7" max="7" width="13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8.843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3.15234375" customWidth="1"/>
  </cols>
  <sheetData>
    <row r="1" spans="1:26" ht="18" x14ac:dyDescent="0.4">
      <c r="A1" s="26" t="s">
        <v>4</v>
      </c>
    </row>
    <row r="2" spans="1:26" s="4" customFormat="1" ht="62" x14ac:dyDescent="0.35">
      <c r="A2" s="8" t="s">
        <v>65</v>
      </c>
      <c r="B2" s="8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s="4" customFormat="1" ht="31" x14ac:dyDescent="0.35">
      <c r="A3" s="10" t="s">
        <v>91</v>
      </c>
      <c r="B3" s="10" t="s">
        <v>178</v>
      </c>
      <c r="C3">
        <v>0</v>
      </c>
      <c r="D3">
        <v>0</v>
      </c>
      <c r="E3">
        <v>0</v>
      </c>
      <c r="F3">
        <v>0</v>
      </c>
      <c r="G3">
        <v>51</v>
      </c>
      <c r="H3">
        <v>0</v>
      </c>
      <c r="I3">
        <v>7</v>
      </c>
      <c r="J3">
        <v>1</v>
      </c>
      <c r="K3">
        <v>0</v>
      </c>
      <c r="L3">
        <v>0</v>
      </c>
      <c r="M3">
        <v>0</v>
      </c>
      <c r="N3">
        <v>0</v>
      </c>
      <c r="O3">
        <v>2</v>
      </c>
      <c r="P3">
        <v>0</v>
      </c>
      <c r="Q3">
        <v>0</v>
      </c>
      <c r="R3">
        <v>0</v>
      </c>
      <c r="S3">
        <v>0</v>
      </c>
      <c r="T3">
        <v>0</v>
      </c>
      <c r="U3">
        <v>72</v>
      </c>
      <c r="V3">
        <v>0</v>
      </c>
      <c r="W3">
        <v>0</v>
      </c>
      <c r="X3">
        <v>0</v>
      </c>
      <c r="Y3">
        <v>0</v>
      </c>
      <c r="Z3" s="5">
        <f>SUM(Table2[[#This Row],[American Sign Language Total]:[Other Total]])</f>
        <v>133</v>
      </c>
    </row>
    <row r="4" spans="1:26" x14ac:dyDescent="0.35">
      <c r="A4" s="10" t="s">
        <v>203</v>
      </c>
      <c r="B4" s="10" t="s">
        <v>204</v>
      </c>
      <c r="C4">
        <v>0</v>
      </c>
      <c r="D4">
        <v>0</v>
      </c>
      <c r="E4">
        <v>0</v>
      </c>
      <c r="F4">
        <v>0</v>
      </c>
      <c r="G4">
        <v>40</v>
      </c>
      <c r="H4">
        <v>0</v>
      </c>
      <c r="I4">
        <v>22</v>
      </c>
      <c r="J4">
        <v>2</v>
      </c>
      <c r="K4">
        <v>0</v>
      </c>
      <c r="L4">
        <v>0</v>
      </c>
      <c r="M4">
        <v>0</v>
      </c>
      <c r="N4">
        <v>0</v>
      </c>
      <c r="O4">
        <v>4</v>
      </c>
      <c r="P4">
        <v>0</v>
      </c>
      <c r="Q4">
        <v>0</v>
      </c>
      <c r="R4">
        <v>0</v>
      </c>
      <c r="S4">
        <v>0</v>
      </c>
      <c r="T4">
        <v>0</v>
      </c>
      <c r="U4">
        <v>58</v>
      </c>
      <c r="V4">
        <v>0</v>
      </c>
      <c r="W4">
        <v>1</v>
      </c>
      <c r="X4">
        <v>0</v>
      </c>
      <c r="Y4">
        <v>14</v>
      </c>
      <c r="Z4" s="5">
        <f>SUM(Table2[[#This Row],[American Sign Language Total]:[Other Total]])</f>
        <v>141</v>
      </c>
    </row>
    <row r="5" spans="1:26" ht="31" x14ac:dyDescent="0.35">
      <c r="A5" s="10" t="s">
        <v>713</v>
      </c>
      <c r="B5" s="10" t="s">
        <v>713</v>
      </c>
      <c r="C5">
        <v>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 s="5">
        <f>SUM(Table2[[#This Row],[American Sign Language Total]:[Other Total]])</f>
        <v>2</v>
      </c>
    </row>
    <row r="6" spans="1:26" x14ac:dyDescent="0.35">
      <c r="A6" s="10" t="s">
        <v>205</v>
      </c>
      <c r="B6" s="8" t="s">
        <v>206</v>
      </c>
      <c r="C6">
        <v>30</v>
      </c>
      <c r="D6">
        <v>0</v>
      </c>
      <c r="E6">
        <v>1</v>
      </c>
      <c r="F6">
        <v>0</v>
      </c>
      <c r="G6">
        <v>40</v>
      </c>
      <c r="H6">
        <v>0</v>
      </c>
      <c r="I6">
        <v>4</v>
      </c>
      <c r="J6">
        <v>9</v>
      </c>
      <c r="K6">
        <v>0</v>
      </c>
      <c r="L6">
        <v>0</v>
      </c>
      <c r="M6">
        <v>0</v>
      </c>
      <c r="N6">
        <v>0</v>
      </c>
      <c r="O6">
        <v>24</v>
      </c>
      <c r="P6">
        <v>0</v>
      </c>
      <c r="Q6">
        <v>0</v>
      </c>
      <c r="R6">
        <v>0</v>
      </c>
      <c r="S6">
        <v>0</v>
      </c>
      <c r="T6">
        <v>3</v>
      </c>
      <c r="U6">
        <v>147</v>
      </c>
      <c r="V6">
        <v>0</v>
      </c>
      <c r="W6">
        <v>0</v>
      </c>
      <c r="X6">
        <v>0</v>
      </c>
      <c r="Y6">
        <v>1</v>
      </c>
      <c r="Z6" s="5">
        <f>SUM(Table2[[#This Row],[American Sign Language Total]:[Other Total]])</f>
        <v>259</v>
      </c>
    </row>
    <row r="7" spans="1:26" ht="21" customHeight="1" x14ac:dyDescent="0.35">
      <c r="A7" s="10" t="s">
        <v>207</v>
      </c>
      <c r="B7" s="4" t="s">
        <v>208</v>
      </c>
      <c r="C7">
        <v>0</v>
      </c>
      <c r="D7">
        <v>0</v>
      </c>
      <c r="E7">
        <v>0</v>
      </c>
      <c r="F7">
        <v>0</v>
      </c>
      <c r="G7">
        <v>40</v>
      </c>
      <c r="H7">
        <v>0</v>
      </c>
      <c r="I7">
        <v>21</v>
      </c>
      <c r="J7">
        <v>0</v>
      </c>
      <c r="K7">
        <v>0</v>
      </c>
      <c r="L7">
        <v>0</v>
      </c>
      <c r="M7">
        <v>0</v>
      </c>
      <c r="N7">
        <v>0</v>
      </c>
      <c r="O7">
        <v>3</v>
      </c>
      <c r="P7">
        <v>0</v>
      </c>
      <c r="Q7">
        <v>0</v>
      </c>
      <c r="R7">
        <v>0</v>
      </c>
      <c r="S7">
        <v>0</v>
      </c>
      <c r="T7">
        <v>0</v>
      </c>
      <c r="U7">
        <v>75</v>
      </c>
      <c r="V7">
        <v>0</v>
      </c>
      <c r="W7">
        <v>0</v>
      </c>
      <c r="X7">
        <v>0</v>
      </c>
      <c r="Y7">
        <v>0</v>
      </c>
      <c r="Z7" s="5">
        <f>SUM(Table2[[#This Row],[American Sign Language Total]:[Other Total]])</f>
        <v>139</v>
      </c>
    </row>
    <row r="8" spans="1:26" x14ac:dyDescent="0.35">
      <c r="A8" s="10" t="s">
        <v>209</v>
      </c>
      <c r="B8" s="4" t="s">
        <v>179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</v>
      </c>
      <c r="V8">
        <v>0</v>
      </c>
      <c r="W8">
        <v>0</v>
      </c>
      <c r="X8">
        <v>0</v>
      </c>
      <c r="Y8">
        <v>0</v>
      </c>
      <c r="Z8" s="5">
        <f>SUM(Table2[[#This Row],[American Sign Language Total]:[Other Total]])</f>
        <v>2</v>
      </c>
    </row>
    <row r="9" spans="1:26" ht="46.5" x14ac:dyDescent="0.35">
      <c r="A9" s="10" t="s">
        <v>714</v>
      </c>
      <c r="B9" s="4" t="s">
        <v>719</v>
      </c>
      <c r="C9">
        <v>15</v>
      </c>
      <c r="D9">
        <v>5</v>
      </c>
      <c r="E9">
        <v>0</v>
      </c>
      <c r="F9">
        <v>0</v>
      </c>
      <c r="G9">
        <v>257</v>
      </c>
      <c r="H9">
        <v>0</v>
      </c>
      <c r="I9">
        <v>57</v>
      </c>
      <c r="J9">
        <v>1</v>
      </c>
      <c r="K9">
        <v>0</v>
      </c>
      <c r="L9">
        <v>5</v>
      </c>
      <c r="M9">
        <v>0</v>
      </c>
      <c r="N9">
        <v>0</v>
      </c>
      <c r="O9">
        <v>9</v>
      </c>
      <c r="P9">
        <v>0</v>
      </c>
      <c r="Q9">
        <v>0</v>
      </c>
      <c r="R9">
        <v>0</v>
      </c>
      <c r="S9">
        <v>0</v>
      </c>
      <c r="T9">
        <v>0</v>
      </c>
      <c r="U9">
        <v>235</v>
      </c>
      <c r="V9">
        <v>0</v>
      </c>
      <c r="W9">
        <v>0</v>
      </c>
      <c r="X9">
        <v>0</v>
      </c>
      <c r="Y9">
        <v>38</v>
      </c>
      <c r="Z9" s="5">
        <f>SUM(Table2[[#This Row],[American Sign Language Total]:[Other Total]])</f>
        <v>622</v>
      </c>
    </row>
    <row r="10" spans="1:26" x14ac:dyDescent="0.35">
      <c r="A10" s="10" t="s">
        <v>715</v>
      </c>
      <c r="B10" s="4" t="s">
        <v>715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 s="5">
        <f>SUM(Table2[[#This Row],[American Sign Language Total]:[Other Total]])</f>
        <v>1</v>
      </c>
    </row>
    <row r="11" spans="1:26" x14ac:dyDescent="0.35">
      <c r="A11" s="10" t="s">
        <v>210</v>
      </c>
      <c r="B11" s="4" t="s">
        <v>211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101</v>
      </c>
      <c r="V11">
        <v>0</v>
      </c>
      <c r="W11">
        <v>0</v>
      </c>
      <c r="X11">
        <v>0</v>
      </c>
      <c r="Y11">
        <v>0</v>
      </c>
      <c r="Z11" s="5">
        <f>SUM(Table2[[#This Row],[American Sign Language Total]:[Other Total]])</f>
        <v>102</v>
      </c>
    </row>
    <row r="12" spans="1:26" x14ac:dyDescent="0.35">
      <c r="A12" s="10" t="s">
        <v>92</v>
      </c>
      <c r="B12" s="4" t="s">
        <v>92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11</v>
      </c>
      <c r="V12">
        <v>0</v>
      </c>
      <c r="W12">
        <v>0</v>
      </c>
      <c r="X12">
        <v>0</v>
      </c>
      <c r="Y12">
        <v>0</v>
      </c>
      <c r="Z12" s="5">
        <f>SUM(Table2[[#This Row],[American Sign Language Total]:[Other Total]])</f>
        <v>11</v>
      </c>
    </row>
    <row r="13" spans="1:26" x14ac:dyDescent="0.35">
      <c r="A13" s="10" t="s">
        <v>212</v>
      </c>
      <c r="B13" s="4" t="s">
        <v>212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25</v>
      </c>
      <c r="V13">
        <v>0</v>
      </c>
      <c r="W13">
        <v>0</v>
      </c>
      <c r="X13">
        <v>0</v>
      </c>
      <c r="Y13">
        <v>0</v>
      </c>
      <c r="Z13" s="5">
        <f>SUM(Table2[[#This Row],[American Sign Language Total]:[Other Total]])</f>
        <v>25</v>
      </c>
    </row>
    <row r="14" spans="1:26" x14ac:dyDescent="0.35">
      <c r="A14" s="10" t="s">
        <v>93</v>
      </c>
      <c r="B14" s="4" t="s">
        <v>93</v>
      </c>
      <c r="C14">
        <v>0</v>
      </c>
      <c r="D14">
        <v>0</v>
      </c>
      <c r="E14">
        <v>0</v>
      </c>
      <c r="F14">
        <v>0</v>
      </c>
      <c r="G14">
        <v>3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</v>
      </c>
      <c r="Q14">
        <v>0</v>
      </c>
      <c r="R14">
        <v>0</v>
      </c>
      <c r="S14">
        <v>0</v>
      </c>
      <c r="T14">
        <v>0</v>
      </c>
      <c r="U14">
        <v>21</v>
      </c>
      <c r="V14">
        <v>1</v>
      </c>
      <c r="W14">
        <v>0</v>
      </c>
      <c r="X14">
        <v>2</v>
      </c>
      <c r="Y14">
        <v>0</v>
      </c>
      <c r="Z14" s="5">
        <f>SUM(Table2[[#This Row],[American Sign Language Total]:[Other Total]])</f>
        <v>30</v>
      </c>
    </row>
    <row r="15" spans="1:26" x14ac:dyDescent="0.35">
      <c r="A15" s="10" t="s">
        <v>94</v>
      </c>
      <c r="B15" s="4" t="s">
        <v>94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18</v>
      </c>
      <c r="V15">
        <v>0</v>
      </c>
      <c r="W15">
        <v>0</v>
      </c>
      <c r="X15">
        <v>0</v>
      </c>
      <c r="Y15">
        <v>0</v>
      </c>
      <c r="Z15" s="5">
        <f>SUM(Table2[[#This Row],[American Sign Language Total]:[Other Total]])</f>
        <v>18</v>
      </c>
    </row>
    <row r="16" spans="1:26" x14ac:dyDescent="0.35">
      <c r="A16" s="10" t="s">
        <v>213</v>
      </c>
      <c r="B16" s="4" t="s">
        <v>720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4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3</v>
      </c>
      <c r="R16">
        <v>0</v>
      </c>
      <c r="S16">
        <v>0</v>
      </c>
      <c r="T16">
        <v>0</v>
      </c>
      <c r="U16">
        <v>139</v>
      </c>
      <c r="V16">
        <v>0</v>
      </c>
      <c r="W16">
        <v>0</v>
      </c>
      <c r="X16">
        <v>0</v>
      </c>
      <c r="Y16">
        <v>0</v>
      </c>
      <c r="Z16" s="5">
        <f>SUM(Table2[[#This Row],[American Sign Language Total]:[Other Total]])</f>
        <v>149</v>
      </c>
    </row>
    <row r="17" spans="1:26" x14ac:dyDescent="0.35">
      <c r="A17" s="10" t="s">
        <v>95</v>
      </c>
      <c r="B17" s="4" t="s">
        <v>95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5</v>
      </c>
      <c r="V17">
        <v>0</v>
      </c>
      <c r="W17">
        <v>0</v>
      </c>
      <c r="X17">
        <v>0</v>
      </c>
      <c r="Y17">
        <v>0</v>
      </c>
      <c r="Z17" s="5">
        <f>SUM(Table2[[#This Row],[American Sign Language Total]:[Other Total]])</f>
        <v>5</v>
      </c>
    </row>
    <row r="18" spans="1:26" x14ac:dyDescent="0.35">
      <c r="A18" s="10" t="s">
        <v>716</v>
      </c>
      <c r="B18" s="4" t="s">
        <v>716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12</v>
      </c>
      <c r="V18">
        <v>0</v>
      </c>
      <c r="W18">
        <v>0</v>
      </c>
      <c r="X18">
        <v>0</v>
      </c>
      <c r="Y18">
        <v>0</v>
      </c>
      <c r="Z18" s="5">
        <f>SUM(Table2[[#This Row],[American Sign Language Total]:[Other Total]])</f>
        <v>12</v>
      </c>
    </row>
    <row r="19" spans="1:26" x14ac:dyDescent="0.35">
      <c r="A19" s="10" t="s">
        <v>717</v>
      </c>
      <c r="B19" s="4" t="s">
        <v>721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19</v>
      </c>
      <c r="V19">
        <v>0</v>
      </c>
      <c r="W19">
        <v>0</v>
      </c>
      <c r="X19">
        <v>0</v>
      </c>
      <c r="Y19">
        <v>0</v>
      </c>
      <c r="Z19" s="5">
        <f>SUM(Table2[[#This Row],[American Sign Language Total]:[Other Total]])</f>
        <v>29</v>
      </c>
    </row>
    <row r="20" spans="1:26" ht="19.5" customHeight="1" x14ac:dyDescent="0.35">
      <c r="A20" s="10" t="s">
        <v>718</v>
      </c>
      <c r="B20" s="4" t="s">
        <v>718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6</v>
      </c>
      <c r="V20">
        <v>0</v>
      </c>
      <c r="W20">
        <v>0</v>
      </c>
      <c r="X20">
        <v>0</v>
      </c>
      <c r="Y20">
        <v>0</v>
      </c>
      <c r="Z20" s="5">
        <f>SUM(Table2[[#This Row],[American Sign Language Total]:[Other Total]])</f>
        <v>6</v>
      </c>
    </row>
    <row r="21" spans="1:26" ht="108.5" x14ac:dyDescent="0.35">
      <c r="A21" s="10" t="s">
        <v>214</v>
      </c>
      <c r="B21" s="4" t="s">
        <v>722</v>
      </c>
      <c r="C21">
        <v>0</v>
      </c>
      <c r="D21">
        <v>43</v>
      </c>
      <c r="E21">
        <v>0</v>
      </c>
      <c r="F21">
        <v>0</v>
      </c>
      <c r="G21">
        <v>29</v>
      </c>
      <c r="H21">
        <v>2</v>
      </c>
      <c r="I21">
        <v>7</v>
      </c>
      <c r="J21">
        <v>1</v>
      </c>
      <c r="K21">
        <v>0</v>
      </c>
      <c r="L21">
        <v>0</v>
      </c>
      <c r="M21">
        <v>0</v>
      </c>
      <c r="N21">
        <v>0</v>
      </c>
      <c r="O21">
        <v>3</v>
      </c>
      <c r="P21">
        <v>0</v>
      </c>
      <c r="Q21">
        <v>0</v>
      </c>
      <c r="R21">
        <v>0</v>
      </c>
      <c r="S21">
        <v>0</v>
      </c>
      <c r="T21">
        <v>2</v>
      </c>
      <c r="U21">
        <v>256</v>
      </c>
      <c r="V21">
        <v>3</v>
      </c>
      <c r="W21">
        <v>0</v>
      </c>
      <c r="X21">
        <v>27</v>
      </c>
      <c r="Y21">
        <v>7</v>
      </c>
      <c r="Z21" s="5">
        <f>SUM(Table2[[#This Row],[American Sign Language Total]:[Other Total]])</f>
        <v>380</v>
      </c>
    </row>
    <row r="22" spans="1:26" ht="21" customHeight="1" x14ac:dyDescent="0.35">
      <c r="A22" s="10" t="s">
        <v>215</v>
      </c>
      <c r="B22" s="4" t="s">
        <v>215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15</v>
      </c>
      <c r="V22">
        <v>0</v>
      </c>
      <c r="W22">
        <v>0</v>
      </c>
      <c r="X22">
        <v>0</v>
      </c>
      <c r="Y22">
        <v>0</v>
      </c>
      <c r="Z22" s="5">
        <f>SUM(Table2[[#This Row],[American Sign Language Total]:[Other Total]])</f>
        <v>15</v>
      </c>
    </row>
    <row r="23" spans="1:26" x14ac:dyDescent="0.35">
      <c r="A23" s="10" t="s">
        <v>216</v>
      </c>
      <c r="B23" s="4" t="s">
        <v>217</v>
      </c>
      <c r="C23">
        <v>0</v>
      </c>
      <c r="D23">
        <v>0</v>
      </c>
      <c r="E23">
        <v>0</v>
      </c>
      <c r="F23">
        <v>0</v>
      </c>
      <c r="G23">
        <v>7</v>
      </c>
      <c r="H23">
        <v>0</v>
      </c>
      <c r="I23">
        <v>5</v>
      </c>
      <c r="J23">
        <v>2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12</v>
      </c>
      <c r="V23">
        <v>0</v>
      </c>
      <c r="W23">
        <v>0</v>
      </c>
      <c r="X23">
        <v>0</v>
      </c>
      <c r="Y23">
        <v>0</v>
      </c>
      <c r="Z23" s="5">
        <f>SUM(Table2[[#This Row],[American Sign Language Total]:[Other Total]])</f>
        <v>27</v>
      </c>
    </row>
    <row r="24" spans="1:26" ht="31" x14ac:dyDescent="0.35">
      <c r="A24" s="10" t="s">
        <v>218</v>
      </c>
      <c r="B24" s="4" t="s">
        <v>723</v>
      </c>
      <c r="C24">
        <v>32</v>
      </c>
      <c r="D24">
        <v>0</v>
      </c>
      <c r="E24">
        <v>0</v>
      </c>
      <c r="F24">
        <v>0</v>
      </c>
      <c r="G24">
        <v>50</v>
      </c>
      <c r="H24">
        <v>0</v>
      </c>
      <c r="I24">
        <v>67</v>
      </c>
      <c r="J24">
        <v>0</v>
      </c>
      <c r="K24">
        <v>1</v>
      </c>
      <c r="L24">
        <v>2</v>
      </c>
      <c r="M24">
        <v>0</v>
      </c>
      <c r="N24">
        <v>0</v>
      </c>
      <c r="O24">
        <v>30</v>
      </c>
      <c r="P24">
        <v>10</v>
      </c>
      <c r="Q24">
        <v>0</v>
      </c>
      <c r="R24">
        <v>0</v>
      </c>
      <c r="S24">
        <v>0</v>
      </c>
      <c r="T24">
        <v>0</v>
      </c>
      <c r="U24">
        <v>202</v>
      </c>
      <c r="V24">
        <v>0</v>
      </c>
      <c r="W24">
        <v>0</v>
      </c>
      <c r="X24">
        <v>0</v>
      </c>
      <c r="Y24">
        <v>2</v>
      </c>
      <c r="Z24" s="5">
        <f>SUM(Table2[[#This Row],[American Sign Language Total]:[Other Total]])</f>
        <v>396</v>
      </c>
    </row>
    <row r="25" spans="1:26" x14ac:dyDescent="0.35">
      <c r="A25" s="10" t="s">
        <v>219</v>
      </c>
      <c r="B25" s="4" t="s">
        <v>220</v>
      </c>
      <c r="C25">
        <v>0</v>
      </c>
      <c r="D25">
        <v>2</v>
      </c>
      <c r="E25">
        <v>0</v>
      </c>
      <c r="F25">
        <v>0</v>
      </c>
      <c r="G25">
        <v>26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99</v>
      </c>
      <c r="V25">
        <v>0</v>
      </c>
      <c r="W25">
        <v>0</v>
      </c>
      <c r="X25">
        <v>5</v>
      </c>
      <c r="Y25">
        <v>6</v>
      </c>
      <c r="Z25" s="5">
        <f>SUM(Table2[[#This Row],[American Sign Language Total]:[Other Total]])</f>
        <v>140</v>
      </c>
    </row>
    <row r="26" spans="1:26" x14ac:dyDescent="0.35">
      <c r="A26" s="8" t="s">
        <v>508</v>
      </c>
      <c r="B26" s="8" t="s">
        <v>1021</v>
      </c>
      <c r="C26" s="6">
        <f>SUBTOTAL(109,Table2[American Sign Language Total])</f>
        <v>79</v>
      </c>
      <c r="D26" s="6">
        <f>SUBTOTAL(109,Table2[Arabic Total])</f>
        <v>50</v>
      </c>
      <c r="E26" s="6">
        <f>SUBTOTAL(109,Table2[Armenian Total])</f>
        <v>1</v>
      </c>
      <c r="F26" s="6">
        <f>SUBTOTAL(109,Table2[Bengali Total])</f>
        <v>0</v>
      </c>
      <c r="G26" s="6">
        <f>SUBTOTAL(109,Table2[Chinese (Mandarin or Cantonese) Total])</f>
        <v>546</v>
      </c>
      <c r="H26" s="6">
        <f>SUBTOTAL(109,Table2[Farsi (Persian) Total])</f>
        <v>4</v>
      </c>
      <c r="I26" s="6">
        <f>SUBTOTAL(109,Table2[French Total])</f>
        <v>206</v>
      </c>
      <c r="J26" s="6">
        <f>SUBTOTAL(109,Table2[German Total])</f>
        <v>16</v>
      </c>
      <c r="K26" s="6">
        <f>SUBTOTAL(109,Table2[Hebrew Total])</f>
        <v>1</v>
      </c>
      <c r="L26" s="6">
        <f>SUBTOTAL(109,Table2[Hindi Total])</f>
        <v>7</v>
      </c>
      <c r="M26" s="6">
        <f>SUBTOTAL(109,Table2[Hmong Total])</f>
        <v>0</v>
      </c>
      <c r="N26" s="6">
        <f>SUBTOTAL(109,Table2[Italian Total])</f>
        <v>0</v>
      </c>
      <c r="O26" s="6">
        <f>SUBTOTAL(109,Table2[Japanese Total])</f>
        <v>77</v>
      </c>
      <c r="P26" s="6">
        <f>SUBTOTAL(109,Table2[Korean Total])</f>
        <v>11</v>
      </c>
      <c r="Q26" s="6">
        <f>SUBTOTAL(109,Table2[Latin Total])</f>
        <v>3</v>
      </c>
      <c r="R26" s="6">
        <f>SUBTOTAL(109,Table2[Portuguese Total])</f>
        <v>0</v>
      </c>
      <c r="S26" s="6">
        <f>SUBTOTAL(109,Table2[Punjabi Total])</f>
        <v>0</v>
      </c>
      <c r="T26" s="6">
        <f>SUBTOTAL(109,Table2[Russian Total])</f>
        <v>5</v>
      </c>
      <c r="U26" s="6">
        <f>SUBTOTAL(109,Table2[Spanish Total])</f>
        <v>1531</v>
      </c>
      <c r="V26" s="6">
        <f>SUBTOTAL(109,Table2[Tagalog (Filipino) Total])</f>
        <v>4</v>
      </c>
      <c r="W26" s="6">
        <f>SUBTOTAL(109,Table2[Urdu Total])</f>
        <v>1</v>
      </c>
      <c r="X26" s="6">
        <f>SUBTOTAL(109,Table2[Vietnamese Total])</f>
        <v>34</v>
      </c>
      <c r="Y26" s="6">
        <f>SUBTOTAL(109,Table2[Other Total])</f>
        <v>68</v>
      </c>
      <c r="Z26" s="6">
        <f>SUBTOTAL(109,Table2[Total Seals per Local Educational Agency])</f>
        <v>2644</v>
      </c>
    </row>
  </sheetData>
  <sortState xmlns:xlrd2="http://schemas.microsoft.com/office/spreadsheetml/2017/richdata2" ref="A2:AF22">
    <sortCondition ref="A2:A22"/>
  </sortState>
  <conditionalFormatting sqref="A1:A1048576">
    <cfRule type="duplicateValues" dxfId="3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"/>
  <sheetViews>
    <sheetView showGridLines="0" workbookViewId="0">
      <pane xSplit="1" ySplit="2" topLeftCell="B3" activePane="bottomRight" state="frozen"/>
      <selection activeCell="R38" sqref="R38"/>
      <selection pane="topRight" activeCell="R38" sqref="R38"/>
      <selection pane="bottomLeft" activeCell="R38" sqref="R38"/>
      <selection pane="bottomRight"/>
    </sheetView>
  </sheetViews>
  <sheetFormatPr defaultRowHeight="15.5" x14ac:dyDescent="0.35"/>
  <cols>
    <col min="1" max="1" width="32.765625" customWidth="1"/>
    <col min="2" max="2" width="24.84375" style="4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921875" customWidth="1"/>
    <col min="8" max="8" width="10.69140625" bestFit="1" customWidth="1"/>
    <col min="9" max="9" width="7.765625" bestFit="1" customWidth="1"/>
    <col min="10" max="10" width="8.84375" bestFit="1" customWidth="1"/>
    <col min="11" max="11" width="9.3046875" bestFit="1" customWidth="1"/>
    <col min="12" max="12" width="9.3046875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8.84375" bestFit="1" customWidth="1"/>
    <col min="17" max="17" width="6.6914062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9" t="s">
        <v>45</v>
      </c>
    </row>
    <row r="2" spans="1:26" ht="62" x14ac:dyDescent="0.35">
      <c r="A2" s="2" t="s">
        <v>69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221</v>
      </c>
      <c r="B3" s="11" t="s">
        <v>222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30</v>
      </c>
      <c r="V3">
        <v>0</v>
      </c>
      <c r="W3">
        <v>0</v>
      </c>
      <c r="X3">
        <v>0</v>
      </c>
      <c r="Y3">
        <v>0</v>
      </c>
      <c r="Z3">
        <f>SUM(Amador[[American Sign Language Total]:[Other Total]])</f>
        <v>31</v>
      </c>
    </row>
    <row r="4" spans="1:26" x14ac:dyDescent="0.35">
      <c r="A4" s="9" t="s">
        <v>180</v>
      </c>
      <c r="B4" s="8" t="s">
        <v>181</v>
      </c>
      <c r="C4">
        <f>SUBTOTAL(109,Amador[American Sign Language Total])</f>
        <v>1</v>
      </c>
      <c r="D4">
        <f>SUBTOTAL(109,Amador[Arabic Total])</f>
        <v>0</v>
      </c>
      <c r="E4">
        <f>SUBTOTAL(109,Amador[Armenian Total])</f>
        <v>0</v>
      </c>
      <c r="F4">
        <f>SUBTOTAL(109,Amador[Bengali Total])</f>
        <v>0</v>
      </c>
      <c r="G4">
        <f>SUBTOTAL(109,Amador[Chinese (Mandarin or Cantonese) Total])</f>
        <v>0</v>
      </c>
      <c r="H4">
        <f>SUBTOTAL(109,Amador[Farsi (Persian) Total])</f>
        <v>0</v>
      </c>
      <c r="I4">
        <f>SUBTOTAL(109,Amador[French Total])</f>
        <v>0</v>
      </c>
      <c r="J4">
        <f>SUBTOTAL(109,Amador[German Total])</f>
        <v>0</v>
      </c>
      <c r="K4">
        <f>SUBTOTAL(109,Amador[Hebrew Total])</f>
        <v>0</v>
      </c>
      <c r="L4">
        <f>SUBTOTAL(109,Amador[Hindi Total])</f>
        <v>0</v>
      </c>
      <c r="M4">
        <f>SUBTOTAL(109,Amador[Hmong Total])</f>
        <v>0</v>
      </c>
      <c r="N4">
        <f>SUBTOTAL(109,Amador[Italian Total])</f>
        <v>0</v>
      </c>
      <c r="O4">
        <f>SUBTOTAL(109,Amador[Japanese Total])</f>
        <v>0</v>
      </c>
      <c r="P4">
        <f>SUBTOTAL(109,Amador[Korean Total])</f>
        <v>0</v>
      </c>
      <c r="Q4">
        <f>SUBTOTAL(109,Amador[Latin Total])</f>
        <v>0</v>
      </c>
      <c r="R4">
        <f>SUBTOTAL(109,Amador[Portuguese Total])</f>
        <v>0</v>
      </c>
      <c r="S4">
        <f>SUBTOTAL(109,Amador[Punjabi Total])</f>
        <v>0</v>
      </c>
      <c r="T4">
        <f>SUBTOTAL(109,Amador[Russian Total])</f>
        <v>0</v>
      </c>
      <c r="U4">
        <f>SUBTOTAL(109,Amador[Spanish Total])</f>
        <v>30</v>
      </c>
      <c r="V4">
        <f>SUBTOTAL(109,Amador[Tagalog (Filipino) Total])</f>
        <v>0</v>
      </c>
      <c r="W4">
        <f>SUBTOTAL(109,Amador[Urdu Total])</f>
        <v>0</v>
      </c>
      <c r="X4">
        <f>SUBTOTAL(109,Amador[Vietnamese Total])</f>
        <v>0</v>
      </c>
      <c r="Y4">
        <f>SUBTOTAL(109,Amador[Other Total])</f>
        <v>0</v>
      </c>
      <c r="Z4">
        <f>SUBTOTAL(109,Amador[Total Seals per Local Educational Agency])</f>
        <v>31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1"/>
  <sheetViews>
    <sheetView showGridLines="0" zoomScaleNormal="100" workbookViewId="0">
      <pane xSplit="1" ySplit="2" topLeftCell="B3" activePane="bottomRight" state="frozen"/>
      <selection activeCell="R38" sqref="R38"/>
      <selection pane="topRight" activeCell="R38" sqref="R38"/>
      <selection pane="bottomLeft" activeCell="R38" sqref="R38"/>
      <selection pane="bottomRight"/>
    </sheetView>
  </sheetViews>
  <sheetFormatPr defaultRowHeight="15.5" x14ac:dyDescent="0.35"/>
  <cols>
    <col min="1" max="1" width="32.3828125" bestFit="1" customWidth="1"/>
    <col min="2" max="2" width="38.84375" customWidth="1"/>
    <col min="3" max="3" width="16.69140625" bestFit="1" customWidth="1"/>
    <col min="4" max="4" width="8.4609375" bestFit="1" customWidth="1"/>
    <col min="5" max="5" width="10.07421875" bestFit="1" customWidth="1"/>
    <col min="6" max="6" width="9.4609375" bestFit="1" customWidth="1"/>
    <col min="7" max="7" width="12.5351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8.84375" bestFit="1" customWidth="1"/>
    <col min="17" max="17" width="6.6914062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" customWidth="1"/>
  </cols>
  <sheetData>
    <row r="1" spans="1:26" ht="18" x14ac:dyDescent="0.4">
      <c r="A1" s="29" t="s">
        <v>27</v>
      </c>
    </row>
    <row r="2" spans="1:26" ht="62" x14ac:dyDescent="0.35">
      <c r="A2" s="2" t="s">
        <v>65</v>
      </c>
      <c r="B2" s="5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223</v>
      </c>
      <c r="B3" t="s">
        <v>224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7</v>
      </c>
      <c r="V3">
        <v>0</v>
      </c>
      <c r="W3">
        <v>0</v>
      </c>
      <c r="X3">
        <v>0</v>
      </c>
      <c r="Y3">
        <v>0</v>
      </c>
      <c r="Z3">
        <f>SUM(Butte[[#This Row],[American Sign Language Total]:[Other Total]])</f>
        <v>7</v>
      </c>
    </row>
    <row r="4" spans="1:26" x14ac:dyDescent="0.35">
      <c r="A4" s="14" t="s">
        <v>96</v>
      </c>
      <c r="B4" s="4" t="s">
        <v>182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170</v>
      </c>
      <c r="V4">
        <v>0</v>
      </c>
      <c r="W4">
        <v>0</v>
      </c>
      <c r="X4">
        <v>0</v>
      </c>
      <c r="Y4">
        <v>0</v>
      </c>
      <c r="Z4">
        <f>SUM(Butte[[#This Row],[American Sign Language Total]:[Other Total]])</f>
        <v>174</v>
      </c>
    </row>
    <row r="5" spans="1:26" x14ac:dyDescent="0.35">
      <c r="A5" s="14" t="s">
        <v>225</v>
      </c>
      <c r="B5" t="s">
        <v>225</v>
      </c>
      <c r="C5">
        <v>3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4</v>
      </c>
      <c r="V5">
        <v>0</v>
      </c>
      <c r="W5">
        <v>0</v>
      </c>
      <c r="X5">
        <v>0</v>
      </c>
      <c r="Y5">
        <v>0</v>
      </c>
      <c r="Z5">
        <f>SUM(Butte[[#This Row],[American Sign Language Total]:[Other Total]])</f>
        <v>8</v>
      </c>
    </row>
    <row r="6" spans="1:26" x14ac:dyDescent="0.35">
      <c r="A6" s="14" t="s">
        <v>226</v>
      </c>
      <c r="B6" t="s">
        <v>227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15</v>
      </c>
      <c r="V6">
        <v>0</v>
      </c>
      <c r="W6">
        <v>0</v>
      </c>
      <c r="X6">
        <v>0</v>
      </c>
      <c r="Y6">
        <v>0</v>
      </c>
      <c r="Z6">
        <f>SUM(Butte[[#This Row],[American Sign Language Total]:[Other Total]])</f>
        <v>15</v>
      </c>
    </row>
    <row r="7" spans="1:26" x14ac:dyDescent="0.35">
      <c r="A7" s="14" t="s">
        <v>724</v>
      </c>
      <c r="B7" s="4" t="s">
        <v>727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20</v>
      </c>
      <c r="V7">
        <v>0</v>
      </c>
      <c r="W7">
        <v>0</v>
      </c>
      <c r="X7">
        <v>0</v>
      </c>
      <c r="Y7">
        <v>0</v>
      </c>
      <c r="Z7">
        <f>SUM(Butte[[#This Row],[American Sign Language Total]:[Other Total]])</f>
        <v>20</v>
      </c>
    </row>
    <row r="8" spans="1:26" x14ac:dyDescent="0.35">
      <c r="A8" s="14" t="s">
        <v>97</v>
      </c>
      <c r="B8" s="4" t="s">
        <v>97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9</v>
      </c>
      <c r="V8">
        <v>0</v>
      </c>
      <c r="W8">
        <v>0</v>
      </c>
      <c r="X8">
        <v>0</v>
      </c>
      <c r="Y8">
        <v>0</v>
      </c>
      <c r="Z8" s="5">
        <f>SUM(Butte[[#This Row],[American Sign Language Total]:[Other Total]])</f>
        <v>9</v>
      </c>
    </row>
    <row r="9" spans="1:26" ht="31" x14ac:dyDescent="0.35">
      <c r="A9" s="14" t="s">
        <v>725</v>
      </c>
      <c r="B9" s="2" t="s">
        <v>726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70</v>
      </c>
      <c r="V9" s="5">
        <v>0</v>
      </c>
      <c r="W9" s="5">
        <v>0</v>
      </c>
      <c r="X9" s="5">
        <v>0</v>
      </c>
      <c r="Y9" s="5">
        <v>0</v>
      </c>
      <c r="Z9" s="5">
        <f>SUM(Butte[[#This Row],[American Sign Language Total]:[Other Total]])</f>
        <v>70</v>
      </c>
    </row>
    <row r="10" spans="1:26" x14ac:dyDescent="0.35">
      <c r="A10" s="14" t="s">
        <v>228</v>
      </c>
      <c r="B10" s="2" t="s">
        <v>229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6</v>
      </c>
      <c r="V10" s="5">
        <v>0</v>
      </c>
      <c r="W10" s="5">
        <v>0</v>
      </c>
      <c r="X10" s="5">
        <v>0</v>
      </c>
      <c r="Y10" s="5">
        <v>0</v>
      </c>
      <c r="Z10" s="5">
        <f>SUM(Butte[[#This Row],[American Sign Language Total]:[Other Total]])</f>
        <v>6</v>
      </c>
    </row>
    <row r="11" spans="1:26" x14ac:dyDescent="0.35">
      <c r="A11" s="9" t="s">
        <v>197</v>
      </c>
      <c r="B11" s="8" t="s">
        <v>728</v>
      </c>
      <c r="C11">
        <f>SUBTOTAL(109,Butte[American Sign Language Total])</f>
        <v>3</v>
      </c>
      <c r="D11">
        <f>SUBTOTAL(109,Butte[Arabic Total])</f>
        <v>0</v>
      </c>
      <c r="E11">
        <f>SUBTOTAL(109,Butte[Armenian Total])</f>
        <v>0</v>
      </c>
      <c r="F11">
        <f>SUBTOTAL(109,Butte[Bengali Total])</f>
        <v>0</v>
      </c>
      <c r="G11">
        <f>SUBTOTAL(109,Butte[Chinese (Mandarin or Cantonese) Total])</f>
        <v>0</v>
      </c>
      <c r="H11">
        <f>SUBTOTAL(109,Butte[Farsi (Persian) Total])</f>
        <v>0</v>
      </c>
      <c r="I11">
        <f>SUBTOTAL(109,Butte[French Total])</f>
        <v>3</v>
      </c>
      <c r="J11">
        <f>SUBTOTAL(109,Butte[German Total])</f>
        <v>0</v>
      </c>
      <c r="K11">
        <f>SUBTOTAL(109,Butte[Hebrew Total])</f>
        <v>0</v>
      </c>
      <c r="L11">
        <f>SUBTOTAL(109,Butte[Hindi Total])</f>
        <v>0</v>
      </c>
      <c r="M11">
        <f>SUBTOTAL(109,Butte[Hmong Total])</f>
        <v>0</v>
      </c>
      <c r="N11">
        <f>SUBTOTAL(109,Butte[Italian Total])</f>
        <v>0</v>
      </c>
      <c r="O11">
        <f>SUBTOTAL(109,Butte[Japanese Total])</f>
        <v>2</v>
      </c>
      <c r="P11">
        <f>SUBTOTAL(109,Butte[Korean Total])</f>
        <v>0</v>
      </c>
      <c r="Q11">
        <f>SUBTOTAL(109,Butte[Latin Total])</f>
        <v>0</v>
      </c>
      <c r="R11">
        <f>SUBTOTAL(109,Butte[Portuguese Total])</f>
        <v>0</v>
      </c>
      <c r="S11">
        <f>SUBTOTAL(109,Butte[Punjabi Total])</f>
        <v>0</v>
      </c>
      <c r="T11">
        <f>SUBTOTAL(109,Butte[Russian Total])</f>
        <v>0</v>
      </c>
      <c r="U11">
        <f>SUBTOTAL(109,Butte[Spanish Total])</f>
        <v>301</v>
      </c>
      <c r="V11">
        <f>SUBTOTAL(109,Butte[Tagalog (Filipino) Total])</f>
        <v>0</v>
      </c>
      <c r="W11">
        <f>SUBTOTAL(109,Butte[Urdu Total])</f>
        <v>0</v>
      </c>
      <c r="X11">
        <f>SUBTOTAL(109,Butte[Vietnamese Total])</f>
        <v>0</v>
      </c>
      <c r="Y11">
        <f>SUBTOTAL(109,Butte[Other Total])</f>
        <v>0</v>
      </c>
      <c r="Z11">
        <f>SUBTOTAL(109,Butte[Total Seals per Local Educational Agency])</f>
        <v>309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"/>
  <sheetViews>
    <sheetView showGridLines="0" zoomScaleNormal="100" workbookViewId="0">
      <pane xSplit="1" ySplit="2" topLeftCell="B3" activePane="bottomRight" state="frozen"/>
      <selection activeCell="B19" sqref="B19"/>
      <selection pane="topRight" activeCell="B19" sqref="B19"/>
      <selection pane="bottomLeft" activeCell="B19" sqref="B19"/>
      <selection pane="bottomRight"/>
    </sheetView>
  </sheetViews>
  <sheetFormatPr defaultRowHeight="15.5" x14ac:dyDescent="0.35"/>
  <cols>
    <col min="1" max="1" width="26.84375" bestFit="1" customWidth="1"/>
    <col min="2" max="2" width="20.843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8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9" t="s">
        <v>40</v>
      </c>
    </row>
    <row r="2" spans="1:26" ht="62" x14ac:dyDescent="0.35">
      <c r="A2" s="2" t="s">
        <v>69</v>
      </c>
      <c r="B2" s="2" t="s">
        <v>70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46.5" x14ac:dyDescent="0.35">
      <c r="A3" s="14" t="s">
        <v>230</v>
      </c>
      <c r="B3" s="4" t="s">
        <v>730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17</v>
      </c>
      <c r="V3">
        <v>0</v>
      </c>
      <c r="W3">
        <v>0</v>
      </c>
      <c r="X3">
        <v>0</v>
      </c>
      <c r="Y3">
        <v>0</v>
      </c>
      <c r="Z3">
        <f>SUM(Calaveras[[#This Row],[American Sign Language Total]:[Other Total]])</f>
        <v>17</v>
      </c>
    </row>
    <row r="4" spans="1:26" x14ac:dyDescent="0.35">
      <c r="A4" s="14" t="s">
        <v>729</v>
      </c>
      <c r="B4" s="2" t="s">
        <v>731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 s="5">
        <f>SUM(Calaveras[[#This Row],[American Sign Language Total]:[Other Total]])</f>
        <v>1</v>
      </c>
    </row>
    <row r="5" spans="1:26" x14ac:dyDescent="0.35">
      <c r="A5" s="9" t="s">
        <v>195</v>
      </c>
      <c r="B5" s="8" t="s">
        <v>187</v>
      </c>
      <c r="C5">
        <f>SUBTOTAL(109,Calaveras[American Sign Language Total])</f>
        <v>0</v>
      </c>
      <c r="D5">
        <f>SUBTOTAL(109,Calaveras[Arabic Total])</f>
        <v>0</v>
      </c>
      <c r="E5">
        <f>SUBTOTAL(109,Calaveras[Armenian Total])</f>
        <v>0</v>
      </c>
      <c r="F5">
        <f>SUBTOTAL(109,Calaveras[Bengali Total])</f>
        <v>0</v>
      </c>
      <c r="G5">
        <f>SUBTOTAL(109,Calaveras[Chinese (Mandarin or Cantonese) Total])</f>
        <v>0</v>
      </c>
      <c r="H5">
        <f>SUBTOTAL(109,Calaveras[Farsi (Persian) Total])</f>
        <v>0</v>
      </c>
      <c r="I5">
        <f>SUBTOTAL(109,Calaveras[French Total])</f>
        <v>0</v>
      </c>
      <c r="J5">
        <f>SUBTOTAL(109,Calaveras[German Total])</f>
        <v>0</v>
      </c>
      <c r="K5">
        <f>SUBTOTAL(109,Calaveras[Hebrew Total])</f>
        <v>0</v>
      </c>
      <c r="L5">
        <f>SUBTOTAL(109,Calaveras[Hindi Total])</f>
        <v>0</v>
      </c>
      <c r="M5">
        <f>SUBTOTAL(109,Calaveras[Hmong Total])</f>
        <v>0</v>
      </c>
      <c r="N5">
        <f>SUBTOTAL(109,Calaveras[Italian Total])</f>
        <v>0</v>
      </c>
      <c r="O5">
        <f>SUBTOTAL(109,Calaveras[Japanese Total])</f>
        <v>0</v>
      </c>
      <c r="P5">
        <f>SUBTOTAL(109,Calaveras[Korean Total])</f>
        <v>0</v>
      </c>
      <c r="Q5">
        <f>SUBTOTAL(109,Calaveras[Latin Total])</f>
        <v>0</v>
      </c>
      <c r="R5">
        <f>SUBTOTAL(109,Calaveras[Portuguese Total])</f>
        <v>0</v>
      </c>
      <c r="S5">
        <f>SUBTOTAL(109,Calaveras[Punjabi Total])</f>
        <v>0</v>
      </c>
      <c r="T5">
        <f>SUBTOTAL(109,Calaveras[Russian Total])</f>
        <v>0</v>
      </c>
      <c r="U5">
        <f>SUBTOTAL(109,Calaveras[Spanish Total])</f>
        <v>18</v>
      </c>
      <c r="V5">
        <f>SUBTOTAL(109,Calaveras[Tagalog (Filipino) Total])</f>
        <v>0</v>
      </c>
      <c r="W5">
        <f>SUBTOTAL(109,Calaveras[Urdu Total])</f>
        <v>0</v>
      </c>
      <c r="X5">
        <f>SUBTOTAL(109,Calaveras[Vietnamese Total])</f>
        <v>0</v>
      </c>
      <c r="Y5">
        <f>SUBTOTAL(109,Calaveras[Other Total])</f>
        <v>0</v>
      </c>
      <c r="Z5">
        <f>SUBTOTAL(109,Calaveras[Total Seals per Local Educational Agency])</f>
        <v>18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7"/>
  <sheetViews>
    <sheetView showGridLines="0" workbookViewId="0">
      <pane xSplit="1" ySplit="2" topLeftCell="B3" activePane="bottomRight" state="frozen"/>
      <selection activeCell="B19" sqref="B19"/>
      <selection pane="topRight" activeCell="B19" sqref="B19"/>
      <selection pane="bottomLeft" activeCell="B19" sqref="B19"/>
      <selection pane="bottomRight"/>
    </sheetView>
  </sheetViews>
  <sheetFormatPr defaultRowHeight="15.5" x14ac:dyDescent="0.35"/>
  <cols>
    <col min="1" max="1" width="31.53515625" customWidth="1"/>
    <col min="2" max="2" width="23.843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69140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" customWidth="1"/>
  </cols>
  <sheetData>
    <row r="1" spans="1:26" ht="18" x14ac:dyDescent="0.4">
      <c r="A1" s="29" t="s">
        <v>31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82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231</v>
      </c>
      <c r="B3" t="s">
        <v>98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10</v>
      </c>
      <c r="V3">
        <v>0</v>
      </c>
      <c r="W3">
        <v>0</v>
      </c>
      <c r="X3">
        <v>0</v>
      </c>
      <c r="Y3">
        <v>0</v>
      </c>
      <c r="Z3">
        <f>SUM(Colusa[[#This Row],[American Sign Language Total]:[Other Total]])</f>
        <v>10</v>
      </c>
    </row>
    <row r="4" spans="1:26" x14ac:dyDescent="0.35">
      <c r="A4" s="14" t="s">
        <v>232</v>
      </c>
      <c r="B4" t="s">
        <v>233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22</v>
      </c>
      <c r="V4">
        <v>0</v>
      </c>
      <c r="W4">
        <v>0</v>
      </c>
      <c r="X4">
        <v>0</v>
      </c>
      <c r="Y4">
        <v>0</v>
      </c>
      <c r="Z4" s="5">
        <f>SUM(Colusa[[#This Row],[American Sign Language Total]:[Other Total]])</f>
        <v>22</v>
      </c>
    </row>
    <row r="5" spans="1:26" x14ac:dyDescent="0.35">
      <c r="A5" s="14" t="s">
        <v>234</v>
      </c>
      <c r="B5" t="s">
        <v>235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37</v>
      </c>
      <c r="V5">
        <v>0</v>
      </c>
      <c r="W5">
        <v>0</v>
      </c>
      <c r="X5">
        <v>0</v>
      </c>
      <c r="Y5">
        <v>0</v>
      </c>
      <c r="Z5" s="5">
        <f>SUM(Colusa[[#This Row],[American Sign Language Total]:[Other Total]])</f>
        <v>37</v>
      </c>
    </row>
    <row r="6" spans="1:26" x14ac:dyDescent="0.35">
      <c r="A6" s="14" t="s">
        <v>732</v>
      </c>
      <c r="B6" s="5" t="s">
        <v>733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33</v>
      </c>
      <c r="V6" s="5">
        <v>0</v>
      </c>
      <c r="W6" s="5">
        <v>0</v>
      </c>
      <c r="X6" s="5">
        <v>0</v>
      </c>
      <c r="Y6" s="5">
        <v>0</v>
      </c>
      <c r="Z6" s="5">
        <f>SUM(Colusa[[#This Row],[American Sign Language Total]:[Other Total]])</f>
        <v>33</v>
      </c>
    </row>
    <row r="7" spans="1:26" x14ac:dyDescent="0.35">
      <c r="A7" s="9" t="s">
        <v>196</v>
      </c>
      <c r="B7" s="8" t="s">
        <v>200</v>
      </c>
      <c r="C7">
        <f>SUBTOTAL(109,Colusa[American Sign Language Total])</f>
        <v>0</v>
      </c>
      <c r="D7">
        <f>SUBTOTAL(109,Colusa[Arabic Total])</f>
        <v>0</v>
      </c>
      <c r="E7">
        <f>SUBTOTAL(109,Colusa[Armenian Total])</f>
        <v>0</v>
      </c>
      <c r="F7">
        <f>SUBTOTAL(109,Colusa[Bengali Total])</f>
        <v>0</v>
      </c>
      <c r="G7">
        <f>SUBTOTAL(109,Colusa[Chinese (Mandarin or Cantonese) Total])</f>
        <v>0</v>
      </c>
      <c r="H7">
        <f>SUBTOTAL(109,Colusa[Farsi (Persian) Total])</f>
        <v>0</v>
      </c>
      <c r="I7">
        <f>SUBTOTAL(109,Colusa[French Total])</f>
        <v>0</v>
      </c>
      <c r="J7">
        <f>SUBTOTAL(109,Colusa[German Total])</f>
        <v>0</v>
      </c>
      <c r="K7">
        <f>SUBTOTAL(109,Colusa[Hebrew Total])</f>
        <v>0</v>
      </c>
      <c r="L7">
        <f>SUBTOTAL(109,Colusa[Hindi Total])</f>
        <v>0</v>
      </c>
      <c r="M7">
        <f>SUBTOTAL(109,Colusa[Hmong Total])</f>
        <v>0</v>
      </c>
      <c r="N7">
        <f>SUBTOTAL(109,Colusa[Italian Total])</f>
        <v>0</v>
      </c>
      <c r="O7">
        <f>SUBTOTAL(109,Colusa[Japanese Total])</f>
        <v>0</v>
      </c>
      <c r="P7">
        <f>SUBTOTAL(109,Colusa[Korean Total])</f>
        <v>0</v>
      </c>
      <c r="Q7">
        <f>SUBTOTAL(109,Colusa[Latin Total])</f>
        <v>0</v>
      </c>
      <c r="R7">
        <f>SUBTOTAL(109,Colusa[Portuguese Total])</f>
        <v>0</v>
      </c>
      <c r="S7">
        <f>SUBTOTAL(109,Colusa[Punjabi Total])</f>
        <v>0</v>
      </c>
      <c r="T7">
        <f>SUBTOTAL(109,Colusa[Russian Total])</f>
        <v>0</v>
      </c>
      <c r="U7">
        <f>SUBTOTAL(109,Colusa[Spanish Total])</f>
        <v>102</v>
      </c>
      <c r="V7">
        <f>SUBTOTAL(109,Colusa[Tagalog (Filipino) Total])</f>
        <v>0</v>
      </c>
      <c r="W7">
        <f>SUBTOTAL(109,Colusa[[Urdu Total ]])</f>
        <v>0</v>
      </c>
      <c r="X7">
        <f>SUBTOTAL(109,Colusa[Vietnamese Total])</f>
        <v>0</v>
      </c>
      <c r="Y7">
        <f>SUBTOTAL(109,Colusa[Other Total])</f>
        <v>0</v>
      </c>
      <c r="Z7">
        <f>SUBTOTAL(109,Colusa[Total Seals per Local Educational Agency])</f>
        <v>102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4"/>
  <sheetViews>
    <sheetView showGridLines="0" zoomScale="98" zoomScaleNormal="98" workbookViewId="0">
      <pane xSplit="1" ySplit="2" topLeftCell="B3" activePane="bottomRight" state="frozen"/>
      <selection activeCell="B19" sqref="B19"/>
      <selection pane="topRight" activeCell="B19" sqref="B19"/>
      <selection pane="bottomLeft" activeCell="B19" sqref="B19"/>
      <selection pane="bottomRight"/>
    </sheetView>
  </sheetViews>
  <sheetFormatPr defaultRowHeight="15.5" x14ac:dyDescent="0.35"/>
  <cols>
    <col min="1" max="1" width="48.3046875" style="5" customWidth="1"/>
    <col min="2" max="2" width="38.23046875" style="4" bestFit="1" customWidth="1"/>
    <col min="3" max="3" width="12.4609375" customWidth="1"/>
    <col min="4" max="4" width="8.4609375" bestFit="1" customWidth="1"/>
    <col min="5" max="5" width="11.23046875" bestFit="1" customWidth="1"/>
    <col min="6" max="6" width="9.4609375" bestFit="1" customWidth="1"/>
    <col min="7" max="7" width="12.61328125" customWidth="1"/>
    <col min="8" max="8" width="10.69140625" bestFit="1" customWidth="1"/>
    <col min="9" max="10" width="8.84375" bestFit="1" customWidth="1"/>
    <col min="11" max="11" width="9.3046875" bestFit="1" customWidth="1"/>
    <col min="12" max="12" width="7.4609375" bestFit="1" customWidth="1"/>
    <col min="13" max="13" width="8.843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23046875" customWidth="1"/>
  </cols>
  <sheetData>
    <row r="1" spans="1:26" ht="18" x14ac:dyDescent="0.35">
      <c r="A1" s="30" t="s">
        <v>35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46.5" x14ac:dyDescent="0.35">
      <c r="A3" s="14" t="s">
        <v>709</v>
      </c>
      <c r="B3" s="2" t="s">
        <v>736</v>
      </c>
      <c r="C3">
        <v>0</v>
      </c>
      <c r="D3">
        <v>0</v>
      </c>
      <c r="E3">
        <v>0</v>
      </c>
      <c r="F3">
        <v>0</v>
      </c>
      <c r="G3">
        <v>67</v>
      </c>
      <c r="H3">
        <v>0</v>
      </c>
      <c r="I3">
        <v>72</v>
      </c>
      <c r="J3">
        <v>20</v>
      </c>
      <c r="K3">
        <v>0</v>
      </c>
      <c r="L3">
        <v>0</v>
      </c>
      <c r="M3">
        <v>0</v>
      </c>
      <c r="N3">
        <v>0</v>
      </c>
      <c r="O3">
        <v>3</v>
      </c>
      <c r="P3">
        <v>0</v>
      </c>
      <c r="Q3">
        <v>56</v>
      </c>
      <c r="R3">
        <v>0</v>
      </c>
      <c r="S3">
        <v>0</v>
      </c>
      <c r="T3">
        <v>0</v>
      </c>
      <c r="U3">
        <v>317</v>
      </c>
      <c r="V3">
        <v>0</v>
      </c>
      <c r="W3">
        <v>0</v>
      </c>
      <c r="X3">
        <v>0</v>
      </c>
      <c r="Y3">
        <v>0</v>
      </c>
      <c r="Z3" s="5">
        <f>SUM(ContraCosta[[#This Row],[American Sign Language Total]:[Other Total]])</f>
        <v>535</v>
      </c>
    </row>
    <row r="4" spans="1:26" ht="31" x14ac:dyDescent="0.35">
      <c r="A4" s="14" t="s">
        <v>236</v>
      </c>
      <c r="B4" s="4" t="s">
        <v>237</v>
      </c>
      <c r="C4">
        <v>2</v>
      </c>
      <c r="D4">
        <v>0</v>
      </c>
      <c r="E4">
        <v>0</v>
      </c>
      <c r="F4">
        <v>0</v>
      </c>
      <c r="G4">
        <v>1</v>
      </c>
      <c r="H4">
        <v>0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8</v>
      </c>
      <c r="P4">
        <v>0</v>
      </c>
      <c r="Q4">
        <v>0</v>
      </c>
      <c r="R4">
        <v>1</v>
      </c>
      <c r="S4">
        <v>0</v>
      </c>
      <c r="T4">
        <v>0</v>
      </c>
      <c r="U4">
        <v>80</v>
      </c>
      <c r="V4">
        <v>3</v>
      </c>
      <c r="W4">
        <v>0</v>
      </c>
      <c r="X4">
        <v>0</v>
      </c>
      <c r="Y4">
        <v>1</v>
      </c>
      <c r="Z4">
        <f>SUM(ContraCosta[[#This Row],[American Sign Language Total]:[Other Total]])</f>
        <v>99</v>
      </c>
    </row>
    <row r="5" spans="1:26" x14ac:dyDescent="0.35">
      <c r="A5" s="14" t="s">
        <v>238</v>
      </c>
      <c r="B5" s="4" t="s">
        <v>238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74</v>
      </c>
      <c r="V5">
        <v>0</v>
      </c>
      <c r="W5">
        <v>0</v>
      </c>
      <c r="X5">
        <v>0</v>
      </c>
      <c r="Y5">
        <v>0</v>
      </c>
      <c r="Z5">
        <f>SUM(ContraCosta[[#This Row],[American Sign Language Total]:[Other Total]])</f>
        <v>74</v>
      </c>
    </row>
    <row r="6" spans="1:26" x14ac:dyDescent="0.35">
      <c r="A6" s="14" t="s">
        <v>239</v>
      </c>
      <c r="B6" s="4" t="s">
        <v>240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12</v>
      </c>
      <c r="V6">
        <v>0</v>
      </c>
      <c r="W6">
        <v>0</v>
      </c>
      <c r="X6">
        <v>0</v>
      </c>
      <c r="Y6">
        <v>1</v>
      </c>
      <c r="Z6">
        <f>SUM(ContraCosta[[#This Row],[American Sign Language Total]:[Other Total]])</f>
        <v>13</v>
      </c>
    </row>
    <row r="7" spans="1:26" ht="19.5" customHeight="1" x14ac:dyDescent="0.35">
      <c r="A7" s="14" t="s">
        <v>241</v>
      </c>
      <c r="B7" s="4" t="s">
        <v>242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52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214</v>
      </c>
      <c r="V7">
        <v>0</v>
      </c>
      <c r="W7">
        <v>0</v>
      </c>
      <c r="X7">
        <v>0</v>
      </c>
      <c r="Y7">
        <v>0</v>
      </c>
      <c r="Z7">
        <f>SUM(ContraCosta[[#This Row],[American Sign Language Total]:[Other Total]])</f>
        <v>267</v>
      </c>
    </row>
    <row r="8" spans="1:26" x14ac:dyDescent="0.35">
      <c r="A8" s="14" t="s">
        <v>734</v>
      </c>
      <c r="B8" s="4" t="s">
        <v>734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27</v>
      </c>
      <c r="V8">
        <v>0</v>
      </c>
      <c r="W8">
        <v>0</v>
      </c>
      <c r="X8">
        <v>0</v>
      </c>
      <c r="Y8">
        <v>0</v>
      </c>
      <c r="Z8">
        <f>SUM(ContraCosta[[#This Row],[American Sign Language Total]:[Other Total]])</f>
        <v>27</v>
      </c>
    </row>
    <row r="9" spans="1:26" x14ac:dyDescent="0.35">
      <c r="A9" s="14" t="s">
        <v>243</v>
      </c>
      <c r="B9" s="4" t="s">
        <v>244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6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11</v>
      </c>
      <c r="V9">
        <v>0</v>
      </c>
      <c r="W9">
        <v>0</v>
      </c>
      <c r="X9">
        <v>0</v>
      </c>
      <c r="Y9">
        <v>0</v>
      </c>
      <c r="Z9">
        <f>SUM(ContraCosta[[#This Row],[American Sign Language Total]:[Other Total]])</f>
        <v>17</v>
      </c>
    </row>
    <row r="10" spans="1:26" ht="31" x14ac:dyDescent="0.35">
      <c r="A10" s="14" t="s">
        <v>245</v>
      </c>
      <c r="B10" s="4" t="s">
        <v>246</v>
      </c>
      <c r="C10">
        <v>1</v>
      </c>
      <c r="D10">
        <v>1</v>
      </c>
      <c r="E10">
        <v>0</v>
      </c>
      <c r="F10">
        <v>0</v>
      </c>
      <c r="G10">
        <v>5</v>
      </c>
      <c r="H10">
        <v>7</v>
      </c>
      <c r="I10">
        <v>24</v>
      </c>
      <c r="J10">
        <v>18</v>
      </c>
      <c r="K10">
        <v>0</v>
      </c>
      <c r="L10">
        <v>0</v>
      </c>
      <c r="M10">
        <v>0</v>
      </c>
      <c r="N10">
        <v>1</v>
      </c>
      <c r="O10">
        <v>0</v>
      </c>
      <c r="P10">
        <v>2</v>
      </c>
      <c r="Q10">
        <v>0</v>
      </c>
      <c r="R10">
        <v>1</v>
      </c>
      <c r="S10">
        <v>0</v>
      </c>
      <c r="T10">
        <v>2</v>
      </c>
      <c r="U10">
        <v>256</v>
      </c>
      <c r="V10">
        <v>3</v>
      </c>
      <c r="W10">
        <v>0</v>
      </c>
      <c r="X10">
        <v>1</v>
      </c>
      <c r="Y10">
        <v>4</v>
      </c>
      <c r="Z10">
        <f>SUM(ContraCosta[[#This Row],[American Sign Language Total]:[Other Total]])</f>
        <v>326</v>
      </c>
    </row>
    <row r="11" spans="1:26" x14ac:dyDescent="0.35">
      <c r="A11" s="14" t="s">
        <v>247</v>
      </c>
      <c r="B11" s="4" t="s">
        <v>188</v>
      </c>
      <c r="C11">
        <v>0</v>
      </c>
      <c r="D11">
        <v>2</v>
      </c>
      <c r="E11">
        <v>0</v>
      </c>
      <c r="F11">
        <v>0</v>
      </c>
      <c r="G11">
        <v>10</v>
      </c>
      <c r="H11">
        <v>0</v>
      </c>
      <c r="I11">
        <v>24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174</v>
      </c>
      <c r="V11">
        <v>1</v>
      </c>
      <c r="W11">
        <v>0</v>
      </c>
      <c r="X11">
        <v>0</v>
      </c>
      <c r="Y11">
        <v>4</v>
      </c>
      <c r="Z11">
        <f>SUM(ContraCosta[[#This Row],[American Sign Language Total]:[Other Total]])</f>
        <v>216</v>
      </c>
    </row>
    <row r="12" spans="1:26" ht="31" x14ac:dyDescent="0.35">
      <c r="A12" s="14" t="s">
        <v>710</v>
      </c>
      <c r="B12" s="4" t="s">
        <v>248</v>
      </c>
      <c r="C12">
        <v>0</v>
      </c>
      <c r="D12">
        <v>0</v>
      </c>
      <c r="E12">
        <v>0</v>
      </c>
      <c r="F12">
        <v>0</v>
      </c>
      <c r="G12">
        <v>72</v>
      </c>
      <c r="H12">
        <v>0</v>
      </c>
      <c r="I12">
        <v>90</v>
      </c>
      <c r="J12">
        <v>0</v>
      </c>
      <c r="K12">
        <v>0</v>
      </c>
      <c r="L12">
        <v>0</v>
      </c>
      <c r="M12">
        <v>0</v>
      </c>
      <c r="N12">
        <v>10</v>
      </c>
      <c r="O12">
        <v>0</v>
      </c>
      <c r="P12">
        <v>13</v>
      </c>
      <c r="Q12">
        <v>0</v>
      </c>
      <c r="R12">
        <v>0</v>
      </c>
      <c r="S12">
        <v>0</v>
      </c>
      <c r="T12">
        <v>1</v>
      </c>
      <c r="U12">
        <v>365</v>
      </c>
      <c r="V12">
        <v>0</v>
      </c>
      <c r="W12">
        <v>0</v>
      </c>
      <c r="X12">
        <v>0</v>
      </c>
      <c r="Y12">
        <v>4</v>
      </c>
      <c r="Z12" s="5">
        <f>SUM(ContraCosta[[#This Row],[American Sign Language Total]:[Other Total]])</f>
        <v>555</v>
      </c>
    </row>
    <row r="13" spans="1:26" x14ac:dyDescent="0.35">
      <c r="A13" s="14" t="s">
        <v>735</v>
      </c>
      <c r="B13" s="4" t="s">
        <v>735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34</v>
      </c>
      <c r="V13">
        <v>0</v>
      </c>
      <c r="W13">
        <v>0</v>
      </c>
      <c r="X13">
        <v>0</v>
      </c>
      <c r="Y13">
        <v>0</v>
      </c>
      <c r="Z13" s="5">
        <f>SUM(ContraCosta[[#This Row],[American Sign Language Total]:[Other Total]])</f>
        <v>34</v>
      </c>
    </row>
    <row r="14" spans="1:26" x14ac:dyDescent="0.35">
      <c r="A14" s="9" t="s">
        <v>190</v>
      </c>
      <c r="B14" s="8" t="s">
        <v>737</v>
      </c>
      <c r="C14" s="3">
        <f>SUBTOTAL(109,ContraCosta[American Sign Language Total])</f>
        <v>3</v>
      </c>
      <c r="D14" s="3">
        <f>SUBTOTAL(109,ContraCosta[Arabic Total])</f>
        <v>3</v>
      </c>
      <c r="E14" s="3">
        <f>SUBTOTAL(109,ContraCosta[Armenian Total])</f>
        <v>0</v>
      </c>
      <c r="F14" s="3">
        <f>SUBTOTAL(109,ContraCosta[Bengali Total])</f>
        <v>0</v>
      </c>
      <c r="G14" s="3">
        <f>SUBTOTAL(109,ContraCosta[Chinese (Mandarin or Cantonese) Total])</f>
        <v>156</v>
      </c>
      <c r="H14" s="3">
        <f>SUBTOTAL(109,ContraCosta[Farsi (Persian) Total])</f>
        <v>7</v>
      </c>
      <c r="I14" s="3">
        <f>SUBTOTAL(109,ContraCosta[French Total])</f>
        <v>271</v>
      </c>
      <c r="J14" s="3">
        <f>SUBTOTAL(109,ContraCosta[German Total])</f>
        <v>38</v>
      </c>
      <c r="K14" s="3">
        <f>SUBTOTAL(109,ContraCosta[Hebrew Total])</f>
        <v>0</v>
      </c>
      <c r="L14" s="3">
        <f>SUBTOTAL(109,ContraCosta[Hindi Total])</f>
        <v>0</v>
      </c>
      <c r="M14" s="3">
        <f>SUBTOTAL(109,ContraCosta[Hmong Total])</f>
        <v>0</v>
      </c>
      <c r="N14" s="3">
        <f>SUBTOTAL(109,ContraCosta[Italian Total])</f>
        <v>12</v>
      </c>
      <c r="O14" s="3">
        <f>SUBTOTAL(109,ContraCosta[Japanese Total])</f>
        <v>11</v>
      </c>
      <c r="P14" s="3">
        <f>SUBTOTAL(109,ContraCosta[Korean Total])</f>
        <v>15</v>
      </c>
      <c r="Q14" s="3">
        <f>SUBTOTAL(109,ContraCosta[Latin Total])</f>
        <v>56</v>
      </c>
      <c r="R14" s="3">
        <f>SUBTOTAL(109,ContraCosta[Portuguese Total])</f>
        <v>2</v>
      </c>
      <c r="S14" s="3">
        <f>SUBTOTAL(109,ContraCosta[Punjabi Total])</f>
        <v>0</v>
      </c>
      <c r="T14" s="3">
        <f>SUBTOTAL(109,ContraCosta[Russian Total])</f>
        <v>3</v>
      </c>
      <c r="U14" s="3">
        <f>SUBTOTAL(109,ContraCosta[Spanish Total])</f>
        <v>1564</v>
      </c>
      <c r="V14" s="3">
        <f>SUBTOTAL(109,ContraCosta[Tagalog (Filipino) Total])</f>
        <v>7</v>
      </c>
      <c r="W14" s="3">
        <f>SUBTOTAL(109,ContraCosta[Urdu Total])</f>
        <v>0</v>
      </c>
      <c r="X14" s="3">
        <f>SUBTOTAL(109,ContraCosta[Vietnamese Total])</f>
        <v>1</v>
      </c>
      <c r="Y14" s="3">
        <f>SUBTOTAL(109,ContraCosta[Other Total])</f>
        <v>14</v>
      </c>
      <c r="Z14" s="3">
        <f>SUBTOTAL(109,ContraCosta[Total Seals per Local Educational Agency])</f>
        <v>2163</v>
      </c>
    </row>
  </sheetData>
  <sortState xmlns:xlrd2="http://schemas.microsoft.com/office/spreadsheetml/2017/richdata2" ref="A2:BL12">
    <sortCondition ref="A2:A12"/>
  </sortState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"/>
  <sheetViews>
    <sheetView showGridLines="0" workbookViewId="0">
      <pane xSplit="1" ySplit="2" topLeftCell="B3" activePane="bottomRight" state="frozen"/>
      <selection activeCell="C4" sqref="C4:Z4"/>
      <selection pane="topRight" activeCell="C4" sqref="C4:Z4"/>
      <selection pane="bottomLeft" activeCell="C4" sqref="C4:Z4"/>
      <selection pane="bottomRight"/>
    </sheetView>
  </sheetViews>
  <sheetFormatPr defaultRowHeight="15.5" x14ac:dyDescent="0.35"/>
  <cols>
    <col min="1" max="1" width="36.69140625" customWidth="1"/>
    <col min="2" max="2" width="30.4609375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8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" customWidth="1"/>
  </cols>
  <sheetData>
    <row r="1" spans="1:26" ht="18" x14ac:dyDescent="0.4">
      <c r="A1" s="29" t="s">
        <v>29</v>
      </c>
    </row>
    <row r="2" spans="1:26" ht="62" x14ac:dyDescent="0.35">
      <c r="A2" s="2" t="s">
        <v>69</v>
      </c>
      <c r="B2" s="2" t="s">
        <v>70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249</v>
      </c>
      <c r="B3" t="s">
        <v>250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15</v>
      </c>
      <c r="V3">
        <v>0</v>
      </c>
      <c r="W3">
        <v>0</v>
      </c>
      <c r="X3">
        <v>0</v>
      </c>
      <c r="Y3">
        <v>4</v>
      </c>
      <c r="Z3">
        <f>SUM(DelNorte[[American Sign Language Total]:[Other Total]])</f>
        <v>20</v>
      </c>
    </row>
    <row r="4" spans="1:26" x14ac:dyDescent="0.35">
      <c r="A4" s="9" t="s">
        <v>180</v>
      </c>
      <c r="B4" s="8" t="s">
        <v>183</v>
      </c>
      <c r="C4">
        <f>SUBTOTAL(109,DelNorte[American Sign Language Total])</f>
        <v>0</v>
      </c>
      <c r="D4">
        <f>SUBTOTAL(109,DelNorte[Arabic Total])</f>
        <v>0</v>
      </c>
      <c r="E4">
        <f>SUBTOTAL(109,DelNorte[Armenian Total])</f>
        <v>0</v>
      </c>
      <c r="F4">
        <f>SUBTOTAL(109,DelNorte[Bengali Total])</f>
        <v>0</v>
      </c>
      <c r="G4">
        <f>SUBTOTAL(109,DelNorte[Chinese (Mandarin or Cantonese) Total])</f>
        <v>0</v>
      </c>
      <c r="H4">
        <f>SUBTOTAL(109,DelNorte[Farsi (Persian) Total])</f>
        <v>0</v>
      </c>
      <c r="I4">
        <f>SUBTOTAL(109,DelNorte[French Total])</f>
        <v>0</v>
      </c>
      <c r="J4">
        <f>SUBTOTAL(109,DelNorte[German Total])</f>
        <v>0</v>
      </c>
      <c r="K4">
        <f>SUBTOTAL(109,DelNorte[Hebrew Total])</f>
        <v>0</v>
      </c>
      <c r="L4">
        <f>SUBTOTAL(109,DelNorte[Hindi Total])</f>
        <v>0</v>
      </c>
      <c r="M4">
        <f>SUBTOTAL(109,DelNorte[Hmong Total])</f>
        <v>1</v>
      </c>
      <c r="N4">
        <f>SUBTOTAL(109,DelNorte[Italian Total])</f>
        <v>0</v>
      </c>
      <c r="O4">
        <f>SUBTOTAL(109,DelNorte[Japanese Total])</f>
        <v>0</v>
      </c>
      <c r="P4">
        <f>SUBTOTAL(109,DelNorte[Korean Total])</f>
        <v>0</v>
      </c>
      <c r="Q4">
        <f>SUBTOTAL(109,DelNorte[Latin Total])</f>
        <v>0</v>
      </c>
      <c r="R4">
        <f>SUBTOTAL(109,DelNorte[Portuguese Total])</f>
        <v>0</v>
      </c>
      <c r="S4">
        <f>SUBTOTAL(109,DelNorte[Punjabi Total])</f>
        <v>0</v>
      </c>
      <c r="T4">
        <f>SUBTOTAL(109,DelNorte[Russian Total])</f>
        <v>0</v>
      </c>
      <c r="U4">
        <f>SUBTOTAL(109,DelNorte[Spanish Total])</f>
        <v>15</v>
      </c>
      <c r="V4">
        <f>SUBTOTAL(109,DelNorte[Tagalog (Filipino) Total])</f>
        <v>0</v>
      </c>
      <c r="W4">
        <f>SUBTOTAL(109,DelNorte[Urdu Total])</f>
        <v>0</v>
      </c>
      <c r="X4">
        <f>SUBTOTAL(109,DelNorte[Vietnamese Total])</f>
        <v>0</v>
      </c>
      <c r="Y4">
        <f>SUBTOTAL(109,DelNorte[Other Total])</f>
        <v>4</v>
      </c>
      <c r="Z4">
        <f>SUBTOTAL(109,DelNorte[Total Seals per Local Educational Agency])</f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8"/>
  <sheetViews>
    <sheetView showGridLines="0" zoomScaleNormal="100" workbookViewId="0">
      <pane xSplit="1" ySplit="2" topLeftCell="B3" activePane="bottomRight" state="frozen"/>
      <selection activeCell="C4" sqref="C4:Z4"/>
      <selection pane="topRight" activeCell="C4" sqref="C4:Z4"/>
      <selection pane="bottomLeft" activeCell="C4" sqref="C4:Z4"/>
      <selection pane="bottomRight"/>
    </sheetView>
  </sheetViews>
  <sheetFormatPr defaultRowHeight="15.5" x14ac:dyDescent="0.35"/>
  <cols>
    <col min="1" max="1" width="34" customWidth="1"/>
    <col min="2" max="2" width="27.07421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074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9" t="s">
        <v>39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251</v>
      </c>
      <c r="B3" s="4" t="s">
        <v>251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R3">
        <v>0</v>
      </c>
      <c r="S3">
        <v>0</v>
      </c>
      <c r="T3">
        <v>1</v>
      </c>
      <c r="U3">
        <v>3</v>
      </c>
      <c r="V3">
        <v>0</v>
      </c>
      <c r="W3">
        <v>0</v>
      </c>
      <c r="X3">
        <v>0</v>
      </c>
      <c r="Y3">
        <v>0</v>
      </c>
      <c r="Z3">
        <f>SUM(ElDorado[[#This Row],[American Sign Language Total]:[Other Total]])</f>
        <v>7</v>
      </c>
    </row>
    <row r="4" spans="1:26" ht="18.5" customHeight="1" x14ac:dyDescent="0.35">
      <c r="A4" s="14" t="s">
        <v>739</v>
      </c>
      <c r="B4" s="4" t="s">
        <v>739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1</v>
      </c>
      <c r="U4">
        <v>3</v>
      </c>
      <c r="V4">
        <v>0</v>
      </c>
      <c r="W4">
        <v>0</v>
      </c>
      <c r="X4">
        <v>0</v>
      </c>
      <c r="Y4">
        <v>0</v>
      </c>
      <c r="Z4">
        <f>SUM(ElDorado[[#This Row],[American Sign Language Total]:[Other Total]])</f>
        <v>5</v>
      </c>
    </row>
    <row r="5" spans="1:26" ht="46.5" x14ac:dyDescent="0.35">
      <c r="A5" s="14" t="s">
        <v>252</v>
      </c>
      <c r="B5" s="2" t="s">
        <v>740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  <c r="I5">
        <v>25</v>
      </c>
      <c r="J5">
        <v>3</v>
      </c>
      <c r="K5">
        <v>0</v>
      </c>
      <c r="L5">
        <v>0</v>
      </c>
      <c r="M5">
        <v>0</v>
      </c>
      <c r="N5">
        <v>5</v>
      </c>
      <c r="O5">
        <v>18</v>
      </c>
      <c r="P5">
        <v>0</v>
      </c>
      <c r="Q5">
        <v>0</v>
      </c>
      <c r="R5">
        <v>0</v>
      </c>
      <c r="S5">
        <v>0</v>
      </c>
      <c r="T5">
        <v>0</v>
      </c>
      <c r="U5">
        <v>127</v>
      </c>
      <c r="V5">
        <v>0</v>
      </c>
      <c r="W5">
        <v>0</v>
      </c>
      <c r="X5">
        <v>0</v>
      </c>
      <c r="Y5">
        <v>0</v>
      </c>
      <c r="Z5" s="5">
        <f>SUM(ElDorado[[#This Row],[American Sign Language Total]:[Other Total]])</f>
        <v>180</v>
      </c>
    </row>
    <row r="6" spans="1:26" ht="31" x14ac:dyDescent="0.35">
      <c r="A6" s="16" t="s">
        <v>1221</v>
      </c>
      <c r="B6" s="4" t="s">
        <v>738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0</v>
      </c>
      <c r="U6">
        <v>4</v>
      </c>
      <c r="V6">
        <v>0</v>
      </c>
      <c r="W6">
        <v>0</v>
      </c>
      <c r="X6">
        <v>0</v>
      </c>
      <c r="Y6">
        <v>0</v>
      </c>
      <c r="Z6">
        <f>SUM(ElDorado[[#This Row],[American Sign Language Total]:[Other Total]])</f>
        <v>5</v>
      </c>
    </row>
    <row r="7" spans="1:26" x14ac:dyDescent="0.35">
      <c r="A7" s="14" t="s">
        <v>253</v>
      </c>
      <c r="B7" s="2" t="s">
        <v>254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60</v>
      </c>
      <c r="V7">
        <v>0</v>
      </c>
      <c r="W7">
        <v>0</v>
      </c>
      <c r="X7">
        <v>0</v>
      </c>
      <c r="Y7">
        <v>0</v>
      </c>
      <c r="Z7" s="5">
        <f>SUM(ElDorado[[#This Row],[American Sign Language Total]:[Other Total]])</f>
        <v>60</v>
      </c>
    </row>
    <row r="8" spans="1:26" x14ac:dyDescent="0.35">
      <c r="A8" s="9" t="s">
        <v>191</v>
      </c>
      <c r="B8" s="8" t="s">
        <v>628</v>
      </c>
      <c r="C8">
        <f>SUBTOTAL(109,ElDorado[American Sign Language Total])</f>
        <v>1</v>
      </c>
      <c r="D8">
        <f>SUBTOTAL(109,ElDorado[Arabic Total])</f>
        <v>0</v>
      </c>
      <c r="E8">
        <f>SUBTOTAL(109,ElDorado[Armenian Total])</f>
        <v>0</v>
      </c>
      <c r="F8">
        <f>SUBTOTAL(109,ElDorado[Bengali Total])</f>
        <v>0</v>
      </c>
      <c r="G8">
        <f>SUBTOTAL(109,ElDorado[Chinese (Mandarin or Cantonese) Total])</f>
        <v>2</v>
      </c>
      <c r="H8">
        <f>SUBTOTAL(109,ElDorado[Farsi (Persian) Total])</f>
        <v>0</v>
      </c>
      <c r="I8">
        <f>SUBTOTAL(109,ElDorado[French Total])</f>
        <v>27</v>
      </c>
      <c r="J8">
        <f>SUBTOTAL(109,ElDorado[German Total])</f>
        <v>3</v>
      </c>
      <c r="K8">
        <f>SUBTOTAL(109,ElDorado[Hebrew Total])</f>
        <v>0</v>
      </c>
      <c r="L8">
        <f>SUBTOTAL(109,ElDorado[Hindi Total])</f>
        <v>0</v>
      </c>
      <c r="M8">
        <f>SUBTOTAL(109,ElDorado[Hmong Total])</f>
        <v>0</v>
      </c>
      <c r="N8">
        <f>SUBTOTAL(109,ElDorado[Italian Total])</f>
        <v>5</v>
      </c>
      <c r="O8">
        <f>SUBTOTAL(109,ElDorado[Japanese Total])</f>
        <v>18</v>
      </c>
      <c r="P8">
        <f>SUBTOTAL(109,ElDorado[Korean Total])</f>
        <v>0</v>
      </c>
      <c r="Q8">
        <f>SUBTOTAL(109,ElDorado[Latin Total])</f>
        <v>2</v>
      </c>
      <c r="R8">
        <f>SUBTOTAL(109,ElDorado[Portuguese Total])</f>
        <v>0</v>
      </c>
      <c r="S8">
        <f>SUBTOTAL(109,ElDorado[Punjabi Total])</f>
        <v>0</v>
      </c>
      <c r="T8">
        <f>SUBTOTAL(109,ElDorado[Russian Total])</f>
        <v>2</v>
      </c>
      <c r="U8">
        <f>SUBTOTAL(109,ElDorado[Spanish Total])</f>
        <v>197</v>
      </c>
      <c r="V8">
        <f>SUBTOTAL(109,ElDorado[Tagalog (Filipino) Total])</f>
        <v>0</v>
      </c>
      <c r="W8">
        <f>SUBTOTAL(109,ElDorado[Urdu Total])</f>
        <v>0</v>
      </c>
      <c r="X8">
        <f>SUBTOTAL(109,ElDorado[Vietnamese Total])</f>
        <v>0</v>
      </c>
      <c r="Y8">
        <f>SUBTOTAL(109,ElDorado[Other Total])</f>
        <v>0</v>
      </c>
      <c r="Z8">
        <f>SUBTOTAL(109,ElDorado[Total Seals per Local Educational Agency])</f>
        <v>257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9"/>
  <sheetViews>
    <sheetView showGridLines="0" zoomScaleNormal="10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3" customWidth="1"/>
    <col min="2" max="2" width="35.69140625" customWidth="1"/>
    <col min="3" max="3" width="12.69140625" customWidth="1"/>
    <col min="4" max="4" width="8.4609375" bestFit="1" customWidth="1"/>
    <col min="5" max="5" width="11.23046875" bestFit="1" customWidth="1"/>
    <col min="6" max="6" width="9.4609375" bestFit="1" customWidth="1"/>
    <col min="7" max="7" width="12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84375" customWidth="1"/>
  </cols>
  <sheetData>
    <row r="1" spans="1:26" ht="18" x14ac:dyDescent="0.4">
      <c r="A1" s="29" t="s">
        <v>10</v>
      </c>
    </row>
    <row r="2" spans="1:26" ht="62" x14ac:dyDescent="0.35">
      <c r="A2" s="2" t="s">
        <v>65</v>
      </c>
      <c r="B2" s="5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4" t="s">
        <v>741</v>
      </c>
      <c r="B3" s="2" t="s">
        <v>745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2</v>
      </c>
      <c r="J3">
        <v>0</v>
      </c>
      <c r="K3">
        <v>0</v>
      </c>
      <c r="L3">
        <v>0</v>
      </c>
      <c r="M3">
        <v>4</v>
      </c>
      <c r="N3">
        <v>0</v>
      </c>
      <c r="O3">
        <v>0</v>
      </c>
      <c r="P3">
        <v>0</v>
      </c>
      <c r="Q3">
        <v>0</v>
      </c>
      <c r="R3">
        <v>0</v>
      </c>
      <c r="S3">
        <v>8</v>
      </c>
      <c r="T3">
        <v>0</v>
      </c>
      <c r="U3">
        <v>142</v>
      </c>
      <c r="V3">
        <v>0</v>
      </c>
      <c r="W3">
        <v>0</v>
      </c>
      <c r="X3">
        <v>0</v>
      </c>
      <c r="Y3">
        <v>0</v>
      </c>
      <c r="Z3">
        <f>SUM(Fresno[[#This Row],[American Sign Language Total]:[Other Total]])</f>
        <v>156</v>
      </c>
    </row>
    <row r="4" spans="1:26" ht="62" x14ac:dyDescent="0.35">
      <c r="A4" s="14" t="s">
        <v>1022</v>
      </c>
      <c r="B4" s="4" t="s">
        <v>746</v>
      </c>
      <c r="C4">
        <v>2</v>
      </c>
      <c r="D4">
        <v>4</v>
      </c>
      <c r="E4">
        <v>6</v>
      </c>
      <c r="F4">
        <v>0</v>
      </c>
      <c r="G4">
        <v>16</v>
      </c>
      <c r="H4">
        <v>1</v>
      </c>
      <c r="I4">
        <v>29</v>
      </c>
      <c r="J4">
        <v>0</v>
      </c>
      <c r="K4">
        <v>0</v>
      </c>
      <c r="L4">
        <v>1</v>
      </c>
      <c r="M4">
        <v>8</v>
      </c>
      <c r="N4">
        <v>0</v>
      </c>
      <c r="O4">
        <v>5</v>
      </c>
      <c r="P4">
        <v>2</v>
      </c>
      <c r="Q4">
        <v>0</v>
      </c>
      <c r="R4">
        <v>3</v>
      </c>
      <c r="S4">
        <v>6</v>
      </c>
      <c r="T4">
        <v>0</v>
      </c>
      <c r="U4">
        <v>236</v>
      </c>
      <c r="V4">
        <v>1</v>
      </c>
      <c r="W4">
        <v>0</v>
      </c>
      <c r="X4">
        <v>0</v>
      </c>
      <c r="Y4">
        <v>4</v>
      </c>
      <c r="Z4">
        <f>SUM(Fresno[[#This Row],[American Sign Language Total]:[Other Total]])</f>
        <v>324</v>
      </c>
    </row>
    <row r="5" spans="1:26" x14ac:dyDescent="0.35">
      <c r="A5" s="14" t="s">
        <v>99</v>
      </c>
      <c r="B5" s="2" t="s">
        <v>255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52</v>
      </c>
      <c r="V5">
        <v>0</v>
      </c>
      <c r="W5">
        <v>0</v>
      </c>
      <c r="X5">
        <v>0</v>
      </c>
      <c r="Y5">
        <v>0</v>
      </c>
      <c r="Z5">
        <f>SUM(Fresno[[#This Row],[American Sign Language Total]:[Other Total]])</f>
        <v>54</v>
      </c>
    </row>
    <row r="6" spans="1:26" x14ac:dyDescent="0.35">
      <c r="A6" s="14" t="s">
        <v>256</v>
      </c>
      <c r="B6" s="4" t="s">
        <v>257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</v>
      </c>
      <c r="V6">
        <v>0</v>
      </c>
      <c r="W6">
        <v>0</v>
      </c>
      <c r="X6">
        <v>0</v>
      </c>
      <c r="Y6">
        <v>0</v>
      </c>
      <c r="Z6">
        <f>SUM(Fresno[[#This Row],[American Sign Language Total]:[Other Total]])</f>
        <v>6</v>
      </c>
    </row>
    <row r="7" spans="1:26" x14ac:dyDescent="0.35">
      <c r="A7" s="14" t="s">
        <v>100</v>
      </c>
      <c r="B7" s="4" t="s">
        <v>189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21</v>
      </c>
      <c r="V7">
        <v>0</v>
      </c>
      <c r="W7">
        <v>0</v>
      </c>
      <c r="X7">
        <v>0</v>
      </c>
      <c r="Y7">
        <v>0</v>
      </c>
      <c r="Z7">
        <f>SUM(Fresno[[#This Row],[American Sign Language Total]:[Other Total]])</f>
        <v>21</v>
      </c>
    </row>
    <row r="8" spans="1:26" ht="135.5" customHeight="1" x14ac:dyDescent="0.35">
      <c r="A8" s="14" t="s">
        <v>101</v>
      </c>
      <c r="B8" s="2" t="s">
        <v>747</v>
      </c>
      <c r="C8">
        <v>4</v>
      </c>
      <c r="D8">
        <v>0</v>
      </c>
      <c r="E8">
        <v>1</v>
      </c>
      <c r="F8">
        <v>0</v>
      </c>
      <c r="G8">
        <v>0</v>
      </c>
      <c r="H8">
        <v>0</v>
      </c>
      <c r="I8">
        <v>4</v>
      </c>
      <c r="J8">
        <v>0</v>
      </c>
      <c r="K8">
        <v>0</v>
      </c>
      <c r="L8">
        <v>2</v>
      </c>
      <c r="M8">
        <v>77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2</v>
      </c>
      <c r="U8">
        <v>742</v>
      </c>
      <c r="V8">
        <v>1</v>
      </c>
      <c r="W8">
        <v>0</v>
      </c>
      <c r="X8">
        <v>2</v>
      </c>
      <c r="Y8">
        <v>3</v>
      </c>
      <c r="Z8">
        <f>SUM(Fresno[[#This Row],[American Sign Language Total]:[Other Total]])</f>
        <v>840</v>
      </c>
    </row>
    <row r="9" spans="1:26" x14ac:dyDescent="0.35">
      <c r="A9" s="14" t="s">
        <v>102</v>
      </c>
      <c r="B9" s="4" t="s">
        <v>258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16</v>
      </c>
      <c r="V9">
        <v>0</v>
      </c>
      <c r="W9">
        <v>0</v>
      </c>
      <c r="X9">
        <v>0</v>
      </c>
      <c r="Y9">
        <v>0</v>
      </c>
      <c r="Z9">
        <f>SUM(Fresno[[#This Row],[American Sign Language Total]:[Other Total]])</f>
        <v>16</v>
      </c>
    </row>
    <row r="10" spans="1:26" ht="31" x14ac:dyDescent="0.35">
      <c r="A10" s="14" t="s">
        <v>259</v>
      </c>
      <c r="B10" s="2" t="s">
        <v>260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5</v>
      </c>
      <c r="T10">
        <v>0</v>
      </c>
      <c r="U10">
        <v>50</v>
      </c>
      <c r="V10">
        <v>0</v>
      </c>
      <c r="W10">
        <v>1</v>
      </c>
      <c r="X10">
        <v>0</v>
      </c>
      <c r="Y10">
        <v>0</v>
      </c>
      <c r="Z10">
        <f>SUM(Fresno[[#This Row],[American Sign Language Total]:[Other Total]])</f>
        <v>56</v>
      </c>
    </row>
    <row r="11" spans="1:26" x14ac:dyDescent="0.35">
      <c r="A11" s="14" t="s">
        <v>103</v>
      </c>
      <c r="B11" s="2" t="s">
        <v>261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47</v>
      </c>
      <c r="V11">
        <v>0</v>
      </c>
      <c r="W11">
        <v>0</v>
      </c>
      <c r="X11">
        <v>0</v>
      </c>
      <c r="Y11">
        <v>0</v>
      </c>
      <c r="Z11">
        <f>SUM(Fresno[[#This Row],[American Sign Language Total]:[Other Total]])</f>
        <v>47</v>
      </c>
    </row>
    <row r="12" spans="1:26" x14ac:dyDescent="0.35">
      <c r="A12" s="14" t="s">
        <v>742</v>
      </c>
      <c r="B12" s="2" t="s">
        <v>748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10</v>
      </c>
      <c r="V12">
        <v>0</v>
      </c>
      <c r="W12">
        <v>0</v>
      </c>
      <c r="X12">
        <v>0</v>
      </c>
      <c r="Y12">
        <v>0</v>
      </c>
      <c r="Z12">
        <f>SUM(Fresno[[#This Row],[American Sign Language Total]:[Other Total]])</f>
        <v>10</v>
      </c>
    </row>
    <row r="13" spans="1:26" x14ac:dyDescent="0.35">
      <c r="A13" s="14" t="s">
        <v>262</v>
      </c>
      <c r="B13" s="2" t="s">
        <v>263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57</v>
      </c>
      <c r="V13">
        <v>0</v>
      </c>
      <c r="W13">
        <v>0</v>
      </c>
      <c r="X13">
        <v>0</v>
      </c>
      <c r="Y13">
        <v>0</v>
      </c>
      <c r="Z13">
        <f>SUM(Fresno[[#This Row],[American Sign Language Total]:[Other Total]])</f>
        <v>57</v>
      </c>
    </row>
    <row r="14" spans="1:26" x14ac:dyDescent="0.35">
      <c r="A14" s="14" t="s">
        <v>264</v>
      </c>
      <c r="B14" s="2" t="s">
        <v>749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5</v>
      </c>
      <c r="J14">
        <v>0</v>
      </c>
      <c r="K14">
        <v>0</v>
      </c>
      <c r="L14">
        <v>0</v>
      </c>
      <c r="M14">
        <v>18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83</v>
      </c>
      <c r="V14">
        <v>0</v>
      </c>
      <c r="W14">
        <v>0</v>
      </c>
      <c r="X14">
        <v>0</v>
      </c>
      <c r="Y14">
        <v>0</v>
      </c>
      <c r="Z14">
        <f>SUM(Fresno[[#This Row],[American Sign Language Total]:[Other Total]])</f>
        <v>106</v>
      </c>
    </row>
    <row r="15" spans="1:26" x14ac:dyDescent="0.35">
      <c r="A15" s="14" t="s">
        <v>265</v>
      </c>
      <c r="B15" s="4" t="s">
        <v>266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13</v>
      </c>
      <c r="V15">
        <v>0</v>
      </c>
      <c r="W15">
        <v>0</v>
      </c>
      <c r="X15">
        <v>0</v>
      </c>
      <c r="Y15">
        <v>0</v>
      </c>
      <c r="Z15">
        <f>SUM(Fresno[[#This Row],[American Sign Language Total]:[Other Total]])</f>
        <v>13</v>
      </c>
    </row>
    <row r="16" spans="1:26" x14ac:dyDescent="0.35">
      <c r="A16" s="14" t="s">
        <v>743</v>
      </c>
      <c r="B16" s="4" t="s">
        <v>743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5</v>
      </c>
      <c r="J16">
        <v>3</v>
      </c>
      <c r="K16">
        <v>0</v>
      </c>
      <c r="L16">
        <v>0</v>
      </c>
      <c r="M16">
        <v>0</v>
      </c>
      <c r="N16">
        <v>2</v>
      </c>
      <c r="O16">
        <v>0</v>
      </c>
      <c r="P16">
        <v>0</v>
      </c>
      <c r="Q16">
        <v>13</v>
      </c>
      <c r="R16">
        <v>0</v>
      </c>
      <c r="S16">
        <v>0</v>
      </c>
      <c r="T16">
        <v>0</v>
      </c>
      <c r="U16">
        <v>35</v>
      </c>
      <c r="V16">
        <v>0</v>
      </c>
      <c r="W16">
        <v>0</v>
      </c>
      <c r="X16">
        <v>0</v>
      </c>
      <c r="Y16">
        <v>0</v>
      </c>
      <c r="Z16" s="5">
        <f>SUM(Fresno[[#This Row],[American Sign Language Total]:[Other Total]])</f>
        <v>58</v>
      </c>
    </row>
    <row r="17" spans="1:26" x14ac:dyDescent="0.35">
      <c r="A17" s="14" t="s">
        <v>177</v>
      </c>
      <c r="B17" s="2" t="s">
        <v>267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19</v>
      </c>
      <c r="V17">
        <v>0</v>
      </c>
      <c r="W17">
        <v>0</v>
      </c>
      <c r="X17">
        <v>0</v>
      </c>
      <c r="Y17">
        <v>0</v>
      </c>
      <c r="Z17" s="5">
        <f>SUM(Fresno[[#This Row],[American Sign Language Total]:[Other Total]])</f>
        <v>19</v>
      </c>
    </row>
    <row r="18" spans="1:26" x14ac:dyDescent="0.35">
      <c r="A18" s="14" t="s">
        <v>268</v>
      </c>
      <c r="B18" s="2" t="s">
        <v>268</v>
      </c>
      <c r="C18">
        <v>2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0</v>
      </c>
      <c r="U18">
        <v>4</v>
      </c>
      <c r="V18">
        <v>0</v>
      </c>
      <c r="W18">
        <v>0</v>
      </c>
      <c r="X18">
        <v>0</v>
      </c>
      <c r="Y18">
        <v>0</v>
      </c>
      <c r="Z18" s="5">
        <f>SUM(Fresno[[#This Row],[American Sign Language Total]:[Other Total]])</f>
        <v>8</v>
      </c>
    </row>
    <row r="19" spans="1:26" x14ac:dyDescent="0.35">
      <c r="A19" s="9" t="s">
        <v>744</v>
      </c>
      <c r="B19" s="8" t="s">
        <v>750</v>
      </c>
      <c r="C19" s="3">
        <f>SUBTOTAL(109,Fresno[American Sign Language Total])</f>
        <v>8</v>
      </c>
      <c r="D19" s="3">
        <f>SUBTOTAL(109,Fresno[Arabic Total])</f>
        <v>5</v>
      </c>
      <c r="E19" s="3">
        <f>SUBTOTAL(109,Fresno[Armenian Total])</f>
        <v>7</v>
      </c>
      <c r="F19" s="3">
        <f>SUBTOTAL(109,Fresno[Bengali Total])</f>
        <v>0</v>
      </c>
      <c r="G19" s="3">
        <f>SUBTOTAL(109,Fresno[Chinese (Mandarin or Cantonese) Total])</f>
        <v>16</v>
      </c>
      <c r="H19" s="3">
        <f>SUBTOTAL(109,Fresno[Farsi (Persian) Total])</f>
        <v>1</v>
      </c>
      <c r="I19" s="3">
        <f>SUBTOTAL(109,Fresno[French Total])</f>
        <v>45</v>
      </c>
      <c r="J19" s="3">
        <f>SUBTOTAL(109,Fresno[German Total])</f>
        <v>3</v>
      </c>
      <c r="K19" s="3">
        <f>SUBTOTAL(109,Fresno[Hebrew Total])</f>
        <v>0</v>
      </c>
      <c r="L19" s="3">
        <f>SUBTOTAL(109,Fresno[Hindi Total])</f>
        <v>3</v>
      </c>
      <c r="M19" s="3">
        <f>SUBTOTAL(109,Fresno[Hmong Total])</f>
        <v>108</v>
      </c>
      <c r="N19" s="3">
        <f>SUBTOTAL(109,Fresno[Italian Total])</f>
        <v>2</v>
      </c>
      <c r="O19" s="3">
        <f>SUBTOTAL(109,Fresno[Japanese Total])</f>
        <v>5</v>
      </c>
      <c r="P19" s="3">
        <f>SUBTOTAL(109,Fresno[Korean Total])</f>
        <v>2</v>
      </c>
      <c r="Q19" s="3">
        <f>SUBTOTAL(109,Fresno[Latin Total])</f>
        <v>15</v>
      </c>
      <c r="R19" s="3">
        <f>SUBTOTAL(109,Fresno[Portuguese Total])</f>
        <v>3</v>
      </c>
      <c r="S19" s="3">
        <f>SUBTOTAL(109,Fresno[Punjabi Total])</f>
        <v>21</v>
      </c>
      <c r="T19" s="3">
        <f>SUBTOTAL(109,Fresno[Russian Total])</f>
        <v>2</v>
      </c>
      <c r="U19" s="3">
        <f>SUBTOTAL(109,Fresno[Spanish Total])</f>
        <v>1533</v>
      </c>
      <c r="V19" s="3">
        <f>SUBTOTAL(109,Fresno[Tagalog (Filipino) Total])</f>
        <v>2</v>
      </c>
      <c r="W19" s="3">
        <f>SUBTOTAL(109,Fresno[Urdu Total])</f>
        <v>1</v>
      </c>
      <c r="X19" s="3">
        <f>SUBTOTAL(109,Fresno[Vietnamese Total])</f>
        <v>2</v>
      </c>
      <c r="Y19" s="3">
        <f>SUBTOTAL(109,Fresno[Other Total])</f>
        <v>7</v>
      </c>
      <c r="Z19">
        <f>SUBTOTAL(109,Fresno[Total Seals per Local Educational Agency])</f>
        <v>1791</v>
      </c>
    </row>
  </sheetData>
  <sortState xmlns:xlrd2="http://schemas.microsoft.com/office/spreadsheetml/2017/richdata2" ref="A2:AH15">
    <sortCondition ref="A2:A15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6"/>
  <sheetViews>
    <sheetView showGridLines="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ColWidth="9.07421875" defaultRowHeight="15.5" x14ac:dyDescent="0.35"/>
  <cols>
    <col min="1" max="1" width="29" bestFit="1" customWidth="1"/>
    <col min="2" max="2" width="29.53515625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customWidth="1"/>
    <col min="18" max="18" width="12.84375" bestFit="1" customWidth="1"/>
    <col min="19" max="19" width="9.53515625" bestFit="1" customWidth="1"/>
    <col min="20" max="20" width="9.84375" bestFit="1" customWidth="1"/>
    <col min="21" max="21" width="8.84375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9140625" customWidth="1"/>
  </cols>
  <sheetData>
    <row r="1" spans="1:26" ht="18" x14ac:dyDescent="0.4">
      <c r="A1" s="29" t="s">
        <v>22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751</v>
      </c>
      <c r="B3" s="5" t="s">
        <v>751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2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f>SUM(Glenn[[#This Row],[American Sign Language Total]:[Other Total]])</f>
        <v>4</v>
      </c>
    </row>
    <row r="4" spans="1:26" x14ac:dyDescent="0.35">
      <c r="A4" s="14" t="s">
        <v>269</v>
      </c>
      <c r="B4" s="5" t="s">
        <v>270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18</v>
      </c>
      <c r="V4">
        <v>0</v>
      </c>
      <c r="W4">
        <v>0</v>
      </c>
      <c r="X4">
        <v>0</v>
      </c>
      <c r="Y4">
        <v>0</v>
      </c>
      <c r="Z4" s="5">
        <f>SUM(Glenn[[#This Row],[American Sign Language Total]:[Other Total]])</f>
        <v>18</v>
      </c>
    </row>
    <row r="5" spans="1:26" x14ac:dyDescent="0.35">
      <c r="A5" s="14" t="s">
        <v>1023</v>
      </c>
      <c r="B5" s="5" t="s">
        <v>752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13</v>
      </c>
      <c r="V5">
        <v>0</v>
      </c>
      <c r="W5">
        <v>0</v>
      </c>
      <c r="X5">
        <v>0</v>
      </c>
      <c r="Y5">
        <v>0</v>
      </c>
      <c r="Z5" s="5">
        <f>SUM(Glenn[[#This Row],[American Sign Language Total]:[Other Total]])</f>
        <v>13</v>
      </c>
    </row>
    <row r="6" spans="1:26" x14ac:dyDescent="0.35">
      <c r="A6" s="9" t="s">
        <v>186</v>
      </c>
      <c r="B6" s="8" t="s">
        <v>187</v>
      </c>
      <c r="C6">
        <f>SUBTOTAL(109,Glenn[American Sign Language Total])</f>
        <v>0</v>
      </c>
      <c r="D6">
        <f>SUBTOTAL(109,Glenn[Arabic Total])</f>
        <v>0</v>
      </c>
      <c r="E6">
        <f>SUBTOTAL(109,Glenn[Armenian Total])</f>
        <v>0</v>
      </c>
      <c r="F6">
        <f>SUBTOTAL(109,Glenn[Bengali Total])</f>
        <v>0</v>
      </c>
      <c r="G6">
        <f>SUBTOTAL(109,Glenn[Chinese (Mandarin or Cantonese) Total])</f>
        <v>0</v>
      </c>
      <c r="H6">
        <f>SUBTOTAL(109,Glenn[Farsi (Persian) Total])</f>
        <v>0</v>
      </c>
      <c r="I6">
        <f>SUBTOTAL(109,Glenn[French Total])</f>
        <v>1</v>
      </c>
      <c r="J6">
        <f>SUBTOTAL(109,Glenn[German Total])</f>
        <v>0</v>
      </c>
      <c r="K6">
        <f>SUBTOTAL(109,Glenn[Hebrew Total])</f>
        <v>0</v>
      </c>
      <c r="L6">
        <f>SUBTOTAL(109,Glenn[Hindi Total])</f>
        <v>0</v>
      </c>
      <c r="M6">
        <f>SUBTOTAL(109,Glenn[Hmong Total])</f>
        <v>0</v>
      </c>
      <c r="N6">
        <f>SUBTOTAL(109,Glenn[Italian Total])</f>
        <v>0</v>
      </c>
      <c r="O6">
        <f>SUBTOTAL(109,Glenn[Japanese Total])</f>
        <v>0</v>
      </c>
      <c r="P6">
        <f>SUBTOTAL(109,Glenn[Korean Total])</f>
        <v>0</v>
      </c>
      <c r="Q6">
        <f>SUBTOTAL(109,Glenn[Latin Total])</f>
        <v>2</v>
      </c>
      <c r="R6">
        <f>SUBTOTAL(109,Glenn[Portuguese Total])</f>
        <v>0</v>
      </c>
      <c r="S6">
        <f>SUBTOTAL(109,Glenn[Punjabi Total])</f>
        <v>0</v>
      </c>
      <c r="T6">
        <f>SUBTOTAL(109,Glenn[Russian Total])</f>
        <v>0</v>
      </c>
      <c r="U6">
        <f>SUBTOTAL(109,Glenn[Spanish Total])</f>
        <v>32</v>
      </c>
      <c r="V6">
        <f>SUBTOTAL(109,Glenn[Tagalog (Filipino) Total])</f>
        <v>0</v>
      </c>
      <c r="W6">
        <f>SUBTOTAL(109,Glenn[Urdu Total])</f>
        <v>0</v>
      </c>
      <c r="X6">
        <f>SUBTOTAL(109,Glenn[Vietnamese Total])</f>
        <v>0</v>
      </c>
      <c r="Y6">
        <f>SUBTOTAL(109,Glenn[Other Total])</f>
        <v>0</v>
      </c>
      <c r="Z6">
        <f>SUBTOTAL(109,Glenn[Total Seals per Local Educational Agency])</f>
        <v>35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8"/>
  <sheetViews>
    <sheetView showGridLines="0" zoomScaleNormal="10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42.23046875" customWidth="1"/>
    <col min="2" max="2" width="26.84375" style="4" bestFit="1" customWidth="1"/>
    <col min="3" max="3" width="12.07421875" customWidth="1"/>
    <col min="4" max="4" width="8.4609375" bestFit="1" customWidth="1"/>
    <col min="5" max="5" width="11.23046875" bestFit="1" customWidth="1"/>
    <col min="6" max="6" width="9.4609375" bestFit="1" customWidth="1"/>
    <col min="7" max="7" width="12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9" t="s">
        <v>13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104</v>
      </c>
      <c r="B3" s="2" t="s">
        <v>271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2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29</v>
      </c>
      <c r="V3">
        <v>1</v>
      </c>
      <c r="W3">
        <v>0</v>
      </c>
      <c r="X3">
        <v>0</v>
      </c>
      <c r="Y3">
        <v>0</v>
      </c>
      <c r="Z3">
        <f>SUM(Humboldt[[#This Row],[American Sign Language Total]:[Other Total]])</f>
        <v>33</v>
      </c>
    </row>
    <row r="4" spans="1:26" x14ac:dyDescent="0.35">
      <c r="A4" s="14" t="s">
        <v>272</v>
      </c>
      <c r="B4" s="4" t="s">
        <v>273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7</v>
      </c>
      <c r="V4">
        <v>0</v>
      </c>
      <c r="W4">
        <v>0</v>
      </c>
      <c r="X4">
        <v>0</v>
      </c>
      <c r="Y4">
        <v>0</v>
      </c>
      <c r="Z4">
        <f>SUM(Humboldt[[#This Row],[American Sign Language Total]:[Other Total]])</f>
        <v>7</v>
      </c>
    </row>
    <row r="5" spans="1:26" ht="31" x14ac:dyDescent="0.35">
      <c r="A5" s="14" t="s">
        <v>274</v>
      </c>
      <c r="B5" s="4" t="s">
        <v>755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40</v>
      </c>
      <c r="V5">
        <v>0</v>
      </c>
      <c r="W5">
        <v>0</v>
      </c>
      <c r="X5">
        <v>0</v>
      </c>
      <c r="Y5">
        <v>0</v>
      </c>
      <c r="Z5">
        <f>SUM(Humboldt[[#This Row],[American Sign Language Total]:[Other Total]])</f>
        <v>41</v>
      </c>
    </row>
    <row r="6" spans="1:26" ht="31" x14ac:dyDescent="0.35">
      <c r="A6" s="14" t="s">
        <v>753</v>
      </c>
      <c r="B6" s="4" t="s">
        <v>754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14</v>
      </c>
      <c r="J6">
        <v>8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60</v>
      </c>
      <c r="V6">
        <v>0</v>
      </c>
      <c r="W6">
        <v>0</v>
      </c>
      <c r="X6">
        <v>0</v>
      </c>
      <c r="Y6">
        <v>0</v>
      </c>
      <c r="Z6">
        <f>SUM(Humboldt[[#This Row],[American Sign Language Total]:[Other Total]])</f>
        <v>82</v>
      </c>
    </row>
    <row r="7" spans="1:26" x14ac:dyDescent="0.35">
      <c r="A7" s="14" t="s">
        <v>275</v>
      </c>
      <c r="B7" s="4" t="s">
        <v>276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3</v>
      </c>
      <c r="V7">
        <v>0</v>
      </c>
      <c r="W7">
        <v>0</v>
      </c>
      <c r="X7">
        <v>0</v>
      </c>
      <c r="Y7">
        <v>0</v>
      </c>
      <c r="Z7">
        <f>SUM(Humboldt[[#This Row],[American Sign Language Total]:[Other Total]])</f>
        <v>3</v>
      </c>
    </row>
    <row r="8" spans="1:26" x14ac:dyDescent="0.35">
      <c r="A8" s="9" t="s">
        <v>191</v>
      </c>
      <c r="B8" s="8" t="s">
        <v>628</v>
      </c>
      <c r="C8">
        <f>SUBTOTAL(109,Humboldt[American Sign Language Total])</f>
        <v>0</v>
      </c>
      <c r="D8">
        <f>SUBTOTAL(109,Humboldt[Arabic Total])</f>
        <v>2</v>
      </c>
      <c r="E8">
        <f>SUBTOTAL(109,Humboldt[Armenian Total])</f>
        <v>0</v>
      </c>
      <c r="F8">
        <f>SUBTOTAL(109,Humboldt[Bengali Total])</f>
        <v>0</v>
      </c>
      <c r="G8">
        <f>SUBTOTAL(109,Humboldt[Chinese (Mandarin or Cantonese) Total])</f>
        <v>0</v>
      </c>
      <c r="H8">
        <f>SUBTOTAL(109,Humboldt[Farsi (Persian) Total])</f>
        <v>0</v>
      </c>
      <c r="I8">
        <f>SUBTOTAL(109,Humboldt[French Total])</f>
        <v>14</v>
      </c>
      <c r="J8">
        <f>SUBTOTAL(109,Humboldt[German Total])</f>
        <v>10</v>
      </c>
      <c r="K8">
        <f>SUBTOTAL(109,Humboldt[Hebrew Total])</f>
        <v>0</v>
      </c>
      <c r="L8">
        <f>SUBTOTAL(109,Humboldt[Hindi Total])</f>
        <v>0</v>
      </c>
      <c r="M8">
        <f>SUBTOTAL(109,Humboldt[Hmong Total])</f>
        <v>0</v>
      </c>
      <c r="N8">
        <f>SUBTOTAL(109,Humboldt[Italian Total])</f>
        <v>0</v>
      </c>
      <c r="O8">
        <f>SUBTOTAL(109,Humboldt[Japanese Total])</f>
        <v>0</v>
      </c>
      <c r="P8">
        <f>SUBTOTAL(109,Humboldt[Korean Total])</f>
        <v>0</v>
      </c>
      <c r="Q8">
        <f>SUBTOTAL(109,Humboldt[Latin Total])</f>
        <v>0</v>
      </c>
      <c r="R8">
        <f>SUBTOTAL(109,Humboldt[Portuguese Total])</f>
        <v>0</v>
      </c>
      <c r="S8">
        <f>SUBTOTAL(109,Humboldt[Punjabi Total])</f>
        <v>0</v>
      </c>
      <c r="T8">
        <f>SUBTOTAL(109,Humboldt[Russian Total])</f>
        <v>0</v>
      </c>
      <c r="U8">
        <f>SUBTOTAL(109,Humboldt[Spanish Total])</f>
        <v>139</v>
      </c>
      <c r="V8">
        <f>SUBTOTAL(109,Humboldt[Tagalog (Filipino) Total])</f>
        <v>1</v>
      </c>
      <c r="W8">
        <f>SUBTOTAL(109,Humboldt[Urdu Total])</f>
        <v>0</v>
      </c>
      <c r="X8">
        <f>SUBTOTAL(109,Humboldt[Vietnamese Total])</f>
        <v>0</v>
      </c>
      <c r="Y8">
        <f>SUBTOTAL(109,Humboldt[Other Total])</f>
        <v>0</v>
      </c>
      <c r="Z8">
        <f>SUBTOTAL(109,Humboldt[Total Seals per Local Educational Agency])</f>
        <v>166</v>
      </c>
    </row>
  </sheetData>
  <sortState xmlns:xlrd2="http://schemas.microsoft.com/office/spreadsheetml/2017/richdata2" ref="A2:BL7">
    <sortCondition ref="A2:A7"/>
  </sortState>
  <pageMargins left="0.7" right="0.7" top="0.75" bottom="0.75" header="0.3" footer="0.3"/>
  <pageSetup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7"/>
  <sheetViews>
    <sheetView showGridLines="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6.07421875" customWidth="1"/>
    <col min="2" max="2" width="31.07421875" customWidth="1"/>
    <col min="3" max="3" width="12.23046875" customWidth="1"/>
    <col min="4" max="4" width="8.4609375" bestFit="1" customWidth="1"/>
    <col min="5" max="5" width="11.23046875" bestFit="1" customWidth="1"/>
    <col min="6" max="6" width="9.4609375" bestFit="1" customWidth="1"/>
    <col min="7" max="7" width="12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9" t="s">
        <v>47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4" t="s">
        <v>277</v>
      </c>
      <c r="B3" s="2" t="s">
        <v>756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43</v>
      </c>
      <c r="V3">
        <v>0</v>
      </c>
      <c r="W3">
        <v>0</v>
      </c>
      <c r="X3">
        <v>0</v>
      </c>
      <c r="Y3">
        <v>0</v>
      </c>
      <c r="Z3">
        <f>SUM(Imperial[[#This Row],[American Sign Language Total]:[Other Total]])</f>
        <v>43</v>
      </c>
    </row>
    <row r="4" spans="1:26" x14ac:dyDescent="0.35">
      <c r="A4" s="14" t="s">
        <v>278</v>
      </c>
      <c r="B4" s="5" t="s">
        <v>279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122</v>
      </c>
      <c r="V4">
        <v>0</v>
      </c>
      <c r="W4">
        <v>0</v>
      </c>
      <c r="X4">
        <v>0</v>
      </c>
      <c r="Y4">
        <v>0</v>
      </c>
      <c r="Z4">
        <f>SUM(Imperial[[#This Row],[American Sign Language Total]:[Other Total]])</f>
        <v>122</v>
      </c>
    </row>
    <row r="5" spans="1:26" ht="23.5" customHeight="1" x14ac:dyDescent="0.35">
      <c r="A5" s="14" t="s">
        <v>280</v>
      </c>
      <c r="B5" s="2" t="s">
        <v>281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89</v>
      </c>
      <c r="V5">
        <v>0</v>
      </c>
      <c r="W5">
        <v>0</v>
      </c>
      <c r="X5">
        <v>0</v>
      </c>
      <c r="Y5">
        <v>0</v>
      </c>
      <c r="Z5">
        <f>SUM(Imperial[[#This Row],[American Sign Language Total]:[Other Total]])</f>
        <v>89</v>
      </c>
    </row>
    <row r="6" spans="1:26" x14ac:dyDescent="0.35">
      <c r="A6" s="14" t="s">
        <v>282</v>
      </c>
      <c r="B6" s="5" t="s">
        <v>283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32</v>
      </c>
      <c r="V6">
        <v>0</v>
      </c>
      <c r="W6">
        <v>0</v>
      </c>
      <c r="X6">
        <v>0</v>
      </c>
      <c r="Y6">
        <v>0</v>
      </c>
      <c r="Z6" s="5">
        <f>SUM(Imperial[[#This Row],[American Sign Language Total]:[Other Total]])</f>
        <v>32</v>
      </c>
    </row>
    <row r="7" spans="1:26" x14ac:dyDescent="0.35">
      <c r="A7" s="9" t="s">
        <v>196</v>
      </c>
      <c r="B7" s="8" t="s">
        <v>192</v>
      </c>
      <c r="C7">
        <f>SUBTOTAL(109,Imperial[American Sign Language Total])</f>
        <v>0</v>
      </c>
      <c r="D7">
        <f>SUBTOTAL(109,Imperial[Arabic Total])</f>
        <v>0</v>
      </c>
      <c r="E7">
        <f>SUBTOTAL(109,Imperial[Armenian Total])</f>
        <v>0</v>
      </c>
      <c r="F7">
        <f>SUBTOTAL(109,Imperial[Bengali Total])</f>
        <v>0</v>
      </c>
      <c r="G7">
        <f>SUBTOTAL(109,Imperial[Chinese (Mandarin or Cantonese) Total])</f>
        <v>0</v>
      </c>
      <c r="H7">
        <f>SUBTOTAL(109,Imperial[Farsi (Persian) Total])</f>
        <v>0</v>
      </c>
      <c r="I7">
        <f>SUBTOTAL(109,Imperial[French Total])</f>
        <v>0</v>
      </c>
      <c r="J7">
        <f>SUBTOTAL(109,Imperial[German Total])</f>
        <v>0</v>
      </c>
      <c r="K7">
        <f>SUBTOTAL(109,Imperial[Hebrew Total])</f>
        <v>0</v>
      </c>
      <c r="L7">
        <f>SUBTOTAL(109,Imperial[Hindi Total])</f>
        <v>0</v>
      </c>
      <c r="M7">
        <f>SUBTOTAL(109,Imperial[Hmong Total])</f>
        <v>0</v>
      </c>
      <c r="N7">
        <f>SUBTOTAL(109,Imperial[Italian Total])</f>
        <v>0</v>
      </c>
      <c r="O7">
        <f>SUBTOTAL(109,Imperial[Japanese Total])</f>
        <v>0</v>
      </c>
      <c r="P7">
        <f>SUBTOTAL(109,Imperial[Korean Total])</f>
        <v>0</v>
      </c>
      <c r="Q7">
        <f>SUBTOTAL(109,Imperial[Latin Total])</f>
        <v>0</v>
      </c>
      <c r="R7">
        <f>SUBTOTAL(109,Imperial[Portuguese Total])</f>
        <v>0</v>
      </c>
      <c r="S7">
        <f>SUBTOTAL(109,Imperial[Punjabi Total])</f>
        <v>0</v>
      </c>
      <c r="T7">
        <f>SUBTOTAL(109,Imperial[Russian Total])</f>
        <v>0</v>
      </c>
      <c r="U7">
        <f>SUBTOTAL(109,Imperial[Spanish Total])</f>
        <v>286</v>
      </c>
      <c r="V7">
        <f>SUBTOTAL(109,Imperial[Tagalog (Filipino) Total])</f>
        <v>0</v>
      </c>
      <c r="W7">
        <f>SUBTOTAL(109,Imperial[Urdu Total])</f>
        <v>0</v>
      </c>
      <c r="X7">
        <f>SUBTOTAL(109,Imperial[Vietnamese Total])</f>
        <v>0</v>
      </c>
      <c r="Y7">
        <f>SUBTOTAL(109,Imperial[Other Total])</f>
        <v>0</v>
      </c>
      <c r="Z7">
        <f>SUBTOTAL(109,Imperial[Total Seals per Local Educational Agency])</f>
        <v>286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D599-3BA0-4CD6-9904-967F8D4A5608}">
  <dimension ref="A1:Z4"/>
  <sheetViews>
    <sheetView showGridLines="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2.23046875" customWidth="1"/>
    <col min="2" max="2" width="27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9" t="s">
        <v>76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284</v>
      </c>
      <c r="B3" s="5" t="s">
        <v>285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17</v>
      </c>
      <c r="V3">
        <v>0</v>
      </c>
      <c r="W3">
        <v>0</v>
      </c>
      <c r="X3">
        <v>0</v>
      </c>
      <c r="Y3">
        <v>0</v>
      </c>
      <c r="Z3">
        <f>SUM(Inyo[[American Sign Language Total]:[Other Total]])</f>
        <v>17</v>
      </c>
    </row>
    <row r="4" spans="1:26" x14ac:dyDescent="0.35">
      <c r="A4" s="9" t="s">
        <v>180</v>
      </c>
      <c r="B4" s="8" t="s">
        <v>183</v>
      </c>
      <c r="C4">
        <f>SUBTOTAL(109,Inyo[American Sign Language Total])</f>
        <v>0</v>
      </c>
      <c r="D4">
        <f>SUBTOTAL(109,Inyo[Arabic Total])</f>
        <v>0</v>
      </c>
      <c r="E4">
        <f>SUBTOTAL(109,Inyo[Armenian Total])</f>
        <v>0</v>
      </c>
      <c r="F4">
        <f>SUBTOTAL(109,Inyo[Bengali Total])</f>
        <v>0</v>
      </c>
      <c r="G4">
        <f>SUBTOTAL(109,Inyo[Chinese (Mandarin or Cantonese) Total])</f>
        <v>0</v>
      </c>
      <c r="H4">
        <f>SUBTOTAL(109,Inyo[Farsi (Persian) Total])</f>
        <v>0</v>
      </c>
      <c r="I4">
        <f>SUBTOTAL(109,Inyo[French Total])</f>
        <v>0</v>
      </c>
      <c r="J4">
        <f>SUBTOTAL(109,Inyo[German Total])</f>
        <v>0</v>
      </c>
      <c r="K4">
        <f>SUBTOTAL(109,Inyo[Hebrew Total])</f>
        <v>0</v>
      </c>
      <c r="L4">
        <f>SUBTOTAL(109,Inyo[Hindi Total])</f>
        <v>0</v>
      </c>
      <c r="M4">
        <f>SUBTOTAL(109,Inyo[Hmong Total])</f>
        <v>0</v>
      </c>
      <c r="N4">
        <f>SUBTOTAL(109,Inyo[Italian Total])</f>
        <v>0</v>
      </c>
      <c r="O4">
        <f>SUBTOTAL(109,Inyo[Japanese Total])</f>
        <v>0</v>
      </c>
      <c r="P4">
        <f>SUBTOTAL(109,Inyo[Korean Total])</f>
        <v>0</v>
      </c>
      <c r="Q4">
        <f>SUBTOTAL(109,Inyo[Latin Total])</f>
        <v>0</v>
      </c>
      <c r="R4">
        <f>SUBTOTAL(109,Inyo[Portuguese Total])</f>
        <v>0</v>
      </c>
      <c r="S4">
        <f>SUBTOTAL(109,Inyo[Punjabi Total])</f>
        <v>0</v>
      </c>
      <c r="T4">
        <f>SUBTOTAL(109,Inyo[Russian Total])</f>
        <v>0</v>
      </c>
      <c r="U4">
        <f>SUBTOTAL(109,Inyo[Spanish Total])</f>
        <v>17</v>
      </c>
      <c r="V4">
        <f>SUBTOTAL(109,Inyo[Tagalog (Filipino) Total])</f>
        <v>0</v>
      </c>
      <c r="W4">
        <f>SUBTOTAL(109,Inyo[Urdu Total])</f>
        <v>0</v>
      </c>
      <c r="X4">
        <f>SUBTOTAL(109,Inyo[Vietnamese Total])</f>
        <v>0</v>
      </c>
      <c r="Y4">
        <f>SUBTOTAL(109,Inyo[Other Total])</f>
        <v>0</v>
      </c>
      <c r="Z4">
        <f>SUBTOTAL(109,Inyo[Total Seals per Local Educational Agency])</f>
        <v>17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4"/>
  <sheetViews>
    <sheetView showGridLines="0" zoomScaleNormal="10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8.4609375" customWidth="1"/>
    <col min="2" max="2" width="37.69140625" style="4" customWidth="1"/>
    <col min="3" max="3" width="12.3046875" customWidth="1"/>
    <col min="4" max="4" width="8.4609375" bestFit="1" customWidth="1"/>
    <col min="5" max="5" width="11.23046875" bestFit="1" customWidth="1"/>
    <col min="6" max="6" width="9.4609375" bestFit="1" customWidth="1"/>
    <col min="7" max="7" width="13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9" t="s">
        <v>16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193</v>
      </c>
      <c r="B3" s="4" t="s">
        <v>193</v>
      </c>
      <c r="C3">
        <v>1</v>
      </c>
      <c r="D3">
        <v>0</v>
      </c>
      <c r="E3">
        <v>0</v>
      </c>
      <c r="F3">
        <v>0</v>
      </c>
      <c r="G3">
        <v>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</v>
      </c>
      <c r="W3">
        <v>0</v>
      </c>
      <c r="X3">
        <v>0</v>
      </c>
      <c r="Y3">
        <v>0</v>
      </c>
      <c r="Z3" s="3">
        <f>SUM(Kern[[#This Row],[American Sign Language Total]:[Other Total]])</f>
        <v>8</v>
      </c>
    </row>
    <row r="4" spans="1:26" ht="31" x14ac:dyDescent="0.35">
      <c r="A4" s="14" t="s">
        <v>757</v>
      </c>
      <c r="B4" s="4" t="s">
        <v>760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345</v>
      </c>
      <c r="V4">
        <v>0</v>
      </c>
      <c r="W4">
        <v>0</v>
      </c>
      <c r="X4">
        <v>0</v>
      </c>
      <c r="Y4">
        <v>0</v>
      </c>
      <c r="Z4">
        <f>SUM(Kern[[#This Row],[American Sign Language Total]:[Other Total]])</f>
        <v>345</v>
      </c>
    </row>
    <row r="5" spans="1:26" x14ac:dyDescent="0.35">
      <c r="A5" s="14" t="s">
        <v>758</v>
      </c>
      <c r="B5" s="4" t="s">
        <v>758</v>
      </c>
      <c r="C5">
        <v>2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7</v>
      </c>
      <c r="V5">
        <v>0</v>
      </c>
      <c r="W5">
        <v>0</v>
      </c>
      <c r="X5">
        <v>0</v>
      </c>
      <c r="Y5">
        <v>0</v>
      </c>
      <c r="Z5">
        <f>SUM(Kern[[#This Row],[American Sign Language Total]:[Other Total]])</f>
        <v>11</v>
      </c>
    </row>
    <row r="6" spans="1:26" ht="108.5" x14ac:dyDescent="0.35">
      <c r="A6" s="14" t="s">
        <v>286</v>
      </c>
      <c r="B6" s="4" t="s">
        <v>1024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70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10</v>
      </c>
      <c r="T6">
        <v>0</v>
      </c>
      <c r="U6">
        <v>2147</v>
      </c>
      <c r="V6">
        <v>0</v>
      </c>
      <c r="W6">
        <v>0</v>
      </c>
      <c r="X6">
        <v>1</v>
      </c>
      <c r="Y6">
        <v>2</v>
      </c>
      <c r="Z6">
        <f>SUM(Kern[[#This Row],[American Sign Language Total]:[Other Total]])</f>
        <v>2232</v>
      </c>
    </row>
    <row r="7" spans="1:26" x14ac:dyDescent="0.35">
      <c r="A7" s="14" t="s">
        <v>287</v>
      </c>
      <c r="B7" s="4" t="s">
        <v>194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68</v>
      </c>
      <c r="V7">
        <v>0</v>
      </c>
      <c r="W7">
        <v>0</v>
      </c>
      <c r="X7">
        <v>0</v>
      </c>
      <c r="Y7">
        <v>0</v>
      </c>
      <c r="Z7" s="5">
        <f>SUM(Kern[[#This Row],[American Sign Language Total]:[Other Total]])</f>
        <v>68</v>
      </c>
    </row>
    <row r="8" spans="1:26" ht="31" x14ac:dyDescent="0.35">
      <c r="A8" s="14" t="s">
        <v>288</v>
      </c>
      <c r="B8" s="4" t="s">
        <v>761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</v>
      </c>
      <c r="V8">
        <v>0</v>
      </c>
      <c r="W8">
        <v>0</v>
      </c>
      <c r="X8">
        <v>0</v>
      </c>
      <c r="Y8">
        <v>0</v>
      </c>
      <c r="Z8" s="5">
        <f>SUM(Kern[[#This Row],[American Sign Language Total]:[Other Total]])</f>
        <v>3</v>
      </c>
    </row>
    <row r="9" spans="1:26" x14ac:dyDescent="0.35">
      <c r="A9" s="14" t="s">
        <v>105</v>
      </c>
      <c r="B9" s="4" t="s">
        <v>289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12</v>
      </c>
      <c r="V9">
        <v>0</v>
      </c>
      <c r="W9">
        <v>0</v>
      </c>
      <c r="X9">
        <v>0</v>
      </c>
      <c r="Y9">
        <v>0</v>
      </c>
      <c r="Z9" s="5">
        <f>SUM(Kern[[#This Row],[American Sign Language Total]:[Other Total]])</f>
        <v>12</v>
      </c>
    </row>
    <row r="10" spans="1:26" x14ac:dyDescent="0.35">
      <c r="A10" s="14" t="s">
        <v>759</v>
      </c>
      <c r="B10" s="4" t="s">
        <v>759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 s="5">
        <f>SUM(Kern[[#This Row],[American Sign Language Total]:[Other Total]])</f>
        <v>1</v>
      </c>
    </row>
    <row r="11" spans="1:26" x14ac:dyDescent="0.35">
      <c r="A11" s="14" t="s">
        <v>290</v>
      </c>
      <c r="B11" s="4" t="s">
        <v>291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25</v>
      </c>
      <c r="V11">
        <v>0</v>
      </c>
      <c r="W11">
        <v>0</v>
      </c>
      <c r="X11">
        <v>0</v>
      </c>
      <c r="Y11">
        <v>0</v>
      </c>
      <c r="Z11" s="5">
        <f>SUM(Kern[[#This Row],[American Sign Language Total]:[Other Total]])</f>
        <v>25</v>
      </c>
    </row>
    <row r="12" spans="1:26" x14ac:dyDescent="0.35">
      <c r="A12" s="14" t="s">
        <v>106</v>
      </c>
      <c r="B12" s="4" t="s">
        <v>106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32</v>
      </c>
      <c r="V12">
        <v>0</v>
      </c>
      <c r="W12">
        <v>0</v>
      </c>
      <c r="X12">
        <v>0</v>
      </c>
      <c r="Y12">
        <v>0</v>
      </c>
      <c r="Z12" s="5">
        <f>SUM(Kern[[#This Row],[American Sign Language Total]:[Other Total]])</f>
        <v>32</v>
      </c>
    </row>
    <row r="13" spans="1:26" ht="31" x14ac:dyDescent="0.35">
      <c r="A13" s="16" t="s">
        <v>292</v>
      </c>
      <c r="B13" s="4" t="s">
        <v>292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11</v>
      </c>
      <c r="V13">
        <v>0</v>
      </c>
      <c r="W13">
        <v>0</v>
      </c>
      <c r="X13">
        <v>0</v>
      </c>
      <c r="Y13">
        <v>0</v>
      </c>
      <c r="Z13" s="5">
        <f>SUM(Kern[[#This Row],[American Sign Language Total]:[Other Total]])</f>
        <v>11</v>
      </c>
    </row>
    <row r="14" spans="1:26" x14ac:dyDescent="0.35">
      <c r="A14" s="9" t="s">
        <v>190</v>
      </c>
      <c r="B14" s="8" t="s">
        <v>762</v>
      </c>
      <c r="C14" s="3">
        <f>SUBTOTAL(109,Kern[American Sign Language Total])</f>
        <v>4</v>
      </c>
      <c r="D14" s="3">
        <f>SUBTOTAL(109,Kern[Arabic Total])</f>
        <v>0</v>
      </c>
      <c r="E14" s="3">
        <f>SUBTOTAL(109,Kern[Armenian Total])</f>
        <v>0</v>
      </c>
      <c r="F14" s="3">
        <f>SUBTOTAL(109,Kern[Bengali Total])</f>
        <v>0</v>
      </c>
      <c r="G14" s="3">
        <f>SUBTOTAL(109,Kern[Chinese (Mandarin or Cantonese) Total])</f>
        <v>4</v>
      </c>
      <c r="H14" s="3">
        <f>SUBTOTAL(109,Kern[Farsi (Persian) Total])</f>
        <v>0</v>
      </c>
      <c r="I14" s="3">
        <f>SUBTOTAL(109,Kern[French Total])</f>
        <v>71</v>
      </c>
      <c r="J14" s="3">
        <f>SUBTOTAL(109,Kern[German Total])</f>
        <v>0</v>
      </c>
      <c r="K14" s="3">
        <f>SUBTOTAL(109,Kern[Hebrew Total])</f>
        <v>0</v>
      </c>
      <c r="L14" s="3">
        <f>SUBTOTAL(109,Kern[Hindi Total])</f>
        <v>0</v>
      </c>
      <c r="M14" s="3">
        <f>SUBTOTAL(109,Kern[Hmong Total])</f>
        <v>0</v>
      </c>
      <c r="N14" s="3">
        <f>SUBTOTAL(109,Kern[Italian Total])</f>
        <v>0</v>
      </c>
      <c r="O14" s="3">
        <f>SUBTOTAL(109,Kern[Japanese Total])</f>
        <v>1</v>
      </c>
      <c r="P14" s="3">
        <f>SUBTOTAL(109,Kern[Korean Total])</f>
        <v>0</v>
      </c>
      <c r="Q14" s="3">
        <f>SUBTOTAL(109,Kern[Latin Total])</f>
        <v>1</v>
      </c>
      <c r="R14" s="3">
        <f>SUBTOTAL(109,Kern[Portuguese Total])</f>
        <v>0</v>
      </c>
      <c r="S14" s="3">
        <f>SUBTOTAL(109,Kern[Punjabi Total])</f>
        <v>10</v>
      </c>
      <c r="T14" s="3">
        <f>SUBTOTAL(109,Kern[Russian Total])</f>
        <v>0</v>
      </c>
      <c r="U14" s="3">
        <f>SUBTOTAL(109,Kern[Spanish Total])</f>
        <v>2654</v>
      </c>
      <c r="V14" s="3">
        <f>SUBTOTAL(109,Kern[Tagalog (Filipino) Total])</f>
        <v>0</v>
      </c>
      <c r="W14" s="3">
        <f>SUBTOTAL(109,Kern[Urdu Total])</f>
        <v>0</v>
      </c>
      <c r="X14" s="3">
        <f>SUBTOTAL(109,Kern[Vietnamese Total])</f>
        <v>1</v>
      </c>
      <c r="Y14" s="3">
        <f>SUBTOTAL(109,Kern[Other Total])</f>
        <v>2</v>
      </c>
      <c r="Z14" s="3">
        <f>SUBTOTAL(109,Kern[Total Seals per Local Educational Agency])</f>
        <v>2748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5"/>
  <sheetViews>
    <sheetView showGridLines="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7.3046875" customWidth="1"/>
    <col min="2" max="2" width="28" customWidth="1"/>
    <col min="3" max="3" width="13.4609375" customWidth="1"/>
    <col min="4" max="4" width="8.4609375" bestFit="1" customWidth="1"/>
    <col min="5" max="5" width="11.23046875" bestFit="1" customWidth="1"/>
    <col min="6" max="6" width="9.4609375" bestFit="1" customWidth="1"/>
    <col min="7" max="7" width="13.074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921875" customWidth="1"/>
  </cols>
  <sheetData>
    <row r="1" spans="1:26" ht="18" x14ac:dyDescent="0.4">
      <c r="A1" s="29" t="s">
        <v>33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4" t="s">
        <v>293</v>
      </c>
      <c r="B3" s="4" t="s">
        <v>294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46</v>
      </c>
      <c r="V3">
        <v>0</v>
      </c>
      <c r="W3">
        <v>0</v>
      </c>
      <c r="X3">
        <v>0</v>
      </c>
      <c r="Y3">
        <v>0</v>
      </c>
      <c r="Z3">
        <f>SUM(Kings[[#This Row],[American Sign Language Total]:[Other Total]])</f>
        <v>46</v>
      </c>
    </row>
    <row r="4" spans="1:26" ht="31" x14ac:dyDescent="0.35">
      <c r="A4" s="14" t="s">
        <v>295</v>
      </c>
      <c r="B4" s="2" t="s">
        <v>296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34</v>
      </c>
      <c r="V4">
        <v>0</v>
      </c>
      <c r="W4">
        <v>0</v>
      </c>
      <c r="X4">
        <v>0</v>
      </c>
      <c r="Y4">
        <v>0</v>
      </c>
      <c r="Z4" s="5">
        <f>SUM(Kings[[#This Row],[American Sign Language Total]:[Other Total]])</f>
        <v>35</v>
      </c>
    </row>
    <row r="5" spans="1:26" x14ac:dyDescent="0.35">
      <c r="A5" s="9" t="s">
        <v>195</v>
      </c>
      <c r="B5" s="8" t="s">
        <v>763</v>
      </c>
      <c r="C5">
        <f>SUBTOTAL(109,Kings[American Sign Language Total])</f>
        <v>0</v>
      </c>
      <c r="D5">
        <f>SUBTOTAL(109,Kings[Arabic Total])</f>
        <v>0</v>
      </c>
      <c r="E5">
        <f>SUBTOTAL(109,Kings[Armenian Total])</f>
        <v>0</v>
      </c>
      <c r="F5">
        <f>SUBTOTAL(109,Kings[Bengali Total])</f>
        <v>0</v>
      </c>
      <c r="G5">
        <f>SUBTOTAL(109,Kings[Chinese (Mandarin or Cantonese) Total])</f>
        <v>0</v>
      </c>
      <c r="H5">
        <f>SUBTOTAL(109,Kings[Farsi (Persian) Total])</f>
        <v>0</v>
      </c>
      <c r="I5">
        <f>SUBTOTAL(109,Kings[French Total])</f>
        <v>0</v>
      </c>
      <c r="J5">
        <f>SUBTOTAL(109,Kings[German Total])</f>
        <v>0</v>
      </c>
      <c r="K5">
        <f>SUBTOTAL(109,Kings[Hebrew Total])</f>
        <v>0</v>
      </c>
      <c r="L5">
        <f>SUBTOTAL(109,Kings[Hindi Total])</f>
        <v>0</v>
      </c>
      <c r="M5">
        <f>SUBTOTAL(109,Kings[Hmong Total])</f>
        <v>0</v>
      </c>
      <c r="N5">
        <f>SUBTOTAL(109,Kings[Italian Total])</f>
        <v>0</v>
      </c>
      <c r="O5">
        <f>SUBTOTAL(109,Kings[Japanese Total])</f>
        <v>1</v>
      </c>
      <c r="P5">
        <f>SUBTOTAL(109,Kings[Korean Total])</f>
        <v>0</v>
      </c>
      <c r="Q5">
        <f>SUBTOTAL(109,Kings[Latin Total])</f>
        <v>0</v>
      </c>
      <c r="R5">
        <f>SUBTOTAL(109,Kings[Portuguese Total])</f>
        <v>0</v>
      </c>
      <c r="S5">
        <f>SUBTOTAL(109,Kings[Punjabi Total])</f>
        <v>0</v>
      </c>
      <c r="T5">
        <f>SUBTOTAL(109,Kings[Russian Total])</f>
        <v>0</v>
      </c>
      <c r="U5">
        <f>SUBTOTAL(109,Kings[Spanish Total])</f>
        <v>80</v>
      </c>
      <c r="V5">
        <f>SUBTOTAL(109,Kings[Tagalog (Filipino) Total])</f>
        <v>0</v>
      </c>
      <c r="W5">
        <f>SUBTOTAL(109,Kings[Urdu Total])</f>
        <v>0</v>
      </c>
      <c r="X5">
        <f>SUBTOTAL(109,Kings[Vietnamese Total])</f>
        <v>0</v>
      </c>
      <c r="Y5">
        <f>SUBTOTAL(109,Kings[Other Total])</f>
        <v>0</v>
      </c>
      <c r="Z5">
        <f>SUBTOTAL(109,Kings[Total Seals per Local Educational Agency])</f>
        <v>81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5"/>
  <sheetViews>
    <sheetView showGridLines="0" workbookViewId="0">
      <pane xSplit="1" ySplit="2" topLeftCell="B3" activePane="bottomRight" state="frozen"/>
      <selection activeCell="C14" sqref="C14"/>
      <selection pane="topRight" activeCell="C14" sqref="C14"/>
      <selection pane="bottomLeft" activeCell="C14" sqref="C14"/>
      <selection pane="bottomRight"/>
    </sheetView>
  </sheetViews>
  <sheetFormatPr defaultRowHeight="15.5" x14ac:dyDescent="0.35"/>
  <cols>
    <col min="1" max="1" width="30.07421875" customWidth="1"/>
    <col min="2" max="2" width="24.3046875" customWidth="1"/>
    <col min="3" max="3" width="14.69140625" customWidth="1"/>
    <col min="4" max="4" width="8.4609375" bestFit="1" customWidth="1"/>
    <col min="5" max="5" width="11.23046875" bestFit="1" customWidth="1"/>
    <col min="6" max="6" width="9.4609375" bestFit="1" customWidth="1"/>
    <col min="7" max="7" width="12.15234375" customWidth="1"/>
    <col min="8" max="8" width="10.69140625" bestFit="1" customWidth="1"/>
    <col min="9" max="10" width="8.8437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9" t="s">
        <v>36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764</v>
      </c>
      <c r="B3" s="4" t="s">
        <v>765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22</v>
      </c>
      <c r="V3">
        <v>0</v>
      </c>
      <c r="W3">
        <v>0</v>
      </c>
      <c r="X3">
        <v>0</v>
      </c>
      <c r="Y3">
        <v>0</v>
      </c>
      <c r="Z3">
        <f>SUM(Lake[[#This Row],[American Sign Language Total]:[Other Total]])</f>
        <v>22</v>
      </c>
    </row>
    <row r="4" spans="1:26" x14ac:dyDescent="0.35">
      <c r="A4" s="14" t="s">
        <v>1025</v>
      </c>
      <c r="B4" s="4" t="s">
        <v>297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 s="5">
        <f>SUM(Lake[[#This Row],[American Sign Language Total]:[Other Total]])</f>
        <v>1</v>
      </c>
    </row>
    <row r="5" spans="1:26" x14ac:dyDescent="0.35">
      <c r="A5" s="9" t="s">
        <v>195</v>
      </c>
      <c r="B5" s="8" t="s">
        <v>181</v>
      </c>
      <c r="C5">
        <f>SUBTOTAL(109,Lake[American Sign Language Total])</f>
        <v>0</v>
      </c>
      <c r="D5">
        <f>SUBTOTAL(109,Lake[Arabic Total])</f>
        <v>0</v>
      </c>
      <c r="E5">
        <f>SUBTOTAL(109,Lake[Armenian Total])</f>
        <v>0</v>
      </c>
      <c r="F5">
        <f>SUBTOTAL(109,Lake[Bengali Total])</f>
        <v>0</v>
      </c>
      <c r="G5">
        <f>SUBTOTAL(109,Lake[Chinese (Mandarin or Cantonese) Total])</f>
        <v>0</v>
      </c>
      <c r="H5">
        <f>SUBTOTAL(109,Lake[Farsi (Persian) Total])</f>
        <v>0</v>
      </c>
      <c r="I5">
        <f>SUBTOTAL(109,Lake[French Total])</f>
        <v>0</v>
      </c>
      <c r="J5">
        <f>SUBTOTAL(109,Lake[German Total])</f>
        <v>0</v>
      </c>
      <c r="K5">
        <f>SUBTOTAL(109,Lake[Hebrew Total])</f>
        <v>0</v>
      </c>
      <c r="L5">
        <f>SUBTOTAL(109,Lake[Hindi Total])</f>
        <v>0</v>
      </c>
      <c r="M5">
        <f>SUBTOTAL(109,Lake[Hmong Total])</f>
        <v>0</v>
      </c>
      <c r="N5">
        <f>SUBTOTAL(109,Lake[Italian Total])</f>
        <v>0</v>
      </c>
      <c r="O5">
        <f>SUBTOTAL(109,Lake[Japanese Total])</f>
        <v>0</v>
      </c>
      <c r="P5">
        <f>SUBTOTAL(109,Lake[Korean Total])</f>
        <v>0</v>
      </c>
      <c r="Q5">
        <f>SUBTOTAL(109,Lake[Latin Total])</f>
        <v>0</v>
      </c>
      <c r="R5">
        <f>SUBTOTAL(109,Lake[Portuguese Total])</f>
        <v>0</v>
      </c>
      <c r="S5">
        <f>SUBTOTAL(109,Lake[Punjabi Total])</f>
        <v>0</v>
      </c>
      <c r="T5">
        <f>SUBTOTAL(109,Lake[Russian Total])</f>
        <v>0</v>
      </c>
      <c r="U5">
        <f>SUBTOTAL(109,Lake[Spanish Total])</f>
        <v>23</v>
      </c>
      <c r="V5">
        <f>SUBTOTAL(109,Lake[Tagalog (Filipino) Total])</f>
        <v>0</v>
      </c>
      <c r="W5">
        <f>SUBTOTAL(109,Lake[Urdu Total])</f>
        <v>0</v>
      </c>
      <c r="X5">
        <f>SUBTOTAL(109,Lake[Vietnamese Total])</f>
        <v>0</v>
      </c>
      <c r="Y5">
        <f>SUBTOTAL(109,Lake[Other Total])</f>
        <v>0</v>
      </c>
      <c r="Z5">
        <f>SUBTOTAL(109,Lake[Total Seals per Local Educational Agency])</f>
        <v>23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"/>
  <sheetViews>
    <sheetView showGridLines="0" workbookViewId="0">
      <pane xSplit="1" ySplit="2" topLeftCell="B3" activePane="bottomRight" state="frozen"/>
      <selection activeCell="A124" sqref="A124"/>
      <selection pane="topRight" activeCell="A124" sqref="A124"/>
      <selection pane="bottomLeft" activeCell="A124" sqref="A124"/>
      <selection pane="bottomRight"/>
    </sheetView>
  </sheetViews>
  <sheetFormatPr defaultRowHeight="15.5" x14ac:dyDescent="0.35"/>
  <cols>
    <col min="1" max="1" width="27.69140625" bestFit="1" customWidth="1"/>
    <col min="2" max="2" width="19.4609375" customWidth="1"/>
    <col min="3" max="3" width="12.3046875" customWidth="1"/>
    <col min="4" max="4" width="8.4609375" bestFit="1" customWidth="1"/>
    <col min="5" max="5" width="11.23046875" bestFit="1" customWidth="1"/>
    <col min="6" max="6" width="9.4609375" bestFit="1" customWidth="1"/>
    <col min="7" max="7" width="12.23046875" customWidth="1"/>
    <col min="8" max="8" width="10.69140625" bestFit="1" customWidth="1"/>
    <col min="9" max="10" width="8.8437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9" t="s">
        <v>44</v>
      </c>
    </row>
    <row r="2" spans="1:26" ht="62" x14ac:dyDescent="0.35">
      <c r="A2" s="2" t="s">
        <v>69</v>
      </c>
      <c r="B2" s="2" t="s">
        <v>70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83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298</v>
      </c>
      <c r="B3" s="4" t="s">
        <v>299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20</v>
      </c>
      <c r="V3">
        <v>0</v>
      </c>
      <c r="W3">
        <v>0</v>
      </c>
      <c r="X3">
        <v>0</v>
      </c>
      <c r="Y3">
        <v>0</v>
      </c>
      <c r="Z3" s="5">
        <f>SUM(Lassen[[American Sign Language Total]:[Other Total]])</f>
        <v>20</v>
      </c>
    </row>
    <row r="4" spans="1:26" x14ac:dyDescent="0.35">
      <c r="A4" s="9" t="s">
        <v>180</v>
      </c>
      <c r="B4" s="8" t="s">
        <v>183</v>
      </c>
      <c r="C4">
        <f>SUBTOTAL(109,Lassen[American Sign Language Total])</f>
        <v>0</v>
      </c>
      <c r="D4">
        <f>SUBTOTAL(109,Lassen[Arabic Total])</f>
        <v>0</v>
      </c>
      <c r="E4">
        <f>SUBTOTAL(109,Lassen[Armenian Total])</f>
        <v>0</v>
      </c>
      <c r="F4">
        <f>SUBTOTAL(109,Lassen[Bengali Total])</f>
        <v>0</v>
      </c>
      <c r="G4">
        <f>SUBTOTAL(109,Lassen[Chinese (Mandarin or Cantonese) Total])</f>
        <v>0</v>
      </c>
      <c r="H4">
        <f>SUBTOTAL(109,Lassen[Farsi (Persian) Total])</f>
        <v>0</v>
      </c>
      <c r="I4">
        <f>SUBTOTAL(109,Lassen[French Total])</f>
        <v>0</v>
      </c>
      <c r="J4">
        <f>SUBTOTAL(109,Lassen[German Total])</f>
        <v>0</v>
      </c>
      <c r="K4">
        <f>SUBTOTAL(109,Lassen[Hebrew Total])</f>
        <v>0</v>
      </c>
      <c r="L4">
        <f>SUBTOTAL(109,Lassen[Hindi Total])</f>
        <v>0</v>
      </c>
      <c r="M4">
        <f>SUBTOTAL(109,Lassen[Hmong Total])</f>
        <v>0</v>
      </c>
      <c r="N4">
        <f>SUBTOTAL(109,Lassen[Italian Total])</f>
        <v>0</v>
      </c>
      <c r="O4">
        <f>SUBTOTAL(109,Lassen[Japanese Total])</f>
        <v>0</v>
      </c>
      <c r="P4">
        <f>SUBTOTAL(109,Lassen[Korean Total])</f>
        <v>0</v>
      </c>
      <c r="Q4">
        <f>SUBTOTAL(109,Lassen[Latin Total])</f>
        <v>0</v>
      </c>
      <c r="R4">
        <f>SUBTOTAL(109,Lassen[Portuguese Total])</f>
        <v>0</v>
      </c>
      <c r="S4">
        <f>SUBTOTAL(109,Lassen[[Punjabi Total ]])</f>
        <v>0</v>
      </c>
      <c r="T4">
        <f>SUBTOTAL(109,Lassen[Russian Total])</f>
        <v>0</v>
      </c>
      <c r="U4">
        <f>SUBTOTAL(109,Lassen[Spanish Total])</f>
        <v>20</v>
      </c>
      <c r="V4">
        <f>SUBTOTAL(109,Lassen[Tagalog (Filipino) Total])</f>
        <v>0</v>
      </c>
      <c r="W4">
        <f>SUBTOTAL(109,Lassen[Urdu Total])</f>
        <v>0</v>
      </c>
      <c r="X4">
        <f>SUBTOTAL(109,Lassen[Vietnamese Total])</f>
        <v>0</v>
      </c>
      <c r="Y4">
        <f>SUBTOTAL(109,Lassen[Other Total])</f>
        <v>0</v>
      </c>
      <c r="Z4">
        <f>SUBTOTAL(109,Lassen[Total Seals per Local Educational Agency])</f>
        <v>20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27"/>
  <sheetViews>
    <sheetView showGridLines="0" zoomScaleNormal="100" workbookViewId="0">
      <pane xSplit="1" ySplit="2" topLeftCell="B3" activePane="bottomRight" state="frozen"/>
      <selection activeCell="B99" sqref="B99"/>
      <selection pane="topRight" activeCell="B99" sqref="B99"/>
      <selection pane="bottomLeft" activeCell="B99" sqref="B99"/>
      <selection pane="bottomRight"/>
    </sheetView>
  </sheetViews>
  <sheetFormatPr defaultRowHeight="15.5" x14ac:dyDescent="0.35"/>
  <cols>
    <col min="1" max="1" width="43.4609375" style="4" bestFit="1" customWidth="1"/>
    <col min="2" max="2" width="37.07421875" style="4" customWidth="1"/>
    <col min="3" max="3" width="11.765625" customWidth="1"/>
    <col min="4" max="4" width="8.4609375" bestFit="1" customWidth="1"/>
    <col min="5" max="5" width="11.23046875" bestFit="1" customWidth="1"/>
    <col min="6" max="6" width="9.4609375" bestFit="1" customWidth="1"/>
    <col min="7" max="7" width="12.3046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921875" customWidth="1"/>
  </cols>
  <sheetData>
    <row r="1" spans="1:26" ht="18" x14ac:dyDescent="0.4">
      <c r="A1" s="28" t="s">
        <v>1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766</v>
      </c>
      <c r="B3" s="4" t="s">
        <v>797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</v>
      </c>
      <c r="V3">
        <v>0</v>
      </c>
      <c r="W3">
        <v>0</v>
      </c>
      <c r="X3">
        <v>0</v>
      </c>
      <c r="Y3">
        <v>0</v>
      </c>
      <c r="Z3">
        <f>SUM(LosAngeles[[#This Row],[American Sign Language Total]:[Other Total]])</f>
        <v>3</v>
      </c>
    </row>
    <row r="4" spans="1:26" ht="31" x14ac:dyDescent="0.35">
      <c r="A4" s="14" t="s">
        <v>300</v>
      </c>
      <c r="B4" s="4" t="s">
        <v>301</v>
      </c>
      <c r="C4">
        <v>0</v>
      </c>
      <c r="D4">
        <v>0</v>
      </c>
      <c r="E4">
        <v>0</v>
      </c>
      <c r="F4">
        <v>0</v>
      </c>
      <c r="G4">
        <v>175</v>
      </c>
      <c r="H4">
        <v>0</v>
      </c>
      <c r="I4">
        <v>10</v>
      </c>
      <c r="J4">
        <v>0</v>
      </c>
      <c r="K4">
        <v>0</v>
      </c>
      <c r="L4">
        <v>0</v>
      </c>
      <c r="M4">
        <v>0</v>
      </c>
      <c r="N4">
        <v>0</v>
      </c>
      <c r="O4">
        <v>30</v>
      </c>
      <c r="P4">
        <v>0</v>
      </c>
      <c r="Q4">
        <v>0</v>
      </c>
      <c r="R4">
        <v>0</v>
      </c>
      <c r="S4">
        <v>0</v>
      </c>
      <c r="T4">
        <v>0</v>
      </c>
      <c r="U4">
        <v>150</v>
      </c>
      <c r="V4">
        <v>0</v>
      </c>
      <c r="W4">
        <v>0</v>
      </c>
      <c r="X4">
        <v>0</v>
      </c>
      <c r="Y4">
        <v>0</v>
      </c>
      <c r="Z4">
        <f>SUM(LosAngeles[[#This Row],[American Sign Language Total]:[Other Total]])</f>
        <v>365</v>
      </c>
    </row>
    <row r="5" spans="1:26" ht="301.5" customHeight="1" x14ac:dyDescent="0.35">
      <c r="A5" s="14" t="s">
        <v>1027</v>
      </c>
      <c r="B5" s="4" t="s">
        <v>770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530</v>
      </c>
      <c r="V5">
        <v>0</v>
      </c>
      <c r="W5">
        <v>0</v>
      </c>
      <c r="X5">
        <v>0</v>
      </c>
      <c r="Y5">
        <v>0</v>
      </c>
      <c r="Z5">
        <f>SUM(LosAngeles[[#This Row],[American Sign Language Total]:[Other Total]])</f>
        <v>530</v>
      </c>
    </row>
    <row r="6" spans="1:26" ht="31" x14ac:dyDescent="0.35">
      <c r="A6" s="16" t="s">
        <v>107</v>
      </c>
      <c r="B6" s="4" t="s">
        <v>107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10</v>
      </c>
      <c r="V6">
        <v>0</v>
      </c>
      <c r="W6">
        <v>0</v>
      </c>
      <c r="X6">
        <v>0</v>
      </c>
      <c r="Y6">
        <v>0</v>
      </c>
      <c r="Z6">
        <f>SUM(LosAngeles[[#This Row],[American Sign Language Total]:[Other Total]])</f>
        <v>10</v>
      </c>
    </row>
    <row r="7" spans="1:26" ht="108.5" x14ac:dyDescent="0.35">
      <c r="A7" s="14" t="s">
        <v>1026</v>
      </c>
      <c r="B7" s="4" t="s">
        <v>771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412</v>
      </c>
      <c r="V7">
        <v>0</v>
      </c>
      <c r="W7">
        <v>0</v>
      </c>
      <c r="X7">
        <v>0</v>
      </c>
      <c r="Y7">
        <v>0</v>
      </c>
      <c r="Z7">
        <f>SUM(LosAngeles[[#This Row],[American Sign Language Total]:[Other Total]])</f>
        <v>412</v>
      </c>
    </row>
    <row r="8" spans="1:26" ht="93" x14ac:dyDescent="0.35">
      <c r="A8" s="14" t="s">
        <v>772</v>
      </c>
      <c r="B8" s="4" t="s">
        <v>798</v>
      </c>
      <c r="C8">
        <v>4</v>
      </c>
      <c r="D8">
        <v>2</v>
      </c>
      <c r="E8">
        <v>0</v>
      </c>
      <c r="F8">
        <v>0</v>
      </c>
      <c r="G8">
        <v>6</v>
      </c>
      <c r="H8">
        <v>0</v>
      </c>
      <c r="I8">
        <v>8</v>
      </c>
      <c r="J8">
        <v>0</v>
      </c>
      <c r="K8">
        <v>0</v>
      </c>
      <c r="L8">
        <v>0</v>
      </c>
      <c r="M8">
        <v>0</v>
      </c>
      <c r="N8">
        <v>4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450</v>
      </c>
      <c r="V8">
        <v>0</v>
      </c>
      <c r="W8">
        <v>0</v>
      </c>
      <c r="X8">
        <v>0</v>
      </c>
      <c r="Y8">
        <v>0</v>
      </c>
      <c r="Z8">
        <f>SUM(LosAngeles[[#This Row],[American Sign Language Total]:[Other Total]])</f>
        <v>474</v>
      </c>
    </row>
    <row r="9" spans="1:26" x14ac:dyDescent="0.35">
      <c r="A9" s="14" t="s">
        <v>302</v>
      </c>
      <c r="B9" s="4" t="s">
        <v>303</v>
      </c>
      <c r="C9">
        <v>0</v>
      </c>
      <c r="D9">
        <v>0</v>
      </c>
      <c r="E9">
        <v>0</v>
      </c>
      <c r="F9">
        <v>0</v>
      </c>
      <c r="G9">
        <v>88</v>
      </c>
      <c r="H9">
        <v>0</v>
      </c>
      <c r="I9">
        <v>20</v>
      </c>
      <c r="J9">
        <v>0</v>
      </c>
      <c r="K9">
        <v>0</v>
      </c>
      <c r="L9">
        <v>0</v>
      </c>
      <c r="M9">
        <v>0</v>
      </c>
      <c r="N9">
        <v>0</v>
      </c>
      <c r="O9">
        <v>14</v>
      </c>
      <c r="P9">
        <v>0</v>
      </c>
      <c r="Q9">
        <v>0</v>
      </c>
      <c r="R9">
        <v>0</v>
      </c>
      <c r="S9">
        <v>0</v>
      </c>
      <c r="T9">
        <v>0</v>
      </c>
      <c r="U9">
        <v>38</v>
      </c>
      <c r="V9">
        <v>0</v>
      </c>
      <c r="W9">
        <v>0</v>
      </c>
      <c r="X9">
        <v>0</v>
      </c>
      <c r="Y9">
        <v>0</v>
      </c>
      <c r="Z9">
        <f>SUM(LosAngeles[[#This Row],[American Sign Language Total]:[Other Total]])</f>
        <v>160</v>
      </c>
    </row>
    <row r="10" spans="1:26" ht="19.5" customHeight="1" x14ac:dyDescent="0.35">
      <c r="A10" s="14" t="s">
        <v>108</v>
      </c>
      <c r="B10" s="4" t="s">
        <v>108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55</v>
      </c>
      <c r="V10">
        <v>0</v>
      </c>
      <c r="W10">
        <v>0</v>
      </c>
      <c r="X10">
        <v>0</v>
      </c>
      <c r="Y10">
        <v>0</v>
      </c>
      <c r="Z10">
        <f>SUM(LosAngeles[[#This Row],[American Sign Language Total]:[Other Total]])</f>
        <v>55</v>
      </c>
    </row>
    <row r="11" spans="1:26" x14ac:dyDescent="0.35">
      <c r="A11" s="14" t="s">
        <v>773</v>
      </c>
      <c r="B11" s="4" t="s">
        <v>773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46</v>
      </c>
      <c r="V11">
        <v>0</v>
      </c>
      <c r="W11">
        <v>0</v>
      </c>
      <c r="X11">
        <v>0</v>
      </c>
      <c r="Y11">
        <v>0</v>
      </c>
      <c r="Z11">
        <f>SUM(LosAngeles[[#This Row],[American Sign Language Total]:[Other Total]])</f>
        <v>46</v>
      </c>
    </row>
    <row r="12" spans="1:26" x14ac:dyDescent="0.35">
      <c r="A12" s="14" t="s">
        <v>304</v>
      </c>
      <c r="B12" s="4" t="s">
        <v>305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67</v>
      </c>
      <c r="V12">
        <v>0</v>
      </c>
      <c r="W12">
        <v>0</v>
      </c>
      <c r="X12">
        <v>0</v>
      </c>
      <c r="Y12">
        <v>0</v>
      </c>
      <c r="Z12">
        <f>SUM(LosAngeles[[#This Row],[American Sign Language Total]:[Other Total]])</f>
        <v>67</v>
      </c>
    </row>
    <row r="13" spans="1:26" x14ac:dyDescent="0.35">
      <c r="A13" s="14" t="s">
        <v>306</v>
      </c>
      <c r="B13" s="4" t="s">
        <v>307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53</v>
      </c>
      <c r="V13">
        <v>0</v>
      </c>
      <c r="W13">
        <v>0</v>
      </c>
      <c r="X13">
        <v>0</v>
      </c>
      <c r="Y13">
        <v>0</v>
      </c>
      <c r="Z13">
        <f>SUM(LosAngeles[[#This Row],[American Sign Language Total]:[Other Total]])</f>
        <v>53</v>
      </c>
    </row>
    <row r="14" spans="1:26" x14ac:dyDescent="0.35">
      <c r="A14" s="14" t="s">
        <v>308</v>
      </c>
      <c r="B14" s="4" t="s">
        <v>309</v>
      </c>
      <c r="C14">
        <v>0</v>
      </c>
      <c r="D14">
        <v>0</v>
      </c>
      <c r="E14">
        <v>0</v>
      </c>
      <c r="F14">
        <v>0</v>
      </c>
      <c r="G14">
        <v>11</v>
      </c>
      <c r="H14">
        <v>0</v>
      </c>
      <c r="I14">
        <v>10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132</v>
      </c>
      <c r="V14">
        <v>0</v>
      </c>
      <c r="W14">
        <v>0</v>
      </c>
      <c r="X14">
        <v>0</v>
      </c>
      <c r="Y14">
        <v>0</v>
      </c>
      <c r="Z14">
        <f>SUM(LosAngeles[[#This Row],[American Sign Language Total]:[Other Total]])</f>
        <v>153</v>
      </c>
    </row>
    <row r="15" spans="1:26" x14ac:dyDescent="0.35">
      <c r="A15" s="14" t="s">
        <v>310</v>
      </c>
      <c r="B15" s="4" t="s">
        <v>311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11</v>
      </c>
      <c r="J15">
        <v>0</v>
      </c>
      <c r="K15">
        <v>10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50</v>
      </c>
      <c r="V15">
        <v>0</v>
      </c>
      <c r="W15">
        <v>0</v>
      </c>
      <c r="X15">
        <v>0</v>
      </c>
      <c r="Y15">
        <v>0</v>
      </c>
      <c r="Z15">
        <f>SUM(LosAngeles[[#This Row],[American Sign Language Total]:[Other Total]])</f>
        <v>71</v>
      </c>
    </row>
    <row r="16" spans="1:26" x14ac:dyDescent="0.35">
      <c r="A16" s="14" t="s">
        <v>312</v>
      </c>
      <c r="B16" s="4" t="s">
        <v>312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152</v>
      </c>
      <c r="V16">
        <v>0</v>
      </c>
      <c r="W16">
        <v>0</v>
      </c>
      <c r="X16">
        <v>0</v>
      </c>
      <c r="Y16">
        <v>0</v>
      </c>
      <c r="Z16">
        <f>SUM(LosAngeles[[#This Row],[American Sign Language Total]:[Other Total]])</f>
        <v>168</v>
      </c>
    </row>
    <row r="17" spans="1:26" x14ac:dyDescent="0.35">
      <c r="A17" s="14" t="s">
        <v>313</v>
      </c>
      <c r="B17" s="4" t="s">
        <v>314</v>
      </c>
      <c r="C17">
        <v>6</v>
      </c>
      <c r="D17">
        <v>0</v>
      </c>
      <c r="E17">
        <v>0</v>
      </c>
      <c r="F17">
        <v>0</v>
      </c>
      <c r="G17">
        <v>11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37</v>
      </c>
      <c r="V17">
        <v>0</v>
      </c>
      <c r="W17">
        <v>0</v>
      </c>
      <c r="X17">
        <v>0</v>
      </c>
      <c r="Y17">
        <v>0</v>
      </c>
      <c r="Z17">
        <f>SUM(LosAngeles[[#This Row],[American Sign Language Total]:[Other Total]])</f>
        <v>54</v>
      </c>
    </row>
    <row r="18" spans="1:26" x14ac:dyDescent="0.35">
      <c r="A18" s="14" t="s">
        <v>315</v>
      </c>
      <c r="B18" s="4" t="s">
        <v>799</v>
      </c>
      <c r="C18">
        <v>20</v>
      </c>
      <c r="D18">
        <v>0</v>
      </c>
      <c r="E18">
        <v>0</v>
      </c>
      <c r="F18">
        <v>0</v>
      </c>
      <c r="G18">
        <v>0</v>
      </c>
      <c r="H18">
        <v>0</v>
      </c>
      <c r="I18">
        <v>35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99</v>
      </c>
      <c r="V18">
        <v>0</v>
      </c>
      <c r="W18">
        <v>0</v>
      </c>
      <c r="X18">
        <v>0</v>
      </c>
      <c r="Y18">
        <v>0</v>
      </c>
      <c r="Z18">
        <f>SUM(LosAngeles[[#This Row],[American Sign Language Total]:[Other Total]])</f>
        <v>154</v>
      </c>
    </row>
    <row r="19" spans="1:26" x14ac:dyDescent="0.35">
      <c r="A19" s="14" t="s">
        <v>774</v>
      </c>
      <c r="B19" s="4" t="s">
        <v>774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3</v>
      </c>
      <c r="V19">
        <v>0</v>
      </c>
      <c r="W19">
        <v>0</v>
      </c>
      <c r="X19">
        <v>0</v>
      </c>
      <c r="Y19">
        <v>0</v>
      </c>
      <c r="Z19">
        <f>SUM(LosAngeles[[#This Row],[American Sign Language Total]:[Other Total]])</f>
        <v>3</v>
      </c>
    </row>
    <row r="20" spans="1:26" x14ac:dyDescent="0.35">
      <c r="A20" s="14" t="s">
        <v>316</v>
      </c>
      <c r="B20" s="4" t="s">
        <v>323</v>
      </c>
      <c r="C20">
        <v>0</v>
      </c>
      <c r="D20">
        <v>0</v>
      </c>
      <c r="E20">
        <v>0</v>
      </c>
      <c r="F20">
        <v>0</v>
      </c>
      <c r="G20">
        <v>21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44</v>
      </c>
      <c r="V20">
        <v>0</v>
      </c>
      <c r="W20">
        <v>0</v>
      </c>
      <c r="X20">
        <v>0</v>
      </c>
      <c r="Y20">
        <v>1</v>
      </c>
      <c r="Z20">
        <f>SUM(LosAngeles[[#This Row],[American Sign Language Total]:[Other Total]])</f>
        <v>66</v>
      </c>
    </row>
    <row r="21" spans="1:26" x14ac:dyDescent="0.35">
      <c r="A21" s="14" t="s">
        <v>775</v>
      </c>
      <c r="B21" s="4" t="s">
        <v>775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27</v>
      </c>
      <c r="V21">
        <v>0</v>
      </c>
      <c r="W21">
        <v>0</v>
      </c>
      <c r="X21">
        <v>0</v>
      </c>
      <c r="Y21">
        <v>0</v>
      </c>
      <c r="Z21">
        <f>SUM(LosAngeles[[#This Row],[American Sign Language Total]:[Other Total]])</f>
        <v>27</v>
      </c>
    </row>
    <row r="22" spans="1:26" x14ac:dyDescent="0.35">
      <c r="A22" s="14" t="s">
        <v>317</v>
      </c>
      <c r="B22" s="4" t="s">
        <v>317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12</v>
      </c>
      <c r="V22">
        <v>0</v>
      </c>
      <c r="W22">
        <v>0</v>
      </c>
      <c r="X22">
        <v>0</v>
      </c>
      <c r="Y22">
        <v>0</v>
      </c>
      <c r="Z22">
        <f>SUM(LosAngeles[[#This Row],[American Sign Language Total]:[Other Total]])</f>
        <v>12</v>
      </c>
    </row>
    <row r="23" spans="1:26" ht="31" x14ac:dyDescent="0.35">
      <c r="A23" s="14" t="s">
        <v>318</v>
      </c>
      <c r="B23" s="4" t="s">
        <v>319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188</v>
      </c>
      <c r="V23">
        <v>0</v>
      </c>
      <c r="W23">
        <v>0</v>
      </c>
      <c r="X23">
        <v>0</v>
      </c>
      <c r="Y23">
        <v>0</v>
      </c>
      <c r="Z23">
        <f>SUM(LosAngeles[[#This Row],[American Sign Language Total]:[Other Total]])</f>
        <v>188</v>
      </c>
    </row>
    <row r="24" spans="1:26" x14ac:dyDescent="0.35">
      <c r="A24" s="14" t="s">
        <v>320</v>
      </c>
      <c r="B24" s="4" t="s">
        <v>321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43</v>
      </c>
      <c r="V24">
        <v>0</v>
      </c>
      <c r="W24">
        <v>0</v>
      </c>
      <c r="X24">
        <v>0</v>
      </c>
      <c r="Y24">
        <v>0</v>
      </c>
      <c r="Z24">
        <f>SUM(LosAngeles[[#This Row],[American Sign Language Total]:[Other Total]])</f>
        <v>43</v>
      </c>
    </row>
    <row r="25" spans="1:26" x14ac:dyDescent="0.35">
      <c r="A25" s="14" t="s">
        <v>322</v>
      </c>
      <c r="B25" s="4" t="s">
        <v>323</v>
      </c>
      <c r="C25">
        <v>0</v>
      </c>
      <c r="D25">
        <v>0</v>
      </c>
      <c r="E25">
        <v>0</v>
      </c>
      <c r="F25">
        <v>0</v>
      </c>
      <c r="G25">
        <v>6</v>
      </c>
      <c r="H25">
        <v>0</v>
      </c>
      <c r="I25">
        <v>24</v>
      </c>
      <c r="J25">
        <v>26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101</v>
      </c>
      <c r="V25">
        <v>0</v>
      </c>
      <c r="W25">
        <v>0</v>
      </c>
      <c r="X25">
        <v>0</v>
      </c>
      <c r="Y25">
        <v>0</v>
      </c>
      <c r="Z25">
        <f>SUM(LosAngeles[[#This Row],[American Sign Language Total]:[Other Total]])</f>
        <v>157</v>
      </c>
    </row>
    <row r="26" spans="1:26" ht="65.5" customHeight="1" x14ac:dyDescent="0.35">
      <c r="A26" s="14" t="s">
        <v>324</v>
      </c>
      <c r="B26" s="4" t="s">
        <v>800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365</v>
      </c>
      <c r="V26">
        <v>0</v>
      </c>
      <c r="W26">
        <v>0</v>
      </c>
      <c r="X26">
        <v>0</v>
      </c>
      <c r="Y26">
        <v>0</v>
      </c>
      <c r="Z26">
        <f>SUM(LosAngeles[[#This Row],[American Sign Language Total]:[Other Total]])</f>
        <v>366</v>
      </c>
    </row>
    <row r="27" spans="1:26" ht="19" customHeight="1" x14ac:dyDescent="0.35">
      <c r="A27" s="14" t="s">
        <v>776</v>
      </c>
      <c r="B27" s="4" t="s">
        <v>801</v>
      </c>
      <c r="C27">
        <v>47</v>
      </c>
      <c r="D27">
        <v>0</v>
      </c>
      <c r="E27">
        <v>0</v>
      </c>
      <c r="F27">
        <v>0</v>
      </c>
      <c r="G27">
        <v>24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198</v>
      </c>
      <c r="V27">
        <v>0</v>
      </c>
      <c r="W27">
        <v>0</v>
      </c>
      <c r="X27">
        <v>0</v>
      </c>
      <c r="Y27">
        <v>0</v>
      </c>
      <c r="Z27">
        <f>SUM(LosAngeles[[#This Row],[American Sign Language Total]:[Other Total]])</f>
        <v>269</v>
      </c>
    </row>
    <row r="28" spans="1:26" x14ac:dyDescent="0.35">
      <c r="A28" s="14" t="s">
        <v>325</v>
      </c>
      <c r="B28" s="4" t="s">
        <v>326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12</v>
      </c>
      <c r="J28">
        <v>0</v>
      </c>
      <c r="K28">
        <v>0</v>
      </c>
      <c r="L28">
        <v>0</v>
      </c>
      <c r="M28">
        <v>0</v>
      </c>
      <c r="N28">
        <v>0</v>
      </c>
      <c r="O28">
        <v>25</v>
      </c>
      <c r="P28">
        <v>0</v>
      </c>
      <c r="Q28">
        <v>0</v>
      </c>
      <c r="R28">
        <v>0</v>
      </c>
      <c r="S28">
        <v>0</v>
      </c>
      <c r="T28">
        <v>0</v>
      </c>
      <c r="U28">
        <v>87</v>
      </c>
      <c r="V28">
        <v>0</v>
      </c>
      <c r="W28">
        <v>0</v>
      </c>
      <c r="X28">
        <v>0</v>
      </c>
      <c r="Y28">
        <v>0</v>
      </c>
      <c r="Z28">
        <f>SUM(LosAngeles[[#This Row],[American Sign Language Total]:[Other Total]])</f>
        <v>124</v>
      </c>
    </row>
    <row r="29" spans="1:26" x14ac:dyDescent="0.35">
      <c r="A29" s="14" t="s">
        <v>777</v>
      </c>
      <c r="B29" s="4" t="s">
        <v>777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30</v>
      </c>
      <c r="V29">
        <v>0</v>
      </c>
      <c r="W29">
        <v>0</v>
      </c>
      <c r="X29">
        <v>0</v>
      </c>
      <c r="Y29">
        <v>0</v>
      </c>
      <c r="Z29">
        <f>SUM(LosAngeles[[#This Row],[American Sign Language Total]:[Other Total]])</f>
        <v>31</v>
      </c>
    </row>
    <row r="30" spans="1:26" x14ac:dyDescent="0.35">
      <c r="A30" s="14" t="s">
        <v>327</v>
      </c>
      <c r="B30" s="4" t="s">
        <v>327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20</v>
      </c>
      <c r="V30">
        <v>0</v>
      </c>
      <c r="W30">
        <v>0</v>
      </c>
      <c r="X30">
        <v>0</v>
      </c>
      <c r="Y30">
        <v>0</v>
      </c>
      <c r="Z30">
        <f>SUM(LosAngeles[[#This Row],[American Sign Language Total]:[Other Total]])</f>
        <v>20</v>
      </c>
    </row>
    <row r="31" spans="1:26" x14ac:dyDescent="0.35">
      <c r="A31" s="14" t="s">
        <v>778</v>
      </c>
      <c r="B31" s="4" t="s">
        <v>778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7</v>
      </c>
      <c r="V31">
        <v>0</v>
      </c>
      <c r="W31">
        <v>0</v>
      </c>
      <c r="X31">
        <v>0</v>
      </c>
      <c r="Y31">
        <v>0</v>
      </c>
      <c r="Z31">
        <f>SUM(LosAngeles[[#This Row],[American Sign Language Total]:[Other Total]])</f>
        <v>7</v>
      </c>
    </row>
    <row r="32" spans="1:26" x14ac:dyDescent="0.35">
      <c r="A32" s="14" t="s">
        <v>328</v>
      </c>
      <c r="B32" s="4" t="s">
        <v>802</v>
      </c>
      <c r="C32">
        <v>34</v>
      </c>
      <c r="D32">
        <v>0</v>
      </c>
      <c r="E32">
        <v>0</v>
      </c>
      <c r="F32">
        <v>0</v>
      </c>
      <c r="G32">
        <v>0</v>
      </c>
      <c r="H32">
        <v>0</v>
      </c>
      <c r="I32">
        <v>10</v>
      </c>
      <c r="J32">
        <v>8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270</v>
      </c>
      <c r="V32">
        <v>0</v>
      </c>
      <c r="W32">
        <v>0</v>
      </c>
      <c r="X32">
        <v>0</v>
      </c>
      <c r="Y32">
        <v>0</v>
      </c>
      <c r="Z32">
        <f>SUM(LosAngeles[[#This Row],[American Sign Language Total]:[Other Total]])</f>
        <v>322</v>
      </c>
    </row>
    <row r="33" spans="1:26" ht="31" x14ac:dyDescent="0.35">
      <c r="A33" s="14" t="s">
        <v>329</v>
      </c>
      <c r="B33" s="4" t="s">
        <v>803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20</v>
      </c>
      <c r="V33">
        <v>0</v>
      </c>
      <c r="W33">
        <v>0</v>
      </c>
      <c r="X33">
        <v>0</v>
      </c>
      <c r="Y33">
        <v>0</v>
      </c>
      <c r="Z33">
        <f>SUM(LosAngeles[[#This Row],[American Sign Language Total]:[Other Total]])</f>
        <v>20</v>
      </c>
    </row>
    <row r="34" spans="1:26" ht="62" x14ac:dyDescent="0.35">
      <c r="A34" s="14" t="s">
        <v>1028</v>
      </c>
      <c r="B34" s="4" t="s">
        <v>779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210</v>
      </c>
      <c r="V34">
        <v>0</v>
      </c>
      <c r="W34">
        <v>0</v>
      </c>
      <c r="X34">
        <v>0</v>
      </c>
      <c r="Y34">
        <v>0</v>
      </c>
      <c r="Z34">
        <f>SUM(LosAngeles[[#This Row],[American Sign Language Total]:[Other Total]])</f>
        <v>210</v>
      </c>
    </row>
    <row r="35" spans="1:26" x14ac:dyDescent="0.35">
      <c r="A35" s="14" t="s">
        <v>330</v>
      </c>
      <c r="B35" s="4" t="s">
        <v>330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120</v>
      </c>
      <c r="V35">
        <v>0</v>
      </c>
      <c r="W35">
        <v>0</v>
      </c>
      <c r="X35">
        <v>0</v>
      </c>
      <c r="Y35">
        <v>0</v>
      </c>
      <c r="Z35">
        <f>SUM(LosAngeles[[#This Row],[American Sign Language Total]:[Other Total]])</f>
        <v>126</v>
      </c>
    </row>
    <row r="36" spans="1:26" ht="38" customHeight="1" x14ac:dyDescent="0.35">
      <c r="A36" s="14" t="s">
        <v>780</v>
      </c>
      <c r="B36" s="4" t="s">
        <v>331</v>
      </c>
      <c r="C36">
        <v>10</v>
      </c>
      <c r="D36">
        <v>0</v>
      </c>
      <c r="E36">
        <v>0</v>
      </c>
      <c r="F36">
        <v>0</v>
      </c>
      <c r="G36">
        <v>90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100</v>
      </c>
      <c r="V36">
        <v>0</v>
      </c>
      <c r="W36">
        <v>0</v>
      </c>
      <c r="X36">
        <v>0</v>
      </c>
      <c r="Y36">
        <v>0</v>
      </c>
      <c r="Z36">
        <f>SUM(LosAngeles[[#This Row],[American Sign Language Total]:[Other Total]])</f>
        <v>200</v>
      </c>
    </row>
    <row r="37" spans="1:26" x14ac:dyDescent="0.35">
      <c r="A37" s="14" t="s">
        <v>1222</v>
      </c>
      <c r="B37" s="4" t="s">
        <v>767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33</v>
      </c>
      <c r="V37">
        <v>0</v>
      </c>
      <c r="W37">
        <v>0</v>
      </c>
      <c r="X37">
        <v>0</v>
      </c>
      <c r="Y37">
        <v>0</v>
      </c>
      <c r="Z37">
        <f>SUM(LosAngeles[[#This Row],[American Sign Language Total]:[Other Total]])</f>
        <v>33</v>
      </c>
    </row>
    <row r="38" spans="1:26" x14ac:dyDescent="0.35">
      <c r="A38" s="14" t="s">
        <v>332</v>
      </c>
      <c r="B38" s="4" t="s">
        <v>332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25</v>
      </c>
      <c r="V38">
        <v>0</v>
      </c>
      <c r="W38">
        <v>0</v>
      </c>
      <c r="X38">
        <v>0</v>
      </c>
      <c r="Y38">
        <v>0</v>
      </c>
      <c r="Z38">
        <f>SUM(LosAngeles[[#This Row],[American Sign Language Total]:[Other Total]])</f>
        <v>25</v>
      </c>
    </row>
    <row r="39" spans="1:26" x14ac:dyDescent="0.35">
      <c r="A39" s="14" t="s">
        <v>781</v>
      </c>
      <c r="B39" s="4" t="s">
        <v>781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8</v>
      </c>
      <c r="V39">
        <v>0</v>
      </c>
      <c r="W39">
        <v>0</v>
      </c>
      <c r="X39">
        <v>0</v>
      </c>
      <c r="Y39">
        <v>0</v>
      </c>
      <c r="Z39">
        <f>SUM(LosAngeles[[#This Row],[American Sign Language Total]:[Other Total]])</f>
        <v>8</v>
      </c>
    </row>
    <row r="40" spans="1:26" ht="46.5" x14ac:dyDescent="0.35">
      <c r="A40" s="14" t="s">
        <v>109</v>
      </c>
      <c r="B40" s="4" t="s">
        <v>804</v>
      </c>
      <c r="C40">
        <v>0</v>
      </c>
      <c r="D40">
        <v>5</v>
      </c>
      <c r="E40">
        <v>108</v>
      </c>
      <c r="F40">
        <v>0</v>
      </c>
      <c r="G40">
        <v>2</v>
      </c>
      <c r="H40">
        <v>0</v>
      </c>
      <c r="I40">
        <v>20</v>
      </c>
      <c r="J40">
        <v>3</v>
      </c>
      <c r="K40">
        <v>0</v>
      </c>
      <c r="L40">
        <v>0</v>
      </c>
      <c r="M40">
        <v>0</v>
      </c>
      <c r="N40">
        <v>5</v>
      </c>
      <c r="O40">
        <v>8</v>
      </c>
      <c r="P40">
        <v>51</v>
      </c>
      <c r="Q40">
        <v>0</v>
      </c>
      <c r="R40">
        <v>0</v>
      </c>
      <c r="S40">
        <v>0</v>
      </c>
      <c r="T40">
        <v>37</v>
      </c>
      <c r="U40">
        <v>143</v>
      </c>
      <c r="V40">
        <v>6</v>
      </c>
      <c r="W40">
        <v>0</v>
      </c>
      <c r="X40">
        <v>0</v>
      </c>
      <c r="Y40">
        <v>0</v>
      </c>
      <c r="Z40">
        <f>SUM(LosAngeles[[#This Row],[American Sign Language Total]:[Other Total]])</f>
        <v>388</v>
      </c>
    </row>
    <row r="41" spans="1:26" x14ac:dyDescent="0.35">
      <c r="A41" s="14" t="s">
        <v>334</v>
      </c>
      <c r="B41" s="4" t="s">
        <v>333</v>
      </c>
      <c r="C41">
        <v>19</v>
      </c>
      <c r="D41">
        <v>0</v>
      </c>
      <c r="E41">
        <v>0</v>
      </c>
      <c r="F41">
        <v>0</v>
      </c>
      <c r="G41">
        <v>14</v>
      </c>
      <c r="H41">
        <v>0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46</v>
      </c>
      <c r="V41">
        <v>0</v>
      </c>
      <c r="W41">
        <v>0</v>
      </c>
      <c r="X41">
        <v>0</v>
      </c>
      <c r="Y41">
        <v>0</v>
      </c>
      <c r="Z41">
        <f>SUM(LosAngeles[[#This Row],[American Sign Language Total]:[Other Total]])</f>
        <v>81</v>
      </c>
    </row>
    <row r="42" spans="1:26" x14ac:dyDescent="0.35">
      <c r="A42" s="14" t="s">
        <v>110</v>
      </c>
      <c r="B42" s="4" t="s">
        <v>110</v>
      </c>
      <c r="C42">
        <v>0</v>
      </c>
      <c r="D42">
        <v>5</v>
      </c>
      <c r="E42">
        <v>0</v>
      </c>
      <c r="F42">
        <v>0</v>
      </c>
      <c r="G42">
        <v>17</v>
      </c>
      <c r="H42">
        <v>0</v>
      </c>
      <c r="I42">
        <v>10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  <c r="P42">
        <v>20</v>
      </c>
      <c r="Q42">
        <v>0</v>
      </c>
      <c r="R42">
        <v>0</v>
      </c>
      <c r="S42">
        <v>0</v>
      </c>
      <c r="T42">
        <v>0</v>
      </c>
      <c r="U42">
        <v>87</v>
      </c>
      <c r="V42">
        <v>0</v>
      </c>
      <c r="W42">
        <v>0</v>
      </c>
      <c r="X42">
        <v>0</v>
      </c>
      <c r="Y42">
        <v>0</v>
      </c>
      <c r="Z42">
        <f>SUM(LosAngeles[[#This Row],[American Sign Language Total]:[Other Total]])</f>
        <v>141</v>
      </c>
    </row>
    <row r="43" spans="1:26" ht="62" x14ac:dyDescent="0.35">
      <c r="A43" s="14" t="s">
        <v>782</v>
      </c>
      <c r="B43" s="4" t="s">
        <v>805</v>
      </c>
      <c r="C43">
        <v>0</v>
      </c>
      <c r="D43">
        <v>0</v>
      </c>
      <c r="E43">
        <v>0</v>
      </c>
      <c r="F43">
        <v>0</v>
      </c>
      <c r="G43">
        <v>46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6</v>
      </c>
      <c r="Q43">
        <v>0</v>
      </c>
      <c r="R43">
        <v>0</v>
      </c>
      <c r="S43">
        <v>0</v>
      </c>
      <c r="T43">
        <v>0</v>
      </c>
      <c r="U43">
        <v>110</v>
      </c>
      <c r="V43">
        <v>0</v>
      </c>
      <c r="W43">
        <v>0</v>
      </c>
      <c r="X43">
        <v>0</v>
      </c>
      <c r="Y43">
        <v>0</v>
      </c>
      <c r="Z43">
        <f>SUM(LosAngeles[[#This Row],[American Sign Language Total]:[Other Total]])</f>
        <v>163</v>
      </c>
    </row>
    <row r="44" spans="1:26" x14ac:dyDescent="0.35">
      <c r="A44" s="14" t="s">
        <v>111</v>
      </c>
      <c r="B44" s="4" t="s">
        <v>111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49</v>
      </c>
      <c r="V44">
        <v>0</v>
      </c>
      <c r="W44">
        <v>0</v>
      </c>
      <c r="X44">
        <v>0</v>
      </c>
      <c r="Y44">
        <v>0</v>
      </c>
      <c r="Z44">
        <f>SUM(LosAngeles[[#This Row],[American Sign Language Total]:[Other Total]])</f>
        <v>49</v>
      </c>
    </row>
    <row r="45" spans="1:26" x14ac:dyDescent="0.35">
      <c r="A45" s="14" t="s">
        <v>112</v>
      </c>
      <c r="B45" s="4" t="s">
        <v>112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16</v>
      </c>
      <c r="V45">
        <v>0</v>
      </c>
      <c r="W45">
        <v>0</v>
      </c>
      <c r="X45">
        <v>0</v>
      </c>
      <c r="Y45">
        <v>0</v>
      </c>
      <c r="Z45">
        <f>SUM(LosAngeles[[#This Row],[American Sign Language Total]:[Other Total]])</f>
        <v>16</v>
      </c>
    </row>
    <row r="46" spans="1:26" x14ac:dyDescent="0.35">
      <c r="A46" s="14" t="s">
        <v>335</v>
      </c>
      <c r="B46" s="4" t="s">
        <v>335</v>
      </c>
      <c r="C46">
        <v>4</v>
      </c>
      <c r="D46">
        <v>0</v>
      </c>
      <c r="E46">
        <v>0</v>
      </c>
      <c r="F46">
        <v>0</v>
      </c>
      <c r="G46">
        <v>0</v>
      </c>
      <c r="H46">
        <v>0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0</v>
      </c>
      <c r="Q46">
        <v>0</v>
      </c>
      <c r="R46">
        <v>0</v>
      </c>
      <c r="S46">
        <v>0</v>
      </c>
      <c r="T46">
        <v>0</v>
      </c>
      <c r="U46">
        <v>10</v>
      </c>
      <c r="V46">
        <v>0</v>
      </c>
      <c r="W46">
        <v>0</v>
      </c>
      <c r="X46">
        <v>0</v>
      </c>
      <c r="Y46">
        <v>0</v>
      </c>
      <c r="Z46">
        <f>SUM(LosAngeles[[#This Row],[American Sign Language Total]:[Other Total]])</f>
        <v>17</v>
      </c>
    </row>
    <row r="47" spans="1:26" x14ac:dyDescent="0.35">
      <c r="A47" s="14" t="s">
        <v>336</v>
      </c>
      <c r="B47" s="4" t="s">
        <v>336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3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10</v>
      </c>
      <c r="V47">
        <v>0</v>
      </c>
      <c r="W47">
        <v>0</v>
      </c>
      <c r="X47">
        <v>0</v>
      </c>
      <c r="Y47">
        <v>0</v>
      </c>
      <c r="Z47">
        <f>SUM(LosAngeles[[#This Row],[American Sign Language Total]:[Other Total]])</f>
        <v>13</v>
      </c>
    </row>
    <row r="48" spans="1:26" ht="31" x14ac:dyDescent="0.35">
      <c r="A48" s="14" t="s">
        <v>708</v>
      </c>
      <c r="B48" s="4" t="s">
        <v>806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15</v>
      </c>
      <c r="V48">
        <v>0</v>
      </c>
      <c r="W48">
        <v>0</v>
      </c>
      <c r="X48">
        <v>0</v>
      </c>
      <c r="Y48">
        <v>0</v>
      </c>
      <c r="Z48">
        <f>SUM(LosAngeles[[#This Row],[American Sign Language Total]:[Other Total]])</f>
        <v>15</v>
      </c>
    </row>
    <row r="49" spans="1:26" x14ac:dyDescent="0.35">
      <c r="A49" s="14" t="s">
        <v>342</v>
      </c>
      <c r="B49" s="4" t="s">
        <v>342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14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28</v>
      </c>
      <c r="V49">
        <v>0</v>
      </c>
      <c r="W49">
        <v>0</v>
      </c>
      <c r="X49">
        <v>0</v>
      </c>
      <c r="Y49">
        <v>0</v>
      </c>
      <c r="Z49">
        <f>SUM(LosAngeles[[#This Row],[American Sign Language Total]:[Other Total]])</f>
        <v>42</v>
      </c>
    </row>
    <row r="50" spans="1:26" x14ac:dyDescent="0.35">
      <c r="A50" s="14" t="s">
        <v>337</v>
      </c>
      <c r="B50" s="4" t="s">
        <v>338</v>
      </c>
      <c r="C50">
        <v>0</v>
      </c>
      <c r="D50">
        <v>0</v>
      </c>
      <c r="E50">
        <v>0</v>
      </c>
      <c r="F50">
        <v>0</v>
      </c>
      <c r="G50">
        <v>20</v>
      </c>
      <c r="H50">
        <v>0</v>
      </c>
      <c r="I50">
        <v>12</v>
      </c>
      <c r="J50">
        <v>8</v>
      </c>
      <c r="K50">
        <v>0</v>
      </c>
      <c r="L50">
        <v>0</v>
      </c>
      <c r="M50">
        <v>0</v>
      </c>
      <c r="N50">
        <v>1</v>
      </c>
      <c r="O50">
        <v>2</v>
      </c>
      <c r="P50">
        <v>26</v>
      </c>
      <c r="Q50">
        <v>0</v>
      </c>
      <c r="R50">
        <v>0</v>
      </c>
      <c r="S50">
        <v>0</v>
      </c>
      <c r="T50">
        <v>0</v>
      </c>
      <c r="U50">
        <v>40</v>
      </c>
      <c r="V50">
        <v>0</v>
      </c>
      <c r="W50">
        <v>0</v>
      </c>
      <c r="X50">
        <v>0</v>
      </c>
      <c r="Y50">
        <v>0</v>
      </c>
      <c r="Z50">
        <f>SUM(LosAngeles[[#This Row],[American Sign Language Total]:[Other Total]])</f>
        <v>109</v>
      </c>
    </row>
    <row r="51" spans="1:26" x14ac:dyDescent="0.35">
      <c r="A51" s="14" t="s">
        <v>339</v>
      </c>
      <c r="B51" s="4" t="s">
        <v>340</v>
      </c>
      <c r="C51">
        <v>0</v>
      </c>
      <c r="D51">
        <v>0</v>
      </c>
      <c r="E51">
        <v>0</v>
      </c>
      <c r="F51">
        <v>0</v>
      </c>
      <c r="G51">
        <v>19</v>
      </c>
      <c r="H51">
        <v>0</v>
      </c>
      <c r="I51">
        <v>12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63</v>
      </c>
      <c r="V51">
        <v>0</v>
      </c>
      <c r="W51">
        <v>0</v>
      </c>
      <c r="X51">
        <v>0</v>
      </c>
      <c r="Y51">
        <v>0</v>
      </c>
      <c r="Z51">
        <f>SUM(LosAngeles[[#This Row],[American Sign Language Total]:[Other Total]])</f>
        <v>94</v>
      </c>
    </row>
    <row r="52" spans="1:26" ht="19" customHeight="1" x14ac:dyDescent="0.35">
      <c r="A52" s="14" t="s">
        <v>783</v>
      </c>
      <c r="B52" s="4" t="s">
        <v>783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8</v>
      </c>
      <c r="V52">
        <v>0</v>
      </c>
      <c r="W52">
        <v>0</v>
      </c>
      <c r="X52">
        <v>0</v>
      </c>
      <c r="Y52">
        <v>0</v>
      </c>
      <c r="Z52">
        <f>SUM(LosAngeles[[#This Row],[American Sign Language Total]:[Other Total]])</f>
        <v>8</v>
      </c>
    </row>
    <row r="53" spans="1:26" ht="124" x14ac:dyDescent="0.35">
      <c r="A53" s="14" t="s">
        <v>341</v>
      </c>
      <c r="B53" s="4" t="s">
        <v>807</v>
      </c>
      <c r="C53">
        <v>10</v>
      </c>
      <c r="D53">
        <v>0</v>
      </c>
      <c r="E53">
        <v>0</v>
      </c>
      <c r="F53">
        <v>0</v>
      </c>
      <c r="G53">
        <v>11</v>
      </c>
      <c r="H53">
        <v>0</v>
      </c>
      <c r="I53">
        <v>81</v>
      </c>
      <c r="J53">
        <v>18</v>
      </c>
      <c r="K53">
        <v>0</v>
      </c>
      <c r="L53">
        <v>0</v>
      </c>
      <c r="M53">
        <v>0</v>
      </c>
      <c r="N53">
        <v>0</v>
      </c>
      <c r="O53">
        <v>74</v>
      </c>
      <c r="P53">
        <v>0</v>
      </c>
      <c r="Q53">
        <v>0</v>
      </c>
      <c r="R53">
        <v>0</v>
      </c>
      <c r="S53">
        <v>0</v>
      </c>
      <c r="T53">
        <v>0</v>
      </c>
      <c r="U53">
        <v>722</v>
      </c>
      <c r="V53">
        <v>0</v>
      </c>
      <c r="W53">
        <v>0</v>
      </c>
      <c r="X53">
        <v>0</v>
      </c>
      <c r="Y53">
        <v>5</v>
      </c>
      <c r="Z53">
        <f>SUM(LosAngeles[[#This Row],[American Sign Language Total]:[Other Total]])</f>
        <v>921</v>
      </c>
    </row>
    <row r="54" spans="1:26" ht="31" x14ac:dyDescent="0.35">
      <c r="A54" s="14" t="s">
        <v>784</v>
      </c>
      <c r="B54" s="4" t="s">
        <v>784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f>SUM(LosAngeles[[#This Row],[American Sign Language Total]:[Other Total]])</f>
        <v>1</v>
      </c>
    </row>
    <row r="55" spans="1:26" ht="36" customHeight="1" x14ac:dyDescent="0.35">
      <c r="A55" s="14" t="s">
        <v>87</v>
      </c>
      <c r="B55" s="4" t="s">
        <v>419</v>
      </c>
      <c r="C55">
        <v>35</v>
      </c>
      <c r="D55">
        <v>23</v>
      </c>
      <c r="E55">
        <v>61</v>
      </c>
      <c r="F55">
        <v>20</v>
      </c>
      <c r="G55">
        <v>167</v>
      </c>
      <c r="H55">
        <v>11</v>
      </c>
      <c r="I55">
        <v>258</v>
      </c>
      <c r="J55">
        <v>7</v>
      </c>
      <c r="K55">
        <v>3</v>
      </c>
      <c r="L55">
        <v>9</v>
      </c>
      <c r="M55">
        <v>1</v>
      </c>
      <c r="N55">
        <v>33</v>
      </c>
      <c r="O55">
        <v>67</v>
      </c>
      <c r="P55">
        <v>210</v>
      </c>
      <c r="Q55">
        <v>5</v>
      </c>
      <c r="R55">
        <v>7</v>
      </c>
      <c r="S55">
        <v>7</v>
      </c>
      <c r="T55">
        <v>111</v>
      </c>
      <c r="U55">
        <v>7200</v>
      </c>
      <c r="V55">
        <v>64</v>
      </c>
      <c r="W55">
        <v>17</v>
      </c>
      <c r="X55">
        <v>47</v>
      </c>
      <c r="Y55">
        <v>37</v>
      </c>
      <c r="Z55">
        <f>SUM(LosAngeles[[#This Row],[American Sign Language Total]:[Other Total]])</f>
        <v>8400</v>
      </c>
    </row>
    <row r="56" spans="1:26" ht="31" x14ac:dyDescent="0.35">
      <c r="A56" s="14" t="s">
        <v>113</v>
      </c>
      <c r="B56" s="4" t="s">
        <v>343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214</v>
      </c>
      <c r="V56">
        <v>0</v>
      </c>
      <c r="W56">
        <v>0</v>
      </c>
      <c r="X56">
        <v>0</v>
      </c>
      <c r="Y56">
        <v>10</v>
      </c>
      <c r="Z56">
        <f>SUM(LosAngeles[[#This Row],[American Sign Language Total]:[Other Total]])</f>
        <v>224</v>
      </c>
    </row>
    <row r="57" spans="1:26" x14ac:dyDescent="0.35">
      <c r="A57" s="14" t="s">
        <v>1223</v>
      </c>
      <c r="B57" s="4" t="s">
        <v>768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30</v>
      </c>
      <c r="V57">
        <v>0</v>
      </c>
      <c r="W57">
        <v>0</v>
      </c>
      <c r="X57">
        <v>0</v>
      </c>
      <c r="Y57">
        <v>0</v>
      </c>
      <c r="Z57">
        <f>SUM(LosAngeles[[#This Row],[American Sign Language Total]:[Other Total]])</f>
        <v>30</v>
      </c>
    </row>
    <row r="58" spans="1:26" x14ac:dyDescent="0.35">
      <c r="A58" s="14" t="s">
        <v>344</v>
      </c>
      <c r="B58" s="4" t="s">
        <v>344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15</v>
      </c>
      <c r="V58">
        <v>0</v>
      </c>
      <c r="W58">
        <v>0</v>
      </c>
      <c r="X58">
        <v>0</v>
      </c>
      <c r="Y58">
        <v>0</v>
      </c>
      <c r="Z58">
        <f>SUM(LosAngeles[[#This Row],[American Sign Language Total]:[Other Total]])</f>
        <v>15</v>
      </c>
    </row>
    <row r="59" spans="1:26" x14ac:dyDescent="0.35">
      <c r="A59" s="14" t="s">
        <v>345</v>
      </c>
      <c r="B59" s="4" t="s">
        <v>345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4</v>
      </c>
      <c r="V59">
        <v>4</v>
      </c>
      <c r="W59">
        <v>0</v>
      </c>
      <c r="X59">
        <v>0</v>
      </c>
      <c r="Y59">
        <v>0</v>
      </c>
      <c r="Z59">
        <f>SUM(LosAngeles[[#This Row],[American Sign Language Total]:[Other Total]])</f>
        <v>8</v>
      </c>
    </row>
    <row r="60" spans="1:26" x14ac:dyDescent="0.35">
      <c r="A60" s="14" t="s">
        <v>114</v>
      </c>
      <c r="B60" s="4" t="s">
        <v>114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7</v>
      </c>
      <c r="V60">
        <v>0</v>
      </c>
      <c r="W60">
        <v>0</v>
      </c>
      <c r="X60">
        <v>0</v>
      </c>
      <c r="Y60">
        <v>0</v>
      </c>
      <c r="Z60">
        <f>SUM(LosAngeles[[#This Row],[American Sign Language Total]:[Other Total]])</f>
        <v>7</v>
      </c>
    </row>
    <row r="61" spans="1:26" x14ac:dyDescent="0.35">
      <c r="A61" s="14" t="s">
        <v>115</v>
      </c>
      <c r="B61" s="4" t="s">
        <v>346</v>
      </c>
      <c r="C61">
        <v>4</v>
      </c>
      <c r="D61">
        <v>0</v>
      </c>
      <c r="E61">
        <v>0</v>
      </c>
      <c r="F61">
        <v>0</v>
      </c>
      <c r="G61">
        <v>11</v>
      </c>
      <c r="H61">
        <v>0</v>
      </c>
      <c r="I61">
        <v>10</v>
      </c>
      <c r="J61">
        <v>0</v>
      </c>
      <c r="K61">
        <v>0</v>
      </c>
      <c r="L61">
        <v>0</v>
      </c>
      <c r="M61">
        <v>0</v>
      </c>
      <c r="N61">
        <v>0</v>
      </c>
      <c r="O61">
        <v>1</v>
      </c>
      <c r="P61">
        <v>0</v>
      </c>
      <c r="Q61">
        <v>0</v>
      </c>
      <c r="R61">
        <v>0</v>
      </c>
      <c r="S61">
        <v>0</v>
      </c>
      <c r="T61">
        <v>0</v>
      </c>
      <c r="U61">
        <v>93</v>
      </c>
      <c r="V61">
        <v>0</v>
      </c>
      <c r="W61">
        <v>0</v>
      </c>
      <c r="X61">
        <v>0</v>
      </c>
      <c r="Y61">
        <v>0</v>
      </c>
      <c r="Z61">
        <f>SUM(LosAngeles[[#This Row],[American Sign Language Total]:[Other Total]])</f>
        <v>119</v>
      </c>
    </row>
    <row r="62" spans="1:26" x14ac:dyDescent="0.35">
      <c r="A62" s="14" t="s">
        <v>116</v>
      </c>
      <c r="B62" s="4" t="s">
        <v>116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49</v>
      </c>
      <c r="V62">
        <v>0</v>
      </c>
      <c r="W62">
        <v>0</v>
      </c>
      <c r="X62">
        <v>0</v>
      </c>
      <c r="Y62">
        <v>0</v>
      </c>
      <c r="Z62">
        <f>SUM(LosAngeles[[#This Row],[American Sign Language Total]:[Other Total]])</f>
        <v>49</v>
      </c>
    </row>
    <row r="63" spans="1:26" x14ac:dyDescent="0.35">
      <c r="A63" s="14" t="s">
        <v>347</v>
      </c>
      <c r="B63" s="4" t="s">
        <v>348</v>
      </c>
      <c r="C63">
        <v>0</v>
      </c>
      <c r="D63">
        <v>0</v>
      </c>
      <c r="E63">
        <v>0</v>
      </c>
      <c r="F63">
        <v>0</v>
      </c>
      <c r="G63">
        <v>4</v>
      </c>
      <c r="H63">
        <v>0</v>
      </c>
      <c r="I63">
        <v>10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87</v>
      </c>
      <c r="V63">
        <v>0</v>
      </c>
      <c r="W63">
        <v>0</v>
      </c>
      <c r="X63">
        <v>0</v>
      </c>
      <c r="Y63">
        <v>1</v>
      </c>
      <c r="Z63">
        <f>SUM(LosAngeles[[#This Row],[American Sign Language Total]:[Other Total]])</f>
        <v>102</v>
      </c>
    </row>
    <row r="64" spans="1:26" x14ac:dyDescent="0.35">
      <c r="A64" s="14" t="s">
        <v>349</v>
      </c>
      <c r="B64" s="4" t="s">
        <v>349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17</v>
      </c>
      <c r="V64">
        <v>0</v>
      </c>
      <c r="W64">
        <v>0</v>
      </c>
      <c r="X64">
        <v>0</v>
      </c>
      <c r="Y64">
        <v>0</v>
      </c>
      <c r="Z64">
        <f>SUM(LosAngeles[[#This Row],[American Sign Language Total]:[Other Total]])</f>
        <v>17</v>
      </c>
    </row>
    <row r="65" spans="1:26" x14ac:dyDescent="0.35">
      <c r="A65" s="14" t="s">
        <v>350</v>
      </c>
      <c r="B65" s="4" t="s">
        <v>350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15</v>
      </c>
      <c r="R65">
        <v>0</v>
      </c>
      <c r="S65">
        <v>0</v>
      </c>
      <c r="T65">
        <v>0</v>
      </c>
      <c r="U65">
        <v>52</v>
      </c>
      <c r="V65">
        <v>0</v>
      </c>
      <c r="W65">
        <v>0</v>
      </c>
      <c r="X65">
        <v>0</v>
      </c>
      <c r="Y65">
        <v>0</v>
      </c>
      <c r="Z65">
        <f>SUM(LosAngeles[[#This Row],[American Sign Language Total]:[Other Total]])</f>
        <v>67</v>
      </c>
    </row>
    <row r="66" spans="1:26" x14ac:dyDescent="0.35">
      <c r="A66" s="14" t="s">
        <v>117</v>
      </c>
      <c r="B66" s="4" t="s">
        <v>117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5</v>
      </c>
      <c r="V66">
        <v>0</v>
      </c>
      <c r="W66">
        <v>0</v>
      </c>
      <c r="X66">
        <v>0</v>
      </c>
      <c r="Y66">
        <v>0</v>
      </c>
      <c r="Z66">
        <f>SUM(LosAngeles[[#This Row],[American Sign Language Total]:[Other Total]])</f>
        <v>5</v>
      </c>
    </row>
    <row r="67" spans="1:26" x14ac:dyDescent="0.35">
      <c r="A67" s="14" t="s">
        <v>118</v>
      </c>
      <c r="B67" s="4" t="s">
        <v>118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4</v>
      </c>
      <c r="V67">
        <v>0</v>
      </c>
      <c r="W67">
        <v>0</v>
      </c>
      <c r="X67">
        <v>0</v>
      </c>
      <c r="Y67">
        <v>0</v>
      </c>
      <c r="Z67">
        <f>SUM(LosAngeles[[#This Row],[American Sign Language Total]:[Other Total]])</f>
        <v>4</v>
      </c>
    </row>
    <row r="68" spans="1:26" ht="13.5" customHeight="1" x14ac:dyDescent="0.35">
      <c r="A68" s="14" t="s">
        <v>119</v>
      </c>
      <c r="B68" s="4" t="s">
        <v>119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2</v>
      </c>
      <c r="V68">
        <v>0</v>
      </c>
      <c r="W68">
        <v>0</v>
      </c>
      <c r="X68">
        <v>0</v>
      </c>
      <c r="Y68">
        <v>0</v>
      </c>
      <c r="Z68">
        <f>SUM(LosAngeles[[#This Row],[American Sign Language Total]:[Other Total]])</f>
        <v>3</v>
      </c>
    </row>
    <row r="69" spans="1:26" x14ac:dyDescent="0.35">
      <c r="A69" s="14" t="s">
        <v>1224</v>
      </c>
      <c r="B69" s="4" t="s">
        <v>769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2</v>
      </c>
      <c r="P69">
        <v>0</v>
      </c>
      <c r="Q69">
        <v>0</v>
      </c>
      <c r="R69">
        <v>0</v>
      </c>
      <c r="S69">
        <v>0</v>
      </c>
      <c r="T69">
        <v>2</v>
      </c>
      <c r="U69">
        <v>80</v>
      </c>
      <c r="V69">
        <v>0</v>
      </c>
      <c r="W69">
        <v>0</v>
      </c>
      <c r="X69">
        <v>0</v>
      </c>
      <c r="Y69">
        <v>0</v>
      </c>
      <c r="Z69">
        <f>SUM(LosAngeles[[#This Row],[American Sign Language Total]:[Other Total]])</f>
        <v>84</v>
      </c>
    </row>
    <row r="70" spans="1:26" x14ac:dyDescent="0.35">
      <c r="A70" s="14" t="s">
        <v>785</v>
      </c>
      <c r="B70" s="4" t="s">
        <v>785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0</v>
      </c>
      <c r="T70">
        <v>1</v>
      </c>
      <c r="U70">
        <v>4</v>
      </c>
      <c r="V70">
        <v>0</v>
      </c>
      <c r="W70">
        <v>0</v>
      </c>
      <c r="X70">
        <v>0</v>
      </c>
      <c r="Y70">
        <v>0</v>
      </c>
      <c r="Z70">
        <f>SUM(LosAngeles[[#This Row],[American Sign Language Total]:[Other Total]])</f>
        <v>7</v>
      </c>
    </row>
    <row r="71" spans="1:26" x14ac:dyDescent="0.35">
      <c r="A71" s="14" t="s">
        <v>786</v>
      </c>
      <c r="B71" s="4" t="s">
        <v>786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70</v>
      </c>
      <c r="V71">
        <v>0</v>
      </c>
      <c r="W71">
        <v>0</v>
      </c>
      <c r="X71">
        <v>0</v>
      </c>
      <c r="Y71">
        <v>0</v>
      </c>
      <c r="Z71">
        <f>SUM(LosAngeles[[#This Row],[American Sign Language Total]:[Other Total]])</f>
        <v>70</v>
      </c>
    </row>
    <row r="72" spans="1:26" x14ac:dyDescent="0.35">
      <c r="A72" s="14" t="s">
        <v>361</v>
      </c>
      <c r="B72" s="4" t="s">
        <v>361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89</v>
      </c>
      <c r="V72">
        <v>0</v>
      </c>
      <c r="W72">
        <v>0</v>
      </c>
      <c r="X72">
        <v>0</v>
      </c>
      <c r="Y72">
        <v>0</v>
      </c>
      <c r="Z72">
        <f>SUM(LosAngeles[[#This Row],[American Sign Language Total]:[Other Total]])</f>
        <v>90</v>
      </c>
    </row>
    <row r="73" spans="1:26" ht="31" x14ac:dyDescent="0.35">
      <c r="A73" s="14" t="s">
        <v>787</v>
      </c>
      <c r="B73" s="4" t="s">
        <v>808</v>
      </c>
      <c r="C73">
        <v>0</v>
      </c>
      <c r="D73">
        <v>0</v>
      </c>
      <c r="E73">
        <v>0</v>
      </c>
      <c r="F73">
        <v>0</v>
      </c>
      <c r="G73">
        <v>65</v>
      </c>
      <c r="H73">
        <v>0</v>
      </c>
      <c r="I73">
        <v>28</v>
      </c>
      <c r="J73">
        <v>0</v>
      </c>
      <c r="K73">
        <v>0</v>
      </c>
      <c r="L73">
        <v>0</v>
      </c>
      <c r="M73">
        <v>0</v>
      </c>
      <c r="N73">
        <v>0</v>
      </c>
      <c r="O73">
        <v>33</v>
      </c>
      <c r="P73">
        <v>28</v>
      </c>
      <c r="Q73">
        <v>19</v>
      </c>
      <c r="R73">
        <v>0</v>
      </c>
      <c r="S73">
        <v>0</v>
      </c>
      <c r="T73">
        <v>0</v>
      </c>
      <c r="U73">
        <v>210</v>
      </c>
      <c r="V73">
        <v>0</v>
      </c>
      <c r="W73">
        <v>0</v>
      </c>
      <c r="X73">
        <v>0</v>
      </c>
      <c r="Y73">
        <v>0</v>
      </c>
      <c r="Z73">
        <f>SUM(LosAngeles[[#This Row],[American Sign Language Total]:[Other Total]])</f>
        <v>383</v>
      </c>
    </row>
    <row r="74" spans="1:26" ht="31" x14ac:dyDescent="0.35">
      <c r="A74" s="14" t="s">
        <v>788</v>
      </c>
      <c r="B74" s="4" t="s">
        <v>809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372</v>
      </c>
      <c r="V74">
        <v>0</v>
      </c>
      <c r="W74">
        <v>0</v>
      </c>
      <c r="X74">
        <v>0</v>
      </c>
      <c r="Y74">
        <v>0</v>
      </c>
      <c r="Z74">
        <f>SUM(LosAngeles[[#This Row],[American Sign Language Total]:[Other Total]])</f>
        <v>372</v>
      </c>
    </row>
    <row r="75" spans="1:26" ht="31" x14ac:dyDescent="0.35">
      <c r="A75" s="14" t="s">
        <v>1029</v>
      </c>
      <c r="B75" s="4" t="s">
        <v>810</v>
      </c>
      <c r="C75">
        <v>5</v>
      </c>
      <c r="D75">
        <v>0</v>
      </c>
      <c r="E75">
        <v>10</v>
      </c>
      <c r="F75">
        <v>0</v>
      </c>
      <c r="G75">
        <v>30</v>
      </c>
      <c r="H75">
        <v>1</v>
      </c>
      <c r="I75">
        <v>2</v>
      </c>
      <c r="J75">
        <v>0</v>
      </c>
      <c r="K75">
        <v>0</v>
      </c>
      <c r="L75">
        <v>0</v>
      </c>
      <c r="M75">
        <v>0</v>
      </c>
      <c r="N75">
        <v>0</v>
      </c>
      <c r="O75">
        <v>2</v>
      </c>
      <c r="P75">
        <v>0</v>
      </c>
      <c r="Q75">
        <v>0</v>
      </c>
      <c r="R75">
        <v>0</v>
      </c>
      <c r="S75">
        <v>0</v>
      </c>
      <c r="T75">
        <v>1</v>
      </c>
      <c r="U75">
        <v>175</v>
      </c>
      <c r="V75">
        <v>0</v>
      </c>
      <c r="W75">
        <v>0</v>
      </c>
      <c r="X75">
        <v>0</v>
      </c>
      <c r="Y75">
        <v>0</v>
      </c>
      <c r="Z75">
        <f>SUM(LosAngeles[[#This Row],[American Sign Language Total]:[Other Total]])</f>
        <v>226</v>
      </c>
    </row>
    <row r="76" spans="1:26" ht="77.5" x14ac:dyDescent="0.35">
      <c r="A76" s="14" t="s">
        <v>351</v>
      </c>
      <c r="B76" s="4" t="s">
        <v>811</v>
      </c>
      <c r="C76">
        <v>1</v>
      </c>
      <c r="D76">
        <v>1</v>
      </c>
      <c r="E76">
        <v>0</v>
      </c>
      <c r="F76">
        <v>0</v>
      </c>
      <c r="G76">
        <v>5</v>
      </c>
      <c r="H76">
        <v>0</v>
      </c>
      <c r="I76">
        <v>10</v>
      </c>
      <c r="J76">
        <v>0</v>
      </c>
      <c r="K76">
        <v>0</v>
      </c>
      <c r="L76">
        <v>0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0</v>
      </c>
      <c r="T76">
        <v>0</v>
      </c>
      <c r="U76">
        <v>163</v>
      </c>
      <c r="V76">
        <v>1</v>
      </c>
      <c r="W76">
        <v>0</v>
      </c>
      <c r="X76">
        <v>3</v>
      </c>
      <c r="Y76">
        <v>0</v>
      </c>
      <c r="Z76">
        <f>SUM(LosAngeles[[#This Row],[American Sign Language Total]:[Other Total]])</f>
        <v>185</v>
      </c>
    </row>
    <row r="77" spans="1:26" x14ac:dyDescent="0.35">
      <c r="A77" s="14" t="s">
        <v>789</v>
      </c>
      <c r="B77" s="4" t="s">
        <v>789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39</v>
      </c>
      <c r="V77">
        <v>0</v>
      </c>
      <c r="W77">
        <v>0</v>
      </c>
      <c r="X77">
        <v>0</v>
      </c>
      <c r="Y77">
        <v>0</v>
      </c>
      <c r="Z77">
        <f>SUM(LosAngeles[[#This Row],[American Sign Language Total]:[Other Total]])</f>
        <v>40</v>
      </c>
    </row>
    <row r="78" spans="1:26" ht="31" x14ac:dyDescent="0.35">
      <c r="A78" s="16" t="s">
        <v>120</v>
      </c>
      <c r="B78" s="4" t="s">
        <v>120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f>SUM(LosAngeles[[#This Row],[American Sign Language Total]:[Other Total]])</f>
        <v>1</v>
      </c>
    </row>
    <row r="79" spans="1:26" ht="31" x14ac:dyDescent="0.35">
      <c r="A79" s="16" t="s">
        <v>790</v>
      </c>
      <c r="B79" s="4" t="s">
        <v>790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f>SUM(LosAngeles[[#This Row],[American Sign Language Total]:[Other Total]])</f>
        <v>1</v>
      </c>
    </row>
    <row r="80" spans="1:26" x14ac:dyDescent="0.35">
      <c r="A80" s="14" t="s">
        <v>791</v>
      </c>
      <c r="B80" s="4" t="s">
        <v>791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24</v>
      </c>
      <c r="V80">
        <v>0</v>
      </c>
      <c r="W80">
        <v>0</v>
      </c>
      <c r="X80">
        <v>0</v>
      </c>
      <c r="Y80">
        <v>0</v>
      </c>
      <c r="Z80">
        <f>SUM(LosAngeles[[#This Row],[American Sign Language Total]:[Other Total]])</f>
        <v>24</v>
      </c>
    </row>
    <row r="81" spans="1:26" x14ac:dyDescent="0.35">
      <c r="A81" s="14" t="s">
        <v>352</v>
      </c>
      <c r="B81" s="4" t="s">
        <v>353</v>
      </c>
      <c r="C81">
        <v>0</v>
      </c>
      <c r="D81">
        <v>0</v>
      </c>
      <c r="E81">
        <v>0</v>
      </c>
      <c r="F81">
        <v>0</v>
      </c>
      <c r="G81">
        <v>12</v>
      </c>
      <c r="H81">
        <v>0</v>
      </c>
      <c r="I81">
        <v>5</v>
      </c>
      <c r="J81">
        <v>0</v>
      </c>
      <c r="K81">
        <v>1</v>
      </c>
      <c r="L81">
        <v>0</v>
      </c>
      <c r="M81">
        <v>0</v>
      </c>
      <c r="N81">
        <v>1</v>
      </c>
      <c r="O81">
        <v>2</v>
      </c>
      <c r="P81">
        <v>0</v>
      </c>
      <c r="Q81">
        <v>0</v>
      </c>
      <c r="R81">
        <v>0</v>
      </c>
      <c r="S81">
        <v>0</v>
      </c>
      <c r="T81">
        <v>0</v>
      </c>
      <c r="U81">
        <v>90</v>
      </c>
      <c r="V81">
        <v>0</v>
      </c>
      <c r="W81">
        <v>0</v>
      </c>
      <c r="X81">
        <v>0</v>
      </c>
      <c r="Y81">
        <v>2</v>
      </c>
      <c r="Z81">
        <f>SUM(LosAngeles[[#This Row],[American Sign Language Total]:[Other Total]])</f>
        <v>113</v>
      </c>
    </row>
    <row r="82" spans="1:26" x14ac:dyDescent="0.35">
      <c r="A82" s="14" t="s">
        <v>354</v>
      </c>
      <c r="B82" s="4" t="s">
        <v>812</v>
      </c>
      <c r="C82">
        <v>0</v>
      </c>
      <c r="D82">
        <v>0</v>
      </c>
      <c r="E82">
        <v>0</v>
      </c>
      <c r="F82">
        <v>0</v>
      </c>
      <c r="G82">
        <v>31</v>
      </c>
      <c r="H82">
        <v>0</v>
      </c>
      <c r="I82">
        <v>14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22</v>
      </c>
      <c r="Q82">
        <v>0</v>
      </c>
      <c r="R82">
        <v>0</v>
      </c>
      <c r="S82">
        <v>0</v>
      </c>
      <c r="T82">
        <v>0</v>
      </c>
      <c r="U82">
        <v>91</v>
      </c>
      <c r="V82">
        <v>5</v>
      </c>
      <c r="W82">
        <v>0</v>
      </c>
      <c r="X82">
        <v>0</v>
      </c>
      <c r="Y82">
        <v>0</v>
      </c>
      <c r="Z82">
        <f>SUM(LosAngeles[[#This Row],[American Sign Language Total]:[Other Total]])</f>
        <v>163</v>
      </c>
    </row>
    <row r="83" spans="1:26" x14ac:dyDescent="0.35">
      <c r="A83" s="14" t="s">
        <v>355</v>
      </c>
      <c r="B83" s="4" t="s">
        <v>356</v>
      </c>
      <c r="C83">
        <v>0</v>
      </c>
      <c r="D83">
        <v>0</v>
      </c>
      <c r="E83">
        <v>0</v>
      </c>
      <c r="F83">
        <v>0</v>
      </c>
      <c r="G83">
        <v>33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37</v>
      </c>
      <c r="V83">
        <v>0</v>
      </c>
      <c r="W83">
        <v>0</v>
      </c>
      <c r="X83">
        <v>0</v>
      </c>
      <c r="Y83">
        <v>0</v>
      </c>
      <c r="Z83">
        <f>SUM(LosAngeles[[#This Row],[American Sign Language Total]:[Other Total]])</f>
        <v>70</v>
      </c>
    </row>
    <row r="84" spans="1:26" x14ac:dyDescent="0.35">
      <c r="A84" s="14" t="s">
        <v>357</v>
      </c>
      <c r="B84" s="4" t="s">
        <v>358</v>
      </c>
      <c r="C84">
        <v>0</v>
      </c>
      <c r="D84">
        <v>0</v>
      </c>
      <c r="E84">
        <v>0</v>
      </c>
      <c r="F84">
        <v>0</v>
      </c>
      <c r="G84">
        <v>23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13</v>
      </c>
      <c r="V84">
        <v>0</v>
      </c>
      <c r="W84">
        <v>0</v>
      </c>
      <c r="X84">
        <v>0</v>
      </c>
      <c r="Y84">
        <v>0</v>
      </c>
      <c r="Z84">
        <f>SUM(LosAngeles[[#This Row],[American Sign Language Total]:[Other Total]])</f>
        <v>36</v>
      </c>
    </row>
    <row r="85" spans="1:26" x14ac:dyDescent="0.35">
      <c r="A85" s="14" t="s">
        <v>359</v>
      </c>
      <c r="B85" s="4" t="s">
        <v>360</v>
      </c>
      <c r="C85">
        <v>0</v>
      </c>
      <c r="D85">
        <v>0</v>
      </c>
      <c r="E85">
        <v>0</v>
      </c>
      <c r="F85">
        <v>0</v>
      </c>
      <c r="G85">
        <v>3</v>
      </c>
      <c r="H85">
        <v>0</v>
      </c>
      <c r="I85">
        <v>26</v>
      </c>
      <c r="J85">
        <v>2</v>
      </c>
      <c r="K85">
        <v>0</v>
      </c>
      <c r="L85">
        <v>0</v>
      </c>
      <c r="M85">
        <v>0</v>
      </c>
      <c r="N85">
        <v>0</v>
      </c>
      <c r="O85">
        <v>27</v>
      </c>
      <c r="P85">
        <v>0</v>
      </c>
      <c r="Q85">
        <v>3</v>
      </c>
      <c r="R85">
        <v>0</v>
      </c>
      <c r="S85">
        <v>0</v>
      </c>
      <c r="T85">
        <v>0</v>
      </c>
      <c r="U85">
        <v>142</v>
      </c>
      <c r="V85">
        <v>0</v>
      </c>
      <c r="W85">
        <v>0</v>
      </c>
      <c r="X85">
        <v>0</v>
      </c>
      <c r="Y85">
        <v>0</v>
      </c>
      <c r="Z85">
        <f>SUM(LosAngeles[[#This Row],[American Sign Language Total]:[Other Total]])</f>
        <v>203</v>
      </c>
    </row>
    <row r="86" spans="1:26" x14ac:dyDescent="0.35">
      <c r="A86" s="14" t="s">
        <v>122</v>
      </c>
      <c r="B86" s="4" t="s">
        <v>122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8</v>
      </c>
      <c r="V86">
        <v>0</v>
      </c>
      <c r="W86">
        <v>0</v>
      </c>
      <c r="X86">
        <v>0</v>
      </c>
      <c r="Y86">
        <v>0</v>
      </c>
      <c r="Z86">
        <f>SUM(LosAngeles[[#This Row],[American Sign Language Total]:[Other Total]])</f>
        <v>8</v>
      </c>
    </row>
    <row r="87" spans="1:26" x14ac:dyDescent="0.35">
      <c r="A87" s="14" t="s">
        <v>792</v>
      </c>
      <c r="B87" s="4" t="s">
        <v>813</v>
      </c>
      <c r="C87">
        <v>0</v>
      </c>
      <c r="D87">
        <v>0</v>
      </c>
      <c r="E87">
        <v>0</v>
      </c>
      <c r="F87">
        <v>0</v>
      </c>
      <c r="G87">
        <v>29</v>
      </c>
      <c r="H87">
        <v>0</v>
      </c>
      <c r="I87">
        <v>15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75</v>
      </c>
      <c r="V87">
        <v>0</v>
      </c>
      <c r="W87">
        <v>0</v>
      </c>
      <c r="X87">
        <v>0</v>
      </c>
      <c r="Y87">
        <v>0</v>
      </c>
      <c r="Z87">
        <f>SUM(LosAngeles[[#This Row],[American Sign Language Total]:[Other Total]])</f>
        <v>119</v>
      </c>
    </row>
    <row r="88" spans="1:26" x14ac:dyDescent="0.35">
      <c r="A88" s="14" t="s">
        <v>793</v>
      </c>
      <c r="B88" s="4" t="s">
        <v>793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20</v>
      </c>
      <c r="V88">
        <v>0</v>
      </c>
      <c r="W88">
        <v>0</v>
      </c>
      <c r="X88">
        <v>0</v>
      </c>
      <c r="Y88">
        <v>0</v>
      </c>
      <c r="Z88">
        <f>SUM(LosAngeles[[#This Row],[American Sign Language Total]:[Other Total]])</f>
        <v>20</v>
      </c>
    </row>
    <row r="89" spans="1:26" ht="31" x14ac:dyDescent="0.35">
      <c r="A89" s="14" t="s">
        <v>362</v>
      </c>
      <c r="B89" s="4" t="s">
        <v>814</v>
      </c>
      <c r="C89">
        <v>0</v>
      </c>
      <c r="D89">
        <v>0</v>
      </c>
      <c r="E89">
        <v>0</v>
      </c>
      <c r="F89">
        <v>0</v>
      </c>
      <c r="G89">
        <v>12</v>
      </c>
      <c r="H89">
        <v>0</v>
      </c>
      <c r="I89">
        <v>18</v>
      </c>
      <c r="J89">
        <v>0</v>
      </c>
      <c r="K89">
        <v>0</v>
      </c>
      <c r="L89">
        <v>0</v>
      </c>
      <c r="M89">
        <v>0</v>
      </c>
      <c r="N89">
        <v>0</v>
      </c>
      <c r="O89">
        <v>139</v>
      </c>
      <c r="P89">
        <v>83</v>
      </c>
      <c r="Q89">
        <v>0</v>
      </c>
      <c r="R89">
        <v>0</v>
      </c>
      <c r="S89">
        <v>0</v>
      </c>
      <c r="T89">
        <v>0</v>
      </c>
      <c r="U89">
        <v>251</v>
      </c>
      <c r="V89">
        <v>0</v>
      </c>
      <c r="W89">
        <v>0</v>
      </c>
      <c r="X89">
        <v>0</v>
      </c>
      <c r="Y89">
        <v>0</v>
      </c>
      <c r="Z89">
        <f>SUM(LosAngeles[[#This Row],[American Sign Language Total]:[Other Total]])</f>
        <v>503</v>
      </c>
    </row>
    <row r="90" spans="1:26" x14ac:dyDescent="0.35">
      <c r="A90" s="14" t="s">
        <v>794</v>
      </c>
      <c r="B90" s="4" t="s">
        <v>794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6</v>
      </c>
      <c r="Q90">
        <v>0</v>
      </c>
      <c r="R90">
        <v>0</v>
      </c>
      <c r="S90">
        <v>0</v>
      </c>
      <c r="T90">
        <v>0</v>
      </c>
      <c r="U90">
        <v>70</v>
      </c>
      <c r="V90">
        <v>0</v>
      </c>
      <c r="W90">
        <v>0</v>
      </c>
      <c r="X90">
        <v>0</v>
      </c>
      <c r="Y90">
        <v>0</v>
      </c>
      <c r="Z90">
        <f>SUM(LosAngeles[[#This Row],[American Sign Language Total]:[Other Total]])</f>
        <v>76</v>
      </c>
    </row>
    <row r="91" spans="1:26" x14ac:dyDescent="0.35">
      <c r="A91" s="14" t="s">
        <v>795</v>
      </c>
      <c r="B91" s="4" t="s">
        <v>795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50</v>
      </c>
      <c r="V91">
        <v>0</v>
      </c>
      <c r="W91">
        <v>0</v>
      </c>
      <c r="X91">
        <v>0</v>
      </c>
      <c r="Y91">
        <v>0</v>
      </c>
      <c r="Z91">
        <f>SUM(LosAngeles[[#This Row],[American Sign Language Total]:[Other Total]])</f>
        <v>50</v>
      </c>
    </row>
    <row r="92" spans="1:26" x14ac:dyDescent="0.35">
      <c r="A92" s="14" t="s">
        <v>123</v>
      </c>
      <c r="B92" s="4" t="s">
        <v>123</v>
      </c>
      <c r="C92">
        <v>0</v>
      </c>
      <c r="D92">
        <v>0</v>
      </c>
      <c r="E92">
        <v>0</v>
      </c>
      <c r="F92">
        <v>0</v>
      </c>
      <c r="G92">
        <v>31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8</v>
      </c>
      <c r="V92">
        <v>0</v>
      </c>
      <c r="W92">
        <v>0</v>
      </c>
      <c r="X92">
        <v>0</v>
      </c>
      <c r="Y92">
        <v>0</v>
      </c>
      <c r="Z92">
        <f>SUM(LosAngeles[[#This Row],[American Sign Language Total]:[Other Total]])</f>
        <v>39</v>
      </c>
    </row>
    <row r="93" spans="1:26" x14ac:dyDescent="0.35">
      <c r="A93" s="14" t="s">
        <v>124</v>
      </c>
      <c r="B93" s="4" t="s">
        <v>124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33</v>
      </c>
      <c r="V93">
        <v>0</v>
      </c>
      <c r="W93">
        <v>0</v>
      </c>
      <c r="X93">
        <v>0</v>
      </c>
      <c r="Y93">
        <v>0</v>
      </c>
      <c r="Z93">
        <f>SUM(LosAngeles[[#This Row],[American Sign Language Total]:[Other Total]])</f>
        <v>33</v>
      </c>
    </row>
    <row r="94" spans="1:26" x14ac:dyDescent="0.35">
      <c r="A94" s="14" t="s">
        <v>363</v>
      </c>
      <c r="B94" s="4" t="s">
        <v>364</v>
      </c>
      <c r="C94">
        <v>0</v>
      </c>
      <c r="D94">
        <v>0</v>
      </c>
      <c r="E94">
        <v>0</v>
      </c>
      <c r="F94">
        <v>0</v>
      </c>
      <c r="G94">
        <v>178</v>
      </c>
      <c r="H94">
        <v>0</v>
      </c>
      <c r="I94">
        <v>35</v>
      </c>
      <c r="J94">
        <v>9</v>
      </c>
      <c r="K94">
        <v>0</v>
      </c>
      <c r="L94">
        <v>0</v>
      </c>
      <c r="M94">
        <v>0</v>
      </c>
      <c r="N94">
        <v>0</v>
      </c>
      <c r="O94">
        <v>1</v>
      </c>
      <c r="P94">
        <v>25</v>
      </c>
      <c r="Q94">
        <v>0</v>
      </c>
      <c r="R94">
        <v>0</v>
      </c>
      <c r="S94">
        <v>0</v>
      </c>
      <c r="T94">
        <v>0</v>
      </c>
      <c r="U94">
        <v>117</v>
      </c>
      <c r="V94">
        <v>0</v>
      </c>
      <c r="W94">
        <v>0</v>
      </c>
      <c r="X94">
        <v>0</v>
      </c>
      <c r="Y94">
        <v>0</v>
      </c>
      <c r="Z94">
        <f>SUM(LosAngeles[[#This Row],[American Sign Language Total]:[Other Total]])</f>
        <v>365</v>
      </c>
    </row>
    <row r="95" spans="1:26" ht="37.5" customHeight="1" x14ac:dyDescent="0.35">
      <c r="A95" s="14" t="s">
        <v>796</v>
      </c>
      <c r="B95" s="4" t="s">
        <v>815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99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f>SUM(LosAngeles[[#This Row],[American Sign Language Total]:[Other Total]])</f>
        <v>99</v>
      </c>
    </row>
    <row r="96" spans="1:26" x14ac:dyDescent="0.35">
      <c r="A96" s="14" t="s">
        <v>125</v>
      </c>
      <c r="B96" s="4" t="s">
        <v>125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12</v>
      </c>
      <c r="V96">
        <v>0</v>
      </c>
      <c r="W96">
        <v>0</v>
      </c>
      <c r="X96">
        <v>0</v>
      </c>
      <c r="Y96">
        <v>0</v>
      </c>
      <c r="Z96">
        <f>SUM(LosAngeles[[#This Row],[American Sign Language Total]:[Other Total]])</f>
        <v>12</v>
      </c>
    </row>
    <row r="97" spans="1:26" ht="34.5" customHeight="1" x14ac:dyDescent="0.35">
      <c r="A97" s="14" t="s">
        <v>365</v>
      </c>
      <c r="B97" s="4" t="s">
        <v>816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41</v>
      </c>
      <c r="J97">
        <v>36</v>
      </c>
      <c r="K97">
        <v>0</v>
      </c>
      <c r="L97">
        <v>0</v>
      </c>
      <c r="M97">
        <v>0</v>
      </c>
      <c r="N97">
        <v>0</v>
      </c>
      <c r="O97">
        <v>2</v>
      </c>
      <c r="P97">
        <v>1</v>
      </c>
      <c r="Q97">
        <v>13</v>
      </c>
      <c r="R97">
        <v>0</v>
      </c>
      <c r="S97">
        <v>0</v>
      </c>
      <c r="T97">
        <v>0</v>
      </c>
      <c r="U97">
        <v>400</v>
      </c>
      <c r="V97">
        <v>0</v>
      </c>
      <c r="W97">
        <v>1</v>
      </c>
      <c r="X97">
        <v>1</v>
      </c>
      <c r="Y97">
        <v>4</v>
      </c>
      <c r="Z97">
        <f>SUM(LosAngeles[[#This Row],[American Sign Language Total]:[Other Total]])</f>
        <v>500</v>
      </c>
    </row>
    <row r="98" spans="1:26" ht="77.5" x14ac:dyDescent="0.35">
      <c r="A98" s="14" t="s">
        <v>366</v>
      </c>
      <c r="B98" s="4" t="s">
        <v>367</v>
      </c>
      <c r="C98">
        <v>30</v>
      </c>
      <c r="D98">
        <v>0</v>
      </c>
      <c r="E98">
        <v>0</v>
      </c>
      <c r="F98">
        <v>0</v>
      </c>
      <c r="G98">
        <v>23</v>
      </c>
      <c r="H98">
        <v>0</v>
      </c>
      <c r="I98">
        <v>28</v>
      </c>
      <c r="J98">
        <v>0</v>
      </c>
      <c r="K98">
        <v>0</v>
      </c>
      <c r="L98">
        <v>0</v>
      </c>
      <c r="M98">
        <v>0</v>
      </c>
      <c r="N98">
        <v>4</v>
      </c>
      <c r="O98">
        <v>0</v>
      </c>
      <c r="P98">
        <v>5</v>
      </c>
      <c r="Q98">
        <v>0</v>
      </c>
      <c r="R98">
        <v>0</v>
      </c>
      <c r="S98">
        <v>0</v>
      </c>
      <c r="T98">
        <v>0</v>
      </c>
      <c r="U98">
        <v>268</v>
      </c>
      <c r="V98">
        <v>0</v>
      </c>
      <c r="W98">
        <v>0</v>
      </c>
      <c r="X98">
        <v>0</v>
      </c>
      <c r="Y98">
        <v>0</v>
      </c>
      <c r="Z98">
        <f>SUM(LosAngeles[[#This Row],[American Sign Language Total]:[Other Total]])</f>
        <v>358</v>
      </c>
    </row>
    <row r="99" spans="1:26" x14ac:dyDescent="0.35">
      <c r="A99" s="14" t="s">
        <v>368</v>
      </c>
      <c r="B99" s="4" t="s">
        <v>368</v>
      </c>
      <c r="C99">
        <v>5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f>SUM(LosAngeles[[#This Row],[American Sign Language Total]:[Other Total]])</f>
        <v>7</v>
      </c>
    </row>
    <row r="100" spans="1:26" x14ac:dyDescent="0.35">
      <c r="A100" s="9" t="s">
        <v>1030</v>
      </c>
      <c r="B100" s="8" t="s">
        <v>1202</v>
      </c>
      <c r="C100" s="3">
        <f>SUBTOTAL(109,LosAngeles[American Sign Language Total])</f>
        <v>234</v>
      </c>
      <c r="D100" s="3">
        <f>SUBTOTAL(109,LosAngeles[Arabic Total])</f>
        <v>36</v>
      </c>
      <c r="E100" s="3">
        <f>SUBTOTAL(109,LosAngeles[Armenian Total])</f>
        <v>179</v>
      </c>
      <c r="F100" s="3">
        <f>SUBTOTAL(109,LosAngeles[Bengali Total])</f>
        <v>20</v>
      </c>
      <c r="G100" s="3">
        <f>SUBTOTAL(109,LosAngeles[Chinese (Mandarin or Cantonese) Total])</f>
        <v>1224</v>
      </c>
      <c r="H100" s="3">
        <f>SUBTOTAL(109,LosAngeles[Farsi (Persian) Total])</f>
        <v>12</v>
      </c>
      <c r="I100" s="3">
        <f>SUBTOTAL(109,LosAngeles[French Total])</f>
        <v>818</v>
      </c>
      <c r="J100" s="3">
        <f>SUBTOTAL(109,LosAngeles[German Total])</f>
        <v>118</v>
      </c>
      <c r="K100" s="3">
        <f>SUBTOTAL(109,LosAngeles[Hebrew Total])</f>
        <v>14</v>
      </c>
      <c r="L100" s="3">
        <f>SUBTOTAL(109,LosAngeles[Hindi Total])</f>
        <v>9</v>
      </c>
      <c r="M100" s="3">
        <f>SUBTOTAL(109,LosAngeles[Hmong Total])</f>
        <v>1</v>
      </c>
      <c r="N100" s="3">
        <f>SUBTOTAL(109,LosAngeles[Italian Total])</f>
        <v>48</v>
      </c>
      <c r="O100" s="3">
        <f>SUBTOTAL(109,LosAngeles[Japanese Total])</f>
        <v>436</v>
      </c>
      <c r="P100" s="3">
        <f>SUBTOTAL(109,LosAngeles[Korean Total])</f>
        <v>483</v>
      </c>
      <c r="Q100" s="3">
        <f>SUBTOTAL(109,LosAngeles[Latin Total])</f>
        <v>154</v>
      </c>
      <c r="R100" s="3">
        <f>SUBTOTAL(109,LosAngeles[Portuguese Total])</f>
        <v>7</v>
      </c>
      <c r="S100" s="3">
        <f>SUBTOTAL(109,LosAngeles[Punjabi Total])</f>
        <v>7</v>
      </c>
      <c r="T100" s="3">
        <f>SUBTOTAL(109,LosAngeles[Russian Total])</f>
        <v>152</v>
      </c>
      <c r="U100" s="3">
        <f>SUBTOTAL(109,LosAngeles[Spanish Total])</f>
        <v>16236</v>
      </c>
      <c r="V100" s="3">
        <f>SUBTOTAL(109,LosAngeles[Tagalog (Filipino) Total])</f>
        <v>80</v>
      </c>
      <c r="W100" s="3">
        <f>SUBTOTAL(109,LosAngeles[Urdu Total])</f>
        <v>18</v>
      </c>
      <c r="X100" s="3">
        <f>SUBTOTAL(109,LosAngeles[Vietnamese Total])</f>
        <v>51</v>
      </c>
      <c r="Y100" s="3">
        <f>SUBTOTAL(109,LosAngeles[Other Total])</f>
        <v>60</v>
      </c>
      <c r="Z100" s="3">
        <f>SUBTOTAL(109,LosAngeles[Total Seals per Local Educational Agency])</f>
        <v>20397</v>
      </c>
    </row>
    <row r="117" spans="1:26" ht="13.5" customHeight="1" x14ac:dyDescent="0.35">
      <c r="A117" s="14"/>
      <c r="Z117" s="5"/>
    </row>
    <row r="118" spans="1:26" x14ac:dyDescent="0.35">
      <c r="A118" s="14"/>
      <c r="Z118" s="5"/>
    </row>
    <row r="120" spans="1:26" x14ac:dyDescent="0.35">
      <c r="Z120" s="5"/>
    </row>
    <row r="121" spans="1:26" x14ac:dyDescent="0.35">
      <c r="Z121" s="5"/>
    </row>
    <row r="122" spans="1:26" x14ac:dyDescent="0.35">
      <c r="A122" s="14"/>
      <c r="Z122" s="5"/>
    </row>
    <row r="123" spans="1:26" x14ac:dyDescent="0.35">
      <c r="A123" s="14"/>
      <c r="Z123" s="5"/>
    </row>
    <row r="125" spans="1:26" x14ac:dyDescent="0.35">
      <c r="Z125" s="5"/>
    </row>
    <row r="126" spans="1:26" x14ac:dyDescent="0.35">
      <c r="A126" s="14"/>
      <c r="Z126" s="5"/>
    </row>
    <row r="127" spans="1:26" x14ac:dyDescent="0.35">
      <c r="A127" s="14"/>
      <c r="Z127" s="5"/>
    </row>
  </sheetData>
  <sortState xmlns:xlrd2="http://schemas.microsoft.com/office/spreadsheetml/2017/richdata2" ref="A2:BF4">
    <sortCondition ref="A2:A4"/>
  </sortState>
  <conditionalFormatting sqref="A1:A1048576">
    <cfRule type="duplicateValues" dxfId="35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18EFA-2FDD-4ACE-AAB6-6CB6DC52876D}">
  <dimension ref="A1:A223"/>
  <sheetViews>
    <sheetView showGridLines="0" workbookViewId="0"/>
  </sheetViews>
  <sheetFormatPr defaultRowHeight="15.5" x14ac:dyDescent="0.35"/>
  <cols>
    <col min="1" max="1" width="79.3046875" customWidth="1"/>
  </cols>
  <sheetData>
    <row r="1" spans="1:1" ht="18.75" customHeight="1" x14ac:dyDescent="0.4">
      <c r="A1" s="13" t="s">
        <v>87</v>
      </c>
    </row>
    <row r="2" spans="1:1" x14ac:dyDescent="0.35">
      <c r="A2" t="s">
        <v>90</v>
      </c>
    </row>
    <row r="3" spans="1:1" x14ac:dyDescent="0.35">
      <c r="A3" t="s">
        <v>402</v>
      </c>
    </row>
    <row r="4" spans="1:1" x14ac:dyDescent="0.35">
      <c r="A4" t="s">
        <v>1031</v>
      </c>
    </row>
    <row r="5" spans="1:1" x14ac:dyDescent="0.35">
      <c r="A5" t="s">
        <v>1032</v>
      </c>
    </row>
    <row r="6" spans="1:1" x14ac:dyDescent="0.35">
      <c r="A6" t="s">
        <v>1033</v>
      </c>
    </row>
    <row r="7" spans="1:1" x14ac:dyDescent="0.35">
      <c r="A7" t="s">
        <v>1034</v>
      </c>
    </row>
    <row r="8" spans="1:1" x14ac:dyDescent="0.35">
      <c r="A8" t="s">
        <v>1035</v>
      </c>
    </row>
    <row r="9" spans="1:1" x14ac:dyDescent="0.35">
      <c r="A9" t="s">
        <v>1036</v>
      </c>
    </row>
    <row r="10" spans="1:1" x14ac:dyDescent="0.35">
      <c r="A10" t="s">
        <v>1037</v>
      </c>
    </row>
    <row r="11" spans="1:1" x14ac:dyDescent="0.35">
      <c r="A11" t="s">
        <v>1038</v>
      </c>
    </row>
    <row r="12" spans="1:1" x14ac:dyDescent="0.35">
      <c r="A12" t="s">
        <v>369</v>
      </c>
    </row>
    <row r="13" spans="1:1" x14ac:dyDescent="0.35">
      <c r="A13" t="s">
        <v>1039</v>
      </c>
    </row>
    <row r="14" spans="1:1" x14ac:dyDescent="0.35">
      <c r="A14" t="s">
        <v>409</v>
      </c>
    </row>
    <row r="15" spans="1:1" x14ac:dyDescent="0.35">
      <c r="A15" t="s">
        <v>1040</v>
      </c>
    </row>
    <row r="16" spans="1:1" x14ac:dyDescent="0.35">
      <c r="A16" t="s">
        <v>1041</v>
      </c>
    </row>
    <row r="17" spans="1:1" x14ac:dyDescent="0.35">
      <c r="A17" t="s">
        <v>1042</v>
      </c>
    </row>
    <row r="18" spans="1:1" x14ac:dyDescent="0.35">
      <c r="A18" t="s">
        <v>1043</v>
      </c>
    </row>
    <row r="19" spans="1:1" ht="15" customHeight="1" x14ac:dyDescent="0.35">
      <c r="A19" t="s">
        <v>1044</v>
      </c>
    </row>
    <row r="20" spans="1:1" x14ac:dyDescent="0.35">
      <c r="A20" t="s">
        <v>1045</v>
      </c>
    </row>
    <row r="21" spans="1:1" x14ac:dyDescent="0.35">
      <c r="A21" t="s">
        <v>399</v>
      </c>
    </row>
    <row r="22" spans="1:1" x14ac:dyDescent="0.35">
      <c r="A22" t="s">
        <v>1046</v>
      </c>
    </row>
    <row r="23" spans="1:1" x14ac:dyDescent="0.35">
      <c r="A23" t="s">
        <v>1047</v>
      </c>
    </row>
    <row r="24" spans="1:1" x14ac:dyDescent="0.35">
      <c r="A24" t="s">
        <v>1048</v>
      </c>
    </row>
    <row r="25" spans="1:1" x14ac:dyDescent="0.35">
      <c r="A25" t="s">
        <v>1049</v>
      </c>
    </row>
    <row r="26" spans="1:1" x14ac:dyDescent="0.35">
      <c r="A26" t="s">
        <v>1050</v>
      </c>
    </row>
    <row r="27" spans="1:1" x14ac:dyDescent="0.35">
      <c r="A27" t="s">
        <v>1051</v>
      </c>
    </row>
    <row r="28" spans="1:1" x14ac:dyDescent="0.35">
      <c r="A28" t="s">
        <v>1052</v>
      </c>
    </row>
    <row r="29" spans="1:1" x14ac:dyDescent="0.35">
      <c r="A29" t="s">
        <v>1053</v>
      </c>
    </row>
    <row r="30" spans="1:1" x14ac:dyDescent="0.35">
      <c r="A30" t="s">
        <v>1054</v>
      </c>
    </row>
    <row r="31" spans="1:1" x14ac:dyDescent="0.35">
      <c r="A31" t="s">
        <v>1055</v>
      </c>
    </row>
    <row r="32" spans="1:1" x14ac:dyDescent="0.35">
      <c r="A32" t="s">
        <v>1056</v>
      </c>
    </row>
    <row r="33" spans="1:1" x14ac:dyDescent="0.35">
      <c r="A33" t="s">
        <v>1057</v>
      </c>
    </row>
    <row r="34" spans="1:1" x14ac:dyDescent="0.35">
      <c r="A34" t="s">
        <v>1058</v>
      </c>
    </row>
    <row r="35" spans="1:1" x14ac:dyDescent="0.35">
      <c r="A35" t="s">
        <v>394</v>
      </c>
    </row>
    <row r="36" spans="1:1" x14ac:dyDescent="0.35">
      <c r="A36" t="s">
        <v>1059</v>
      </c>
    </row>
    <row r="37" spans="1:1" x14ac:dyDescent="0.35">
      <c r="A37" t="s">
        <v>1060</v>
      </c>
    </row>
    <row r="38" spans="1:1" x14ac:dyDescent="0.35">
      <c r="A38" t="s">
        <v>1061</v>
      </c>
    </row>
    <row r="39" spans="1:1" x14ac:dyDescent="0.35">
      <c r="A39" t="s">
        <v>1062</v>
      </c>
    </row>
    <row r="40" spans="1:1" x14ac:dyDescent="0.35">
      <c r="A40" t="s">
        <v>1063</v>
      </c>
    </row>
    <row r="41" spans="1:1" x14ac:dyDescent="0.35">
      <c r="A41" t="s">
        <v>1064</v>
      </c>
    </row>
    <row r="42" spans="1:1" x14ac:dyDescent="0.35">
      <c r="A42" t="s">
        <v>1065</v>
      </c>
    </row>
    <row r="43" spans="1:1" x14ac:dyDescent="0.35">
      <c r="A43" t="s">
        <v>1066</v>
      </c>
    </row>
    <row r="44" spans="1:1" x14ac:dyDescent="0.35">
      <c r="A44" t="s">
        <v>1067</v>
      </c>
    </row>
    <row r="45" spans="1:1" x14ac:dyDescent="0.35">
      <c r="A45" t="s">
        <v>1068</v>
      </c>
    </row>
    <row r="46" spans="1:1" x14ac:dyDescent="0.35">
      <c r="A46" t="s">
        <v>1069</v>
      </c>
    </row>
    <row r="47" spans="1:1" x14ac:dyDescent="0.35">
      <c r="A47" t="s">
        <v>1070</v>
      </c>
    </row>
    <row r="48" spans="1:1" x14ac:dyDescent="0.35">
      <c r="A48" t="s">
        <v>1071</v>
      </c>
    </row>
    <row r="49" spans="1:1" x14ac:dyDescent="0.35">
      <c r="A49" t="s">
        <v>1072</v>
      </c>
    </row>
    <row r="50" spans="1:1" x14ac:dyDescent="0.35">
      <c r="A50" t="s">
        <v>1073</v>
      </c>
    </row>
    <row r="51" spans="1:1" x14ac:dyDescent="0.35">
      <c r="A51" t="s">
        <v>406</v>
      </c>
    </row>
    <row r="52" spans="1:1" x14ac:dyDescent="0.35">
      <c r="A52" t="s">
        <v>1074</v>
      </c>
    </row>
    <row r="53" spans="1:1" x14ac:dyDescent="0.35">
      <c r="A53" t="s">
        <v>1075</v>
      </c>
    </row>
    <row r="54" spans="1:1" x14ac:dyDescent="0.35">
      <c r="A54" t="s">
        <v>1076</v>
      </c>
    </row>
    <row r="55" spans="1:1" x14ac:dyDescent="0.35">
      <c r="A55" t="s">
        <v>1077</v>
      </c>
    </row>
    <row r="56" spans="1:1" x14ac:dyDescent="0.35">
      <c r="A56" t="s">
        <v>1078</v>
      </c>
    </row>
    <row r="57" spans="1:1" x14ac:dyDescent="0.35">
      <c r="A57" t="s">
        <v>1079</v>
      </c>
    </row>
    <row r="58" spans="1:1" x14ac:dyDescent="0.35">
      <c r="A58" t="s">
        <v>393</v>
      </c>
    </row>
    <row r="59" spans="1:1" x14ac:dyDescent="0.35">
      <c r="A59" t="s">
        <v>1080</v>
      </c>
    </row>
    <row r="60" spans="1:1" x14ac:dyDescent="0.35">
      <c r="A60" t="s">
        <v>1081</v>
      </c>
    </row>
    <row r="61" spans="1:1" x14ac:dyDescent="0.35">
      <c r="A61" t="s">
        <v>1082</v>
      </c>
    </row>
    <row r="62" spans="1:1" x14ac:dyDescent="0.35">
      <c r="A62" t="s">
        <v>397</v>
      </c>
    </row>
    <row r="63" spans="1:1" x14ac:dyDescent="0.35">
      <c r="A63" t="s">
        <v>374</v>
      </c>
    </row>
    <row r="64" spans="1:1" x14ac:dyDescent="0.35">
      <c r="A64" t="s">
        <v>404</v>
      </c>
    </row>
    <row r="65" spans="1:1" x14ac:dyDescent="0.35">
      <c r="A65" t="s">
        <v>1083</v>
      </c>
    </row>
    <row r="66" spans="1:1" x14ac:dyDescent="0.35">
      <c r="A66" t="s">
        <v>1084</v>
      </c>
    </row>
    <row r="67" spans="1:1" x14ac:dyDescent="0.35">
      <c r="A67" t="s">
        <v>412</v>
      </c>
    </row>
    <row r="68" spans="1:1" x14ac:dyDescent="0.35">
      <c r="A68" t="s">
        <v>1085</v>
      </c>
    </row>
    <row r="69" spans="1:1" x14ac:dyDescent="0.35">
      <c r="A69" t="s">
        <v>1086</v>
      </c>
    </row>
    <row r="70" spans="1:1" x14ac:dyDescent="0.35">
      <c r="A70" t="s">
        <v>376</v>
      </c>
    </row>
    <row r="71" spans="1:1" x14ac:dyDescent="0.35">
      <c r="A71" t="s">
        <v>1087</v>
      </c>
    </row>
    <row r="72" spans="1:1" x14ac:dyDescent="0.35">
      <c r="A72" t="s">
        <v>1088</v>
      </c>
    </row>
    <row r="73" spans="1:1" x14ac:dyDescent="0.35">
      <c r="A73" t="s">
        <v>1089</v>
      </c>
    </row>
    <row r="74" spans="1:1" x14ac:dyDescent="0.35">
      <c r="A74" t="s">
        <v>1090</v>
      </c>
    </row>
    <row r="75" spans="1:1" x14ac:dyDescent="0.35">
      <c r="A75" t="s">
        <v>413</v>
      </c>
    </row>
    <row r="76" spans="1:1" x14ac:dyDescent="0.35">
      <c r="A76" t="s">
        <v>1091</v>
      </c>
    </row>
    <row r="77" spans="1:1" x14ac:dyDescent="0.35">
      <c r="A77" t="s">
        <v>1092</v>
      </c>
    </row>
    <row r="78" spans="1:1" x14ac:dyDescent="0.35">
      <c r="A78" t="s">
        <v>385</v>
      </c>
    </row>
    <row r="79" spans="1:1" x14ac:dyDescent="0.35">
      <c r="A79" t="s">
        <v>1093</v>
      </c>
    </row>
    <row r="80" spans="1:1" x14ac:dyDescent="0.35">
      <c r="A80" t="s">
        <v>1094</v>
      </c>
    </row>
    <row r="81" spans="1:1" x14ac:dyDescent="0.35">
      <c r="A81" t="s">
        <v>395</v>
      </c>
    </row>
    <row r="82" spans="1:1" x14ac:dyDescent="0.35">
      <c r="A82" t="s">
        <v>1095</v>
      </c>
    </row>
    <row r="83" spans="1:1" x14ac:dyDescent="0.35">
      <c r="A83" t="s">
        <v>1096</v>
      </c>
    </row>
    <row r="84" spans="1:1" x14ac:dyDescent="0.35">
      <c r="A84" t="s">
        <v>1097</v>
      </c>
    </row>
    <row r="85" spans="1:1" x14ac:dyDescent="0.35">
      <c r="A85" t="s">
        <v>1098</v>
      </c>
    </row>
    <row r="86" spans="1:1" x14ac:dyDescent="0.35">
      <c r="A86" t="s">
        <v>1099</v>
      </c>
    </row>
    <row r="87" spans="1:1" x14ac:dyDescent="0.35">
      <c r="A87" t="s">
        <v>1100</v>
      </c>
    </row>
    <row r="88" spans="1:1" x14ac:dyDescent="0.35">
      <c r="A88" t="s">
        <v>387</v>
      </c>
    </row>
    <row r="89" spans="1:1" x14ac:dyDescent="0.35">
      <c r="A89" t="s">
        <v>1101</v>
      </c>
    </row>
    <row r="90" spans="1:1" x14ac:dyDescent="0.35">
      <c r="A90" t="s">
        <v>1102</v>
      </c>
    </row>
    <row r="91" spans="1:1" x14ac:dyDescent="0.35">
      <c r="A91" t="s">
        <v>1103</v>
      </c>
    </row>
    <row r="92" spans="1:1" x14ac:dyDescent="0.35">
      <c r="A92" t="s">
        <v>384</v>
      </c>
    </row>
    <row r="93" spans="1:1" x14ac:dyDescent="0.35">
      <c r="A93" t="s">
        <v>1104</v>
      </c>
    </row>
    <row r="94" spans="1:1" x14ac:dyDescent="0.35">
      <c r="A94" t="s">
        <v>1105</v>
      </c>
    </row>
    <row r="95" spans="1:1" x14ac:dyDescent="0.35">
      <c r="A95" t="s">
        <v>1106</v>
      </c>
    </row>
    <row r="96" spans="1:1" x14ac:dyDescent="0.35">
      <c r="A96" t="s">
        <v>1107</v>
      </c>
    </row>
    <row r="97" spans="1:1" x14ac:dyDescent="0.35">
      <c r="A97" t="s">
        <v>1108</v>
      </c>
    </row>
    <row r="98" spans="1:1" x14ac:dyDescent="0.35">
      <c r="A98" t="s">
        <v>1109</v>
      </c>
    </row>
    <row r="99" spans="1:1" x14ac:dyDescent="0.35">
      <c r="A99" t="s">
        <v>392</v>
      </c>
    </row>
    <row r="100" spans="1:1" x14ac:dyDescent="0.35">
      <c r="A100" t="s">
        <v>1110</v>
      </c>
    </row>
    <row r="101" spans="1:1" x14ac:dyDescent="0.35">
      <c r="A101" t="s">
        <v>407</v>
      </c>
    </row>
    <row r="102" spans="1:1" x14ac:dyDescent="0.35">
      <c r="A102" t="s">
        <v>377</v>
      </c>
    </row>
    <row r="103" spans="1:1" x14ac:dyDescent="0.35">
      <c r="A103" t="s">
        <v>416</v>
      </c>
    </row>
    <row r="104" spans="1:1" x14ac:dyDescent="0.35">
      <c r="A104" t="s">
        <v>1111</v>
      </c>
    </row>
    <row r="105" spans="1:1" x14ac:dyDescent="0.35">
      <c r="A105" t="s">
        <v>1112</v>
      </c>
    </row>
    <row r="106" spans="1:1" x14ac:dyDescent="0.35">
      <c r="A106" t="s">
        <v>381</v>
      </c>
    </row>
    <row r="107" spans="1:1" x14ac:dyDescent="0.35">
      <c r="A107" t="s">
        <v>1113</v>
      </c>
    </row>
    <row r="108" spans="1:1" x14ac:dyDescent="0.35">
      <c r="A108" t="s">
        <v>1114</v>
      </c>
    </row>
    <row r="109" spans="1:1" x14ac:dyDescent="0.35">
      <c r="A109" t="s">
        <v>389</v>
      </c>
    </row>
    <row r="110" spans="1:1" x14ac:dyDescent="0.35">
      <c r="A110" t="s">
        <v>398</v>
      </c>
    </row>
    <row r="111" spans="1:1" x14ac:dyDescent="0.35">
      <c r="A111" t="s">
        <v>1115</v>
      </c>
    </row>
    <row r="112" spans="1:1" x14ac:dyDescent="0.35">
      <c r="A112" t="s">
        <v>410</v>
      </c>
    </row>
    <row r="113" spans="1:1" x14ac:dyDescent="0.35">
      <c r="A113" t="s">
        <v>1116</v>
      </c>
    </row>
    <row r="114" spans="1:1" x14ac:dyDescent="0.35">
      <c r="A114" t="s">
        <v>418</v>
      </c>
    </row>
    <row r="115" spans="1:1" x14ac:dyDescent="0.35">
      <c r="A115" t="s">
        <v>1117</v>
      </c>
    </row>
    <row r="116" spans="1:1" x14ac:dyDescent="0.35">
      <c r="A116" t="s">
        <v>1118</v>
      </c>
    </row>
    <row r="117" spans="1:1" x14ac:dyDescent="0.35">
      <c r="A117" t="s">
        <v>1119</v>
      </c>
    </row>
    <row r="118" spans="1:1" x14ac:dyDescent="0.35">
      <c r="A118" t="s">
        <v>1120</v>
      </c>
    </row>
    <row r="119" spans="1:1" x14ac:dyDescent="0.35">
      <c r="A119" t="s">
        <v>1121</v>
      </c>
    </row>
    <row r="120" spans="1:1" x14ac:dyDescent="0.35">
      <c r="A120" t="s">
        <v>1122</v>
      </c>
    </row>
    <row r="121" spans="1:1" x14ac:dyDescent="0.35">
      <c r="A121" t="s">
        <v>1123</v>
      </c>
    </row>
    <row r="122" spans="1:1" x14ac:dyDescent="0.35">
      <c r="A122" t="s">
        <v>1124</v>
      </c>
    </row>
    <row r="123" spans="1:1" x14ac:dyDescent="0.35">
      <c r="A123" t="s">
        <v>1125</v>
      </c>
    </row>
    <row r="124" spans="1:1" x14ac:dyDescent="0.35">
      <c r="A124" t="s">
        <v>1126</v>
      </c>
    </row>
    <row r="125" spans="1:1" x14ac:dyDescent="0.35">
      <c r="A125" t="s">
        <v>396</v>
      </c>
    </row>
    <row r="126" spans="1:1" x14ac:dyDescent="0.35">
      <c r="A126" t="s">
        <v>1127</v>
      </c>
    </row>
    <row r="127" spans="1:1" x14ac:dyDescent="0.35">
      <c r="A127" t="s">
        <v>1128</v>
      </c>
    </row>
    <row r="128" spans="1:1" x14ac:dyDescent="0.35">
      <c r="A128" t="s">
        <v>400</v>
      </c>
    </row>
    <row r="129" spans="1:1" x14ac:dyDescent="0.35">
      <c r="A129" t="s">
        <v>373</v>
      </c>
    </row>
    <row r="130" spans="1:1" x14ac:dyDescent="0.35">
      <c r="A130" t="s">
        <v>1129</v>
      </c>
    </row>
    <row r="131" spans="1:1" x14ac:dyDescent="0.35">
      <c r="A131" t="s">
        <v>1130</v>
      </c>
    </row>
    <row r="132" spans="1:1" x14ac:dyDescent="0.35">
      <c r="A132" t="s">
        <v>1131</v>
      </c>
    </row>
    <row r="133" spans="1:1" x14ac:dyDescent="0.35">
      <c r="A133" t="s">
        <v>408</v>
      </c>
    </row>
    <row r="134" spans="1:1" x14ac:dyDescent="0.35">
      <c r="A134" t="s">
        <v>388</v>
      </c>
    </row>
    <row r="135" spans="1:1" x14ac:dyDescent="0.35">
      <c r="A135" t="s">
        <v>378</v>
      </c>
    </row>
    <row r="136" spans="1:1" x14ac:dyDescent="0.35">
      <c r="A136" t="s">
        <v>1132</v>
      </c>
    </row>
    <row r="137" spans="1:1" x14ac:dyDescent="0.35">
      <c r="A137" t="s">
        <v>1133</v>
      </c>
    </row>
    <row r="138" spans="1:1" x14ac:dyDescent="0.35">
      <c r="A138" s="7" t="s">
        <v>1134</v>
      </c>
    </row>
    <row r="139" spans="1:1" x14ac:dyDescent="0.35">
      <c r="A139" s="7" t="s">
        <v>371</v>
      </c>
    </row>
    <row r="140" spans="1:1" x14ac:dyDescent="0.35">
      <c r="A140" s="7" t="s">
        <v>1135</v>
      </c>
    </row>
    <row r="141" spans="1:1" x14ac:dyDescent="0.35">
      <c r="A141" s="7" t="s">
        <v>1136</v>
      </c>
    </row>
    <row r="142" spans="1:1" x14ac:dyDescent="0.35">
      <c r="A142" s="7" t="s">
        <v>1137</v>
      </c>
    </row>
    <row r="143" spans="1:1" x14ac:dyDescent="0.35">
      <c r="A143" s="7" t="s">
        <v>1138</v>
      </c>
    </row>
    <row r="144" spans="1:1" x14ac:dyDescent="0.35">
      <c r="A144" s="7" t="s">
        <v>1139</v>
      </c>
    </row>
    <row r="145" spans="1:1" x14ac:dyDescent="0.35">
      <c r="A145" s="7" t="s">
        <v>1140</v>
      </c>
    </row>
    <row r="146" spans="1:1" x14ac:dyDescent="0.35">
      <c r="A146" s="7" t="s">
        <v>1141</v>
      </c>
    </row>
    <row r="147" spans="1:1" x14ac:dyDescent="0.35">
      <c r="A147" s="7" t="s">
        <v>386</v>
      </c>
    </row>
    <row r="148" spans="1:1" x14ac:dyDescent="0.35">
      <c r="A148" s="7" t="s">
        <v>1142</v>
      </c>
    </row>
    <row r="149" spans="1:1" x14ac:dyDescent="0.35">
      <c r="A149" s="7" t="s">
        <v>1143</v>
      </c>
    </row>
    <row r="150" spans="1:1" x14ac:dyDescent="0.35">
      <c r="A150" s="7" t="s">
        <v>1144</v>
      </c>
    </row>
    <row r="151" spans="1:1" x14ac:dyDescent="0.35">
      <c r="A151" s="7" t="s">
        <v>1145</v>
      </c>
    </row>
    <row r="152" spans="1:1" x14ac:dyDescent="0.35">
      <c r="A152" s="7" t="s">
        <v>1146</v>
      </c>
    </row>
    <row r="153" spans="1:1" x14ac:dyDescent="0.35">
      <c r="A153" s="7" t="s">
        <v>1147</v>
      </c>
    </row>
    <row r="154" spans="1:1" x14ac:dyDescent="0.35">
      <c r="A154" s="7" t="s">
        <v>1148</v>
      </c>
    </row>
    <row r="155" spans="1:1" x14ac:dyDescent="0.35">
      <c r="A155" s="7" t="s">
        <v>1149</v>
      </c>
    </row>
    <row r="156" spans="1:1" x14ac:dyDescent="0.35">
      <c r="A156" s="7" t="s">
        <v>1150</v>
      </c>
    </row>
    <row r="157" spans="1:1" x14ac:dyDescent="0.35">
      <c r="A157" s="7" t="s">
        <v>401</v>
      </c>
    </row>
    <row r="158" spans="1:1" x14ac:dyDescent="0.35">
      <c r="A158" s="7" t="s">
        <v>1151</v>
      </c>
    </row>
    <row r="159" spans="1:1" x14ac:dyDescent="0.35">
      <c r="A159" s="7" t="s">
        <v>1152</v>
      </c>
    </row>
    <row r="160" spans="1:1" x14ac:dyDescent="0.35">
      <c r="A160" s="7" t="s">
        <v>379</v>
      </c>
    </row>
    <row r="161" spans="1:1" x14ac:dyDescent="0.35">
      <c r="A161" s="7" t="s">
        <v>1153</v>
      </c>
    </row>
    <row r="162" spans="1:1" x14ac:dyDescent="0.35">
      <c r="A162" s="7" t="s">
        <v>390</v>
      </c>
    </row>
    <row r="163" spans="1:1" x14ac:dyDescent="0.35">
      <c r="A163" s="7" t="s">
        <v>1154</v>
      </c>
    </row>
    <row r="164" spans="1:1" x14ac:dyDescent="0.35">
      <c r="A164" t="s">
        <v>1155</v>
      </c>
    </row>
    <row r="165" spans="1:1" x14ac:dyDescent="0.35">
      <c r="A165" t="s">
        <v>1156</v>
      </c>
    </row>
    <row r="166" spans="1:1" x14ac:dyDescent="0.35">
      <c r="A166" t="s">
        <v>1157</v>
      </c>
    </row>
    <row r="167" spans="1:1" x14ac:dyDescent="0.35">
      <c r="A167" t="s">
        <v>1158</v>
      </c>
    </row>
    <row r="168" spans="1:1" x14ac:dyDescent="0.35">
      <c r="A168" t="s">
        <v>1159</v>
      </c>
    </row>
    <row r="169" spans="1:1" x14ac:dyDescent="0.35">
      <c r="A169" t="s">
        <v>1160</v>
      </c>
    </row>
    <row r="170" spans="1:1" x14ac:dyDescent="0.35">
      <c r="A170" t="s">
        <v>1161</v>
      </c>
    </row>
    <row r="171" spans="1:1" x14ac:dyDescent="0.35">
      <c r="A171" t="s">
        <v>372</v>
      </c>
    </row>
    <row r="172" spans="1:1" x14ac:dyDescent="0.35">
      <c r="A172" t="s">
        <v>1162</v>
      </c>
    </row>
    <row r="173" spans="1:1" x14ac:dyDescent="0.35">
      <c r="A173" t="s">
        <v>1163</v>
      </c>
    </row>
    <row r="174" spans="1:1" x14ac:dyDescent="0.35">
      <c r="A174" t="s">
        <v>415</v>
      </c>
    </row>
    <row r="175" spans="1:1" x14ac:dyDescent="0.35">
      <c r="A175" t="s">
        <v>1164</v>
      </c>
    </row>
    <row r="176" spans="1:1" x14ac:dyDescent="0.35">
      <c r="A176" t="s">
        <v>1165</v>
      </c>
    </row>
    <row r="177" spans="1:1" x14ac:dyDescent="0.35">
      <c r="A177" t="s">
        <v>1166</v>
      </c>
    </row>
    <row r="178" spans="1:1" x14ac:dyDescent="0.35">
      <c r="A178" t="s">
        <v>1167</v>
      </c>
    </row>
    <row r="179" spans="1:1" x14ac:dyDescent="0.35">
      <c r="A179" t="s">
        <v>1168</v>
      </c>
    </row>
    <row r="180" spans="1:1" x14ac:dyDescent="0.35">
      <c r="A180" t="s">
        <v>1169</v>
      </c>
    </row>
    <row r="181" spans="1:1" x14ac:dyDescent="0.35">
      <c r="A181" t="s">
        <v>375</v>
      </c>
    </row>
    <row r="182" spans="1:1" x14ac:dyDescent="0.35">
      <c r="A182" t="s">
        <v>1170</v>
      </c>
    </row>
    <row r="183" spans="1:1" x14ac:dyDescent="0.35">
      <c r="A183" t="s">
        <v>411</v>
      </c>
    </row>
    <row r="184" spans="1:1" x14ac:dyDescent="0.35">
      <c r="A184" t="s">
        <v>405</v>
      </c>
    </row>
    <row r="185" spans="1:1" x14ac:dyDescent="0.35">
      <c r="A185" t="s">
        <v>1171</v>
      </c>
    </row>
    <row r="186" spans="1:1" x14ac:dyDescent="0.35">
      <c r="A186" t="s">
        <v>1172</v>
      </c>
    </row>
    <row r="187" spans="1:1" x14ac:dyDescent="0.35">
      <c r="A187" t="s">
        <v>1173</v>
      </c>
    </row>
    <row r="188" spans="1:1" x14ac:dyDescent="0.35">
      <c r="A188" t="s">
        <v>1174</v>
      </c>
    </row>
    <row r="189" spans="1:1" x14ac:dyDescent="0.35">
      <c r="A189" t="s">
        <v>414</v>
      </c>
    </row>
    <row r="190" spans="1:1" x14ac:dyDescent="0.35">
      <c r="A190" t="s">
        <v>403</v>
      </c>
    </row>
    <row r="191" spans="1:1" x14ac:dyDescent="0.35">
      <c r="A191" t="s">
        <v>1175</v>
      </c>
    </row>
    <row r="192" spans="1:1" x14ac:dyDescent="0.35">
      <c r="A192" t="s">
        <v>380</v>
      </c>
    </row>
    <row r="193" spans="1:1" x14ac:dyDescent="0.35">
      <c r="A193" t="s">
        <v>1176</v>
      </c>
    </row>
    <row r="194" spans="1:1" x14ac:dyDescent="0.35">
      <c r="A194" t="s">
        <v>1177</v>
      </c>
    </row>
    <row r="195" spans="1:1" x14ac:dyDescent="0.35">
      <c r="A195" t="s">
        <v>1178</v>
      </c>
    </row>
    <row r="196" spans="1:1" x14ac:dyDescent="0.35">
      <c r="A196" t="s">
        <v>370</v>
      </c>
    </row>
    <row r="197" spans="1:1" x14ac:dyDescent="0.35">
      <c r="A197" t="s">
        <v>1179</v>
      </c>
    </row>
    <row r="198" spans="1:1" x14ac:dyDescent="0.35">
      <c r="A198" t="s">
        <v>1180</v>
      </c>
    </row>
    <row r="199" spans="1:1" x14ac:dyDescent="0.35">
      <c r="A199" t="s">
        <v>391</v>
      </c>
    </row>
    <row r="200" spans="1:1" x14ac:dyDescent="0.35">
      <c r="A200" t="s">
        <v>1181</v>
      </c>
    </row>
    <row r="201" spans="1:1" x14ac:dyDescent="0.35">
      <c r="A201" t="s">
        <v>1182</v>
      </c>
    </row>
    <row r="202" spans="1:1" x14ac:dyDescent="0.35">
      <c r="A202" t="s">
        <v>1183</v>
      </c>
    </row>
    <row r="203" spans="1:1" x14ac:dyDescent="0.35">
      <c r="A203" t="s">
        <v>1184</v>
      </c>
    </row>
    <row r="204" spans="1:1" x14ac:dyDescent="0.35">
      <c r="A204" t="s">
        <v>1185</v>
      </c>
    </row>
    <row r="205" spans="1:1" x14ac:dyDescent="0.35">
      <c r="A205" t="s">
        <v>1186</v>
      </c>
    </row>
    <row r="206" spans="1:1" x14ac:dyDescent="0.35">
      <c r="A206" t="s">
        <v>1187</v>
      </c>
    </row>
    <row r="207" spans="1:1" x14ac:dyDescent="0.35">
      <c r="A207" t="s">
        <v>417</v>
      </c>
    </row>
    <row r="208" spans="1:1" x14ac:dyDescent="0.35">
      <c r="A208" t="s">
        <v>1188</v>
      </c>
    </row>
    <row r="209" spans="1:1" x14ac:dyDescent="0.35">
      <c r="A209" t="s">
        <v>1189</v>
      </c>
    </row>
    <row r="210" spans="1:1" x14ac:dyDescent="0.35">
      <c r="A210" t="s">
        <v>1190</v>
      </c>
    </row>
    <row r="211" spans="1:1" x14ac:dyDescent="0.35">
      <c r="A211" t="s">
        <v>1191</v>
      </c>
    </row>
    <row r="212" spans="1:1" x14ac:dyDescent="0.35">
      <c r="A212" t="s">
        <v>1192</v>
      </c>
    </row>
    <row r="213" spans="1:1" x14ac:dyDescent="0.35">
      <c r="A213" t="s">
        <v>1193</v>
      </c>
    </row>
    <row r="214" spans="1:1" x14ac:dyDescent="0.35">
      <c r="A214" t="s">
        <v>1194</v>
      </c>
    </row>
    <row r="215" spans="1:1" x14ac:dyDescent="0.35">
      <c r="A215" t="s">
        <v>1195</v>
      </c>
    </row>
    <row r="216" spans="1:1" x14ac:dyDescent="0.35">
      <c r="A216" t="s">
        <v>1196</v>
      </c>
    </row>
    <row r="217" spans="1:1" x14ac:dyDescent="0.35">
      <c r="A217" t="s">
        <v>382</v>
      </c>
    </row>
    <row r="218" spans="1:1" x14ac:dyDescent="0.35">
      <c r="A218" t="s">
        <v>1197</v>
      </c>
    </row>
    <row r="219" spans="1:1" x14ac:dyDescent="0.35">
      <c r="A219" t="s">
        <v>1198</v>
      </c>
    </row>
    <row r="220" spans="1:1" x14ac:dyDescent="0.35">
      <c r="A220" t="s">
        <v>1199</v>
      </c>
    </row>
    <row r="221" spans="1:1" x14ac:dyDescent="0.35">
      <c r="A221" t="s">
        <v>1200</v>
      </c>
    </row>
    <row r="222" spans="1:1" x14ac:dyDescent="0.35">
      <c r="A222" t="s">
        <v>1201</v>
      </c>
    </row>
    <row r="223" spans="1:1" x14ac:dyDescent="0.35">
      <c r="A223" t="s">
        <v>383</v>
      </c>
    </row>
  </sheetData>
  <conditionalFormatting sqref="A1">
    <cfRule type="duplicateValues" dxfId="34" priority="1"/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6"/>
  <sheetViews>
    <sheetView showGridLines="0" workbookViewId="0">
      <pane xSplit="1" ySplit="2" topLeftCell="B3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RowHeight="15.5" x14ac:dyDescent="0.35"/>
  <cols>
    <col min="1" max="1" width="29.765625" bestFit="1" customWidth="1"/>
    <col min="2" max="2" width="28.765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074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8.843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24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420</v>
      </c>
      <c r="B3" s="4" t="s">
        <v>420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36</v>
      </c>
      <c r="V3">
        <v>0</v>
      </c>
      <c r="W3">
        <v>0</v>
      </c>
      <c r="X3">
        <v>0</v>
      </c>
      <c r="Y3">
        <v>0</v>
      </c>
      <c r="Z3">
        <f>SUM(Madera[[#This Row],[American Sign Language Total]:[Other Total]])</f>
        <v>36</v>
      </c>
    </row>
    <row r="4" spans="1:26" x14ac:dyDescent="0.35">
      <c r="A4" s="14" t="s">
        <v>421</v>
      </c>
      <c r="B4" s="4" t="s">
        <v>422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0</v>
      </c>
      <c r="Z4">
        <f>SUM(Madera[[#This Row],[American Sign Language Total]:[Other Total]])</f>
        <v>10</v>
      </c>
    </row>
    <row r="5" spans="1:26" ht="31" x14ac:dyDescent="0.35">
      <c r="A5" s="14" t="s">
        <v>423</v>
      </c>
      <c r="B5" s="4" t="s">
        <v>817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7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344</v>
      </c>
      <c r="V5">
        <v>0</v>
      </c>
      <c r="W5">
        <v>0</v>
      </c>
      <c r="X5">
        <v>0</v>
      </c>
      <c r="Y5">
        <v>0</v>
      </c>
      <c r="Z5" s="5">
        <f>SUM(Madera[[#This Row],[American Sign Language Total]:[Other Total]])</f>
        <v>351</v>
      </c>
    </row>
    <row r="6" spans="1:26" x14ac:dyDescent="0.35">
      <c r="A6" s="9" t="s">
        <v>186</v>
      </c>
      <c r="B6" s="8" t="s">
        <v>763</v>
      </c>
      <c r="C6">
        <f>SUBTOTAL(109,Madera[American Sign Language Total])</f>
        <v>0</v>
      </c>
      <c r="D6">
        <f>SUBTOTAL(109,Madera[Arabic Total])</f>
        <v>0</v>
      </c>
      <c r="E6">
        <f>SUBTOTAL(109,Madera[Armenian Total])</f>
        <v>0</v>
      </c>
      <c r="F6">
        <f>SUBTOTAL(109,Madera[Bengali Total])</f>
        <v>0</v>
      </c>
      <c r="G6">
        <f>SUBTOTAL(109,Madera[Chinese (Mandarin or Cantonese) Total])</f>
        <v>0</v>
      </c>
      <c r="H6">
        <f>SUBTOTAL(109,Madera[Farsi (Persian) Total])</f>
        <v>0</v>
      </c>
      <c r="I6">
        <f>SUBTOTAL(109,Madera[French Total])</f>
        <v>7</v>
      </c>
      <c r="J6">
        <f>SUBTOTAL(109,Madera[German Total])</f>
        <v>0</v>
      </c>
      <c r="K6">
        <f>SUBTOTAL(109,Madera[Hebrew Total])</f>
        <v>0</v>
      </c>
      <c r="L6">
        <f>SUBTOTAL(109,Madera[Hindi Total])</f>
        <v>0</v>
      </c>
      <c r="M6">
        <f>SUBTOTAL(109,Madera[Hmong Total])</f>
        <v>0</v>
      </c>
      <c r="N6">
        <f>SUBTOTAL(109,Madera[Italian Total])</f>
        <v>0</v>
      </c>
      <c r="O6">
        <f>SUBTOTAL(109,Madera[Japanese Total])</f>
        <v>0</v>
      </c>
      <c r="P6">
        <f>SUBTOTAL(109,Madera[Korean Total])</f>
        <v>0</v>
      </c>
      <c r="Q6">
        <f>SUBTOTAL(109,Madera[Latin Total])</f>
        <v>0</v>
      </c>
      <c r="R6">
        <f>SUBTOTAL(109,Madera[Portuguese Total])</f>
        <v>0</v>
      </c>
      <c r="S6">
        <f>SUBTOTAL(109,Madera[Punjabi Total])</f>
        <v>0</v>
      </c>
      <c r="T6">
        <f>SUBTOTAL(109,Madera[Russian Total])</f>
        <v>0</v>
      </c>
      <c r="U6">
        <f>SUBTOTAL(109,Madera[Spanish Total])</f>
        <v>390</v>
      </c>
      <c r="V6">
        <f>SUBTOTAL(109,Madera[Tagalog (Filipino) Total])</f>
        <v>0</v>
      </c>
      <c r="W6">
        <f>SUBTOTAL(109,Madera[Urdu Total])</f>
        <v>0</v>
      </c>
      <c r="X6">
        <f>SUBTOTAL(109,Madera[Vietnamese Total])</f>
        <v>0</v>
      </c>
      <c r="Y6">
        <f>SUBTOTAL(109,Madera[Other Total])</f>
        <v>0</v>
      </c>
      <c r="Z6">
        <f>SUBTOTAL(109,Madera[Total Seals per Local Educational Agency])</f>
        <v>397</v>
      </c>
    </row>
  </sheetData>
  <conditionalFormatting sqref="A1:B2">
    <cfRule type="duplicateValues" dxfId="33" priority="1"/>
  </conditionalFormatting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"/>
  <sheetViews>
    <sheetView showGridLines="0" workbookViewId="0">
      <pane xSplit="1" ySplit="2" topLeftCell="B3" activePane="bottomRight" state="frozen"/>
      <selection activeCell="I11" sqref="I11"/>
      <selection pane="topRight" activeCell="I11" sqref="I11"/>
      <selection pane="bottomLeft" activeCell="I11" sqref="I11"/>
      <selection pane="bottomRight"/>
    </sheetView>
  </sheetViews>
  <sheetFormatPr defaultRowHeight="15.5" x14ac:dyDescent="0.35"/>
  <cols>
    <col min="1" max="1" width="30.23046875" style="4" bestFit="1" customWidth="1"/>
    <col min="2" max="2" width="32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7" t="s">
        <v>11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0" t="s">
        <v>424</v>
      </c>
      <c r="B3" s="4" t="s">
        <v>425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  <c r="I3">
        <v>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49</v>
      </c>
      <c r="V3">
        <v>0</v>
      </c>
      <c r="W3">
        <v>0</v>
      </c>
      <c r="X3">
        <v>0</v>
      </c>
      <c r="Y3">
        <v>0</v>
      </c>
      <c r="Z3">
        <f>SUM(Marin[[#This Row],[American Sign Language Total]:[Other Total]])</f>
        <v>57</v>
      </c>
    </row>
    <row r="4" spans="1:26" ht="31" x14ac:dyDescent="0.35">
      <c r="A4" s="10" t="s">
        <v>121</v>
      </c>
      <c r="B4" s="4" t="s">
        <v>121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0</v>
      </c>
      <c r="Z4">
        <f>SUM(Marin[[#This Row],[American Sign Language Total]:[Other Total]])</f>
        <v>10</v>
      </c>
    </row>
    <row r="5" spans="1:26" x14ac:dyDescent="0.35">
      <c r="A5" s="10" t="s">
        <v>426</v>
      </c>
      <c r="B5" s="4" t="s">
        <v>818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22</v>
      </c>
      <c r="J5">
        <v>0</v>
      </c>
      <c r="K5">
        <v>1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96</v>
      </c>
      <c r="V5">
        <v>0</v>
      </c>
      <c r="W5">
        <v>0</v>
      </c>
      <c r="X5">
        <v>0</v>
      </c>
      <c r="Y5">
        <v>0</v>
      </c>
      <c r="Z5">
        <f>SUM(Marin[[#This Row],[American Sign Language Total]:[Other Total]])</f>
        <v>120</v>
      </c>
    </row>
    <row r="6" spans="1:26" x14ac:dyDescent="0.35">
      <c r="A6" s="10" t="s">
        <v>126</v>
      </c>
      <c r="B6" s="4" t="s">
        <v>427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9</v>
      </c>
      <c r="V6">
        <v>0</v>
      </c>
      <c r="W6">
        <v>0</v>
      </c>
      <c r="X6">
        <v>0</v>
      </c>
      <c r="Y6">
        <v>0</v>
      </c>
      <c r="Z6">
        <f>SUM(Marin[[#This Row],[American Sign Language Total]:[Other Total]])</f>
        <v>9</v>
      </c>
    </row>
    <row r="7" spans="1:26" ht="31" x14ac:dyDescent="0.35">
      <c r="A7" s="10" t="s">
        <v>428</v>
      </c>
      <c r="B7" s="4" t="s">
        <v>819</v>
      </c>
      <c r="C7">
        <v>0</v>
      </c>
      <c r="D7">
        <v>0</v>
      </c>
      <c r="E7">
        <v>0</v>
      </c>
      <c r="F7">
        <v>0</v>
      </c>
      <c r="G7">
        <v>4</v>
      </c>
      <c r="H7">
        <v>0</v>
      </c>
      <c r="I7">
        <v>21</v>
      </c>
      <c r="J7">
        <v>2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314</v>
      </c>
      <c r="V7">
        <v>0</v>
      </c>
      <c r="W7">
        <v>0</v>
      </c>
      <c r="X7">
        <v>0</v>
      </c>
      <c r="Y7">
        <v>0</v>
      </c>
      <c r="Z7" s="5">
        <f>SUM(Marin[[#This Row],[American Sign Language Total]:[Other Total]])</f>
        <v>342</v>
      </c>
    </row>
    <row r="8" spans="1:26" x14ac:dyDescent="0.35">
      <c r="A8" s="10" t="s">
        <v>427</v>
      </c>
      <c r="B8" s="4" t="s">
        <v>427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 s="5">
        <f>SUM(Marin[[#This Row],[American Sign Language Total]:[Other Total]])</f>
        <v>1</v>
      </c>
    </row>
    <row r="9" spans="1:26" x14ac:dyDescent="0.35">
      <c r="A9" s="8" t="s">
        <v>185</v>
      </c>
      <c r="B9" s="8" t="s">
        <v>1017</v>
      </c>
      <c r="C9">
        <f>SUBTOTAL(109,Marin[American Sign Language Total])</f>
        <v>0</v>
      </c>
      <c r="D9">
        <f>SUBTOTAL(109,Marin[Arabic Total])</f>
        <v>0</v>
      </c>
      <c r="E9">
        <f>SUBTOTAL(109,Marin[Armenian Total])</f>
        <v>0</v>
      </c>
      <c r="F9">
        <f>SUBTOTAL(109,Marin[Bengali Total])</f>
        <v>0</v>
      </c>
      <c r="G9">
        <f>SUBTOTAL(109,Marin[Chinese (Mandarin or Cantonese) Total])</f>
        <v>6</v>
      </c>
      <c r="H9">
        <f>SUBTOTAL(109,Marin[Farsi (Persian) Total])</f>
        <v>0</v>
      </c>
      <c r="I9">
        <f>SUBTOTAL(109,Marin[French Total])</f>
        <v>48</v>
      </c>
      <c r="J9">
        <f>SUBTOTAL(109,Marin[German Total])</f>
        <v>2</v>
      </c>
      <c r="K9">
        <f>SUBTOTAL(109,Marin[Hebrew Total])</f>
        <v>1</v>
      </c>
      <c r="L9">
        <f>SUBTOTAL(109,Marin[Hindi Total])</f>
        <v>0</v>
      </c>
      <c r="M9">
        <f>SUBTOTAL(109,Marin[Hmong Total])</f>
        <v>0</v>
      </c>
      <c r="N9">
        <f>SUBTOTAL(109,Marin[Italian Total])</f>
        <v>0</v>
      </c>
      <c r="O9">
        <f>SUBTOTAL(109,Marin[Japanese Total])</f>
        <v>2</v>
      </c>
      <c r="P9">
        <f>SUBTOTAL(109,Marin[Korean Total])</f>
        <v>0</v>
      </c>
      <c r="Q9">
        <f>SUBTOTAL(109,Marin[Latin Total])</f>
        <v>0</v>
      </c>
      <c r="R9">
        <f>SUBTOTAL(109,Marin[Portuguese Total])</f>
        <v>0</v>
      </c>
      <c r="S9">
        <f>SUBTOTAL(109,Marin[Punjabi Total])</f>
        <v>0</v>
      </c>
      <c r="T9">
        <f>SUBTOTAL(109,Marin[Russian Total])</f>
        <v>1</v>
      </c>
      <c r="U9">
        <f>SUBTOTAL(109,Marin[Spanish Total])</f>
        <v>479</v>
      </c>
      <c r="V9">
        <f>SUBTOTAL(109,Marin[Tagalog (Filipino) Total])</f>
        <v>0</v>
      </c>
      <c r="W9">
        <f>SUBTOTAL(109,Marin[Urdu Total])</f>
        <v>0</v>
      </c>
      <c r="X9">
        <f>SUBTOTAL(109,Marin[Vietnamese Total])</f>
        <v>0</v>
      </c>
      <c r="Y9">
        <f>SUBTOTAL(109,Marin[Other Total])</f>
        <v>0</v>
      </c>
      <c r="Z9">
        <f>SUBTOTAL(109,Marin[Total Seals per Local Educational Agency])</f>
        <v>539</v>
      </c>
    </row>
  </sheetData>
  <conditionalFormatting sqref="A1:B2">
    <cfRule type="duplicateValues" dxfId="32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8"/>
  <sheetViews>
    <sheetView showGridLines="0" workbookViewId="0">
      <pane xSplit="1" ySplit="2" topLeftCell="B3" activePane="bottomRight" state="frozen"/>
      <selection activeCell="I11" sqref="I11"/>
      <selection pane="topRight" activeCell="I11" sqref="I11"/>
      <selection pane="bottomLeft" activeCell="I11" sqref="I11"/>
      <selection pane="bottomRight"/>
    </sheetView>
  </sheetViews>
  <sheetFormatPr defaultRowHeight="15.5" x14ac:dyDescent="0.35"/>
  <cols>
    <col min="1" max="1" width="31.4609375" bestFit="1" customWidth="1"/>
    <col min="2" max="2" width="25.07421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customWidth="1"/>
    <col min="18" max="18" width="9.84375" bestFit="1" customWidth="1"/>
    <col min="19" max="19" width="12.84375" bestFit="1" customWidth="1"/>
    <col min="20" max="20" width="9.5351562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20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75</v>
      </c>
      <c r="S2" s="2" t="s">
        <v>74</v>
      </c>
      <c r="T2" s="2" t="s">
        <v>80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4" t="s">
        <v>127</v>
      </c>
      <c r="B3" s="4" t="s">
        <v>429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</v>
      </c>
      <c r="W3">
        <v>0</v>
      </c>
      <c r="X3">
        <v>0</v>
      </c>
      <c r="Y3">
        <v>0</v>
      </c>
      <c r="Z3">
        <f>SUM(Mendocino[[#This Row],[American Sign Language Total]:[Other Total]])</f>
        <v>4</v>
      </c>
    </row>
    <row r="4" spans="1:26" x14ac:dyDescent="0.35">
      <c r="A4" s="14" t="s">
        <v>430</v>
      </c>
      <c r="B4" s="4" t="s">
        <v>431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9</v>
      </c>
      <c r="V4">
        <v>0</v>
      </c>
      <c r="W4">
        <v>0</v>
      </c>
      <c r="X4">
        <v>0</v>
      </c>
      <c r="Y4">
        <v>0</v>
      </c>
      <c r="Z4">
        <f>SUM(Mendocino[[#This Row],[American Sign Language Total]:[Other Total]])</f>
        <v>9</v>
      </c>
    </row>
    <row r="5" spans="1:26" x14ac:dyDescent="0.35">
      <c r="A5" s="14" t="s">
        <v>820</v>
      </c>
      <c r="B5" s="4" t="s">
        <v>824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5</v>
      </c>
      <c r="V5">
        <v>0</v>
      </c>
      <c r="W5">
        <v>0</v>
      </c>
      <c r="X5">
        <v>0</v>
      </c>
      <c r="Y5">
        <v>0</v>
      </c>
      <c r="Z5">
        <f>SUM(Mendocino[[#This Row],[American Sign Language Total]:[Other Total]])</f>
        <v>5</v>
      </c>
    </row>
    <row r="6" spans="1:26" ht="19.5" customHeight="1" x14ac:dyDescent="0.35">
      <c r="A6" s="14" t="s">
        <v>821</v>
      </c>
      <c r="B6" s="4" t="s">
        <v>823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</v>
      </c>
      <c r="V6">
        <v>0</v>
      </c>
      <c r="W6">
        <v>0</v>
      </c>
      <c r="X6">
        <v>0</v>
      </c>
      <c r="Y6">
        <v>1</v>
      </c>
      <c r="Z6">
        <f>SUM(Mendocino[[#This Row],[American Sign Language Total]:[Other Total]])</f>
        <v>4</v>
      </c>
    </row>
    <row r="7" spans="1:26" ht="31" x14ac:dyDescent="0.35">
      <c r="A7" s="14" t="s">
        <v>432</v>
      </c>
      <c r="B7" s="2" t="s">
        <v>822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101</v>
      </c>
      <c r="V7">
        <v>0</v>
      </c>
      <c r="W7">
        <v>0</v>
      </c>
      <c r="X7">
        <v>0</v>
      </c>
      <c r="Y7">
        <v>0</v>
      </c>
      <c r="Z7" s="5">
        <f>SUM(Mendocino[[#This Row],[American Sign Language Total]:[Other Total]])</f>
        <v>101</v>
      </c>
    </row>
    <row r="8" spans="1:26" x14ac:dyDescent="0.35">
      <c r="A8" s="9" t="s">
        <v>191</v>
      </c>
      <c r="B8" s="8" t="s">
        <v>192</v>
      </c>
      <c r="C8">
        <f>SUBTOTAL(109,Mendocino[American Sign Language Total])</f>
        <v>0</v>
      </c>
      <c r="D8">
        <f>SUBTOTAL(109,Mendocino[Arabic Total])</f>
        <v>0</v>
      </c>
      <c r="E8">
        <f>SUBTOTAL(109,Mendocino[Armenian Total])</f>
        <v>0</v>
      </c>
      <c r="F8">
        <f>SUBTOTAL(109,Mendocino[Bengali Total])</f>
        <v>0</v>
      </c>
      <c r="G8">
        <f>SUBTOTAL(109,Mendocino[Chinese (Mandarin or Cantonese) Total])</f>
        <v>0</v>
      </c>
      <c r="H8">
        <f>SUBTOTAL(109,Mendocino[Farsi (Persian) Total])</f>
        <v>0</v>
      </c>
      <c r="I8">
        <f>SUBTOTAL(109,Mendocino[French Total])</f>
        <v>0</v>
      </c>
      <c r="J8">
        <f>SUBTOTAL(109,Mendocino[German Total])</f>
        <v>0</v>
      </c>
      <c r="K8">
        <f>SUBTOTAL(109,Mendocino[Hebrew Total])</f>
        <v>0</v>
      </c>
      <c r="L8">
        <f>SUBTOTAL(109,Mendocino[Hindi Total])</f>
        <v>0</v>
      </c>
      <c r="M8">
        <f>SUBTOTAL(109,Mendocino[Hmong Total])</f>
        <v>0</v>
      </c>
      <c r="N8">
        <f>SUBTOTAL(109,Mendocino[Italian Total])</f>
        <v>0</v>
      </c>
      <c r="O8">
        <f>SUBTOTAL(109,Mendocino[Japanese Total])</f>
        <v>0</v>
      </c>
      <c r="P8">
        <f>SUBTOTAL(109,Mendocino[Korean Total])</f>
        <v>0</v>
      </c>
      <c r="Q8">
        <f>SUBTOTAL(109,Mendocino[Latin Total])</f>
        <v>0</v>
      </c>
      <c r="R8">
        <f>SUBTOTAL(109,Mendocino[Russian Total])</f>
        <v>0</v>
      </c>
      <c r="S8">
        <f>SUBTOTAL(109,Mendocino[Portuguese Total])</f>
        <v>0</v>
      </c>
      <c r="T8">
        <f>SUBTOTAL(109,Mendocino[Punjabi Total])</f>
        <v>0</v>
      </c>
      <c r="U8">
        <f>SUBTOTAL(109,Mendocino[Spanish Total])</f>
        <v>122</v>
      </c>
      <c r="V8">
        <f>SUBTOTAL(109,Mendocino[Tagalog (Filipino) Total])</f>
        <v>0</v>
      </c>
      <c r="W8">
        <f>SUBTOTAL(109,Mendocino[Urdu Total])</f>
        <v>0</v>
      </c>
      <c r="X8">
        <f>SUBTOTAL(109,Mendocino[Vietnamese Total])</f>
        <v>0</v>
      </c>
      <c r="Y8">
        <f>SUBTOTAL(109,Mendocino[Other Total])</f>
        <v>1</v>
      </c>
      <c r="Z8">
        <f>SUBTOTAL(109,Mendocino[Total Seals per Local Educational Agency])</f>
        <v>123</v>
      </c>
    </row>
  </sheetData>
  <conditionalFormatting sqref="A1:B3">
    <cfRule type="duplicateValues" dxfId="3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2"/>
  <sheetViews>
    <sheetView showGridLines="0" zoomScaleNormal="100" workbookViewId="0">
      <pane xSplit="1" ySplit="2" topLeftCell="B3" activePane="bottomRight" state="frozen"/>
      <selection activeCell="T26" sqref="T26"/>
      <selection pane="topRight" activeCell="T26" sqref="T26"/>
      <selection pane="bottomLeft" activeCell="T26" sqref="T26"/>
      <selection pane="bottomRight"/>
    </sheetView>
  </sheetViews>
  <sheetFormatPr defaultRowHeight="15.5" x14ac:dyDescent="0.35"/>
  <cols>
    <col min="1" max="1" width="32.765625" customWidth="1"/>
    <col min="2" max="2" width="43.23046875" style="4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074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15234375" customWidth="1"/>
  </cols>
  <sheetData>
    <row r="1" spans="1:26" ht="18" x14ac:dyDescent="0.4">
      <c r="A1" s="27" t="s">
        <v>23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433</v>
      </c>
      <c r="B3" s="4" t="s">
        <v>434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2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40</v>
      </c>
      <c r="V3">
        <v>0</v>
      </c>
      <c r="W3">
        <v>0</v>
      </c>
      <c r="X3">
        <v>0</v>
      </c>
      <c r="Y3">
        <v>0</v>
      </c>
      <c r="Z3">
        <f>SUM(Merced[[#This Row],[American Sign Language Total]:[Other Total]])</f>
        <v>42</v>
      </c>
    </row>
    <row r="4" spans="1:26" x14ac:dyDescent="0.35">
      <c r="A4" s="14" t="s">
        <v>128</v>
      </c>
      <c r="B4" s="4" t="s">
        <v>435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9</v>
      </c>
      <c r="V4">
        <v>0</v>
      </c>
      <c r="W4">
        <v>0</v>
      </c>
      <c r="X4">
        <v>0</v>
      </c>
      <c r="Y4">
        <v>0</v>
      </c>
      <c r="Z4">
        <f>SUM(Merced[[#This Row],[American Sign Language Total]:[Other Total]])</f>
        <v>9</v>
      </c>
    </row>
    <row r="5" spans="1:26" x14ac:dyDescent="0.35">
      <c r="A5" s="14" t="s">
        <v>825</v>
      </c>
      <c r="B5" s="4" t="s">
        <v>436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0</v>
      </c>
      <c r="T5">
        <v>0</v>
      </c>
      <c r="U5">
        <v>30</v>
      </c>
      <c r="V5">
        <v>0</v>
      </c>
      <c r="W5">
        <v>0</v>
      </c>
      <c r="X5">
        <v>0</v>
      </c>
      <c r="Y5">
        <v>0</v>
      </c>
      <c r="Z5">
        <f>SUM(Merced[[#This Row],[American Sign Language Total]:[Other Total]])</f>
        <v>31</v>
      </c>
    </row>
    <row r="6" spans="1:26" x14ac:dyDescent="0.35">
      <c r="A6" s="14" t="s">
        <v>826</v>
      </c>
      <c r="B6" s="4" t="s">
        <v>437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4</v>
      </c>
      <c r="S6">
        <v>0</v>
      </c>
      <c r="T6">
        <v>0</v>
      </c>
      <c r="U6">
        <v>32</v>
      </c>
      <c r="V6">
        <v>0</v>
      </c>
      <c r="W6">
        <v>0</v>
      </c>
      <c r="X6">
        <v>0</v>
      </c>
      <c r="Y6">
        <v>0</v>
      </c>
      <c r="Z6">
        <f>SUM(Merced[[#This Row],[American Sign Language Total]:[Other Total]])</f>
        <v>37</v>
      </c>
    </row>
    <row r="7" spans="1:26" x14ac:dyDescent="0.35">
      <c r="A7" s="14" t="s">
        <v>438</v>
      </c>
      <c r="B7" s="4" t="s">
        <v>439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5</v>
      </c>
      <c r="V7">
        <v>0</v>
      </c>
      <c r="W7">
        <v>0</v>
      </c>
      <c r="X7">
        <v>0</v>
      </c>
      <c r="Y7">
        <v>0</v>
      </c>
      <c r="Z7">
        <f>SUM(Merced[[#This Row],[American Sign Language Total]:[Other Total]])</f>
        <v>5</v>
      </c>
    </row>
    <row r="8" spans="1:26" x14ac:dyDescent="0.35">
      <c r="A8" s="14" t="s">
        <v>129</v>
      </c>
      <c r="B8" s="4" t="s">
        <v>828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30</v>
      </c>
      <c r="V8">
        <v>0</v>
      </c>
      <c r="W8">
        <v>0</v>
      </c>
      <c r="X8">
        <v>0</v>
      </c>
      <c r="Y8">
        <v>0</v>
      </c>
      <c r="Z8">
        <f>SUM(Merced[[#This Row],[American Sign Language Total]:[Other Total]])</f>
        <v>30</v>
      </c>
    </row>
    <row r="9" spans="1:26" x14ac:dyDescent="0.35">
      <c r="A9" s="14" t="s">
        <v>440</v>
      </c>
      <c r="B9" s="4" t="s">
        <v>440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6</v>
      </c>
      <c r="V9">
        <v>0</v>
      </c>
      <c r="W9">
        <v>0</v>
      </c>
      <c r="X9">
        <v>0</v>
      </c>
      <c r="Y9">
        <v>0</v>
      </c>
      <c r="Z9">
        <f>SUM(Merced[[#This Row],[American Sign Language Total]:[Other Total]])</f>
        <v>6</v>
      </c>
    </row>
    <row r="10" spans="1:26" ht="35" customHeight="1" x14ac:dyDescent="0.35">
      <c r="A10" s="14" t="s">
        <v>441</v>
      </c>
      <c r="B10" s="4" t="s">
        <v>442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8</v>
      </c>
      <c r="T10">
        <v>0</v>
      </c>
      <c r="U10">
        <v>252</v>
      </c>
      <c r="V10">
        <v>1</v>
      </c>
      <c r="W10">
        <v>0</v>
      </c>
      <c r="X10">
        <v>0</v>
      </c>
      <c r="Y10">
        <v>1</v>
      </c>
      <c r="Z10" s="5">
        <f>SUM(Merced[[#This Row],[American Sign Language Total]:[Other Total]])</f>
        <v>264</v>
      </c>
    </row>
    <row r="11" spans="1:26" x14ac:dyDescent="0.35">
      <c r="A11" s="14" t="s">
        <v>827</v>
      </c>
      <c r="B11" s="4" t="s">
        <v>827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 s="5">
        <f>SUM(Merced[[#This Row],[American Sign Language Total]:[Other Total]])</f>
        <v>1</v>
      </c>
    </row>
    <row r="12" spans="1:26" x14ac:dyDescent="0.35">
      <c r="A12" s="9" t="s">
        <v>664</v>
      </c>
      <c r="B12" s="8" t="s">
        <v>198</v>
      </c>
      <c r="C12">
        <f>SUBTOTAL(109,Merced[American Sign Language Total])</f>
        <v>0</v>
      </c>
      <c r="D12">
        <f>SUBTOTAL(109,Merced[Arabic Total])</f>
        <v>0</v>
      </c>
      <c r="E12">
        <f>SUBTOTAL(109,Merced[Armenian Total])</f>
        <v>0</v>
      </c>
      <c r="F12">
        <f>SUBTOTAL(109,Merced[Bengali Total])</f>
        <v>0</v>
      </c>
      <c r="G12">
        <f>SUBTOTAL(109,Merced[Chinese (Mandarin or Cantonese) Total])</f>
        <v>0</v>
      </c>
      <c r="H12">
        <f>SUBTOTAL(109,Merced[Farsi (Persian) Total])</f>
        <v>0</v>
      </c>
      <c r="I12">
        <f>SUBTOTAL(109,Merced[French Total])</f>
        <v>0</v>
      </c>
      <c r="J12">
        <f>SUBTOTAL(109,Merced[German Total])</f>
        <v>1</v>
      </c>
      <c r="K12">
        <f>SUBTOTAL(109,Merced[Hebrew Total])</f>
        <v>0</v>
      </c>
      <c r="L12">
        <f>SUBTOTAL(109,Merced[Hindi Total])</f>
        <v>2</v>
      </c>
      <c r="M12">
        <f>SUBTOTAL(109,Merced[Hmong Total])</f>
        <v>2</v>
      </c>
      <c r="N12">
        <f>SUBTOTAL(109,Merced[Italian Total])</f>
        <v>0</v>
      </c>
      <c r="O12">
        <f>SUBTOTAL(109,Merced[Japanese Total])</f>
        <v>0</v>
      </c>
      <c r="P12">
        <f>SUBTOTAL(109,Merced[Korean Total])</f>
        <v>0</v>
      </c>
      <c r="Q12">
        <f>SUBTOTAL(109,Merced[Latin Total])</f>
        <v>0</v>
      </c>
      <c r="R12">
        <f>SUBTOTAL(109,Merced[Portuguese Total])</f>
        <v>5</v>
      </c>
      <c r="S12">
        <f>SUBTOTAL(109,Merced[Punjabi Total])</f>
        <v>8</v>
      </c>
      <c r="T12">
        <f>SUBTOTAL(109,Merced[Russian Total])</f>
        <v>0</v>
      </c>
      <c r="U12">
        <f>SUBTOTAL(109,Merced[Spanish Total])</f>
        <v>405</v>
      </c>
      <c r="V12">
        <f>SUBTOTAL(109,Merced[Tagalog (Filipino) Total])</f>
        <v>1</v>
      </c>
      <c r="W12">
        <f>SUBTOTAL(109,Merced[Urdu Total])</f>
        <v>0</v>
      </c>
      <c r="X12">
        <f>SUBTOTAL(109,Merced[Vietnamese Total])</f>
        <v>0</v>
      </c>
      <c r="Y12">
        <f>SUBTOTAL(109,Merced[Other Total])</f>
        <v>1</v>
      </c>
      <c r="Z12">
        <f>SUBTOTAL(109,Merced[Total Seals per Local Educational Agency])</f>
        <v>425</v>
      </c>
    </row>
  </sheetData>
  <conditionalFormatting sqref="A1:B2">
    <cfRule type="duplicateValues" dxfId="3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5"/>
  <sheetViews>
    <sheetView showGridLines="0" workbookViewId="0">
      <pane xSplit="1" ySplit="2" topLeftCell="B3" activePane="bottomRight" state="frozen"/>
      <selection activeCell="Z3" sqref="Z3"/>
      <selection pane="topRight" activeCell="Z3" sqref="Z3"/>
      <selection pane="bottomLeft" activeCell="Z3" sqref="Z3"/>
      <selection pane="bottomRight"/>
    </sheetView>
  </sheetViews>
  <sheetFormatPr defaultRowHeight="15.5" x14ac:dyDescent="0.35"/>
  <cols>
    <col min="1" max="1" width="33" customWidth="1"/>
    <col min="2" max="2" width="26.69140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1.9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42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829</v>
      </c>
      <c r="B3" s="4" t="s">
        <v>830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</v>
      </c>
      <c r="V3">
        <v>0</v>
      </c>
      <c r="W3">
        <v>0</v>
      </c>
      <c r="X3">
        <v>0</v>
      </c>
      <c r="Y3">
        <v>0</v>
      </c>
      <c r="Z3">
        <f>SUM(Mono[[#This Row],[American Sign Language Total]:[Other Total]])</f>
        <v>5</v>
      </c>
    </row>
    <row r="4" spans="1:26" x14ac:dyDescent="0.35">
      <c r="A4" s="14" t="s">
        <v>443</v>
      </c>
      <c r="B4" s="4" t="s">
        <v>444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21</v>
      </c>
      <c r="V4">
        <v>0</v>
      </c>
      <c r="W4">
        <v>0</v>
      </c>
      <c r="X4">
        <v>0</v>
      </c>
      <c r="Y4">
        <v>0</v>
      </c>
      <c r="Z4" s="5">
        <f>SUM(Mono[[#This Row],[American Sign Language Total]:[Other Total]])</f>
        <v>21</v>
      </c>
    </row>
    <row r="5" spans="1:26" x14ac:dyDescent="0.35">
      <c r="A5" s="9" t="s">
        <v>195</v>
      </c>
      <c r="B5" s="8" t="s">
        <v>187</v>
      </c>
      <c r="C5">
        <f>SUBTOTAL(109,Mono[American Sign Language Total])</f>
        <v>0</v>
      </c>
      <c r="D5">
        <f>SUBTOTAL(109,Mono[Arabic Total])</f>
        <v>0</v>
      </c>
      <c r="E5">
        <f>SUBTOTAL(109,Mono[Armenian Total])</f>
        <v>0</v>
      </c>
      <c r="F5">
        <f>SUBTOTAL(109,Mono[Bengali Total])</f>
        <v>0</v>
      </c>
      <c r="G5">
        <f>SUBTOTAL(109,Mono[Chinese (Mandarin or Cantonese) Total])</f>
        <v>0</v>
      </c>
      <c r="H5">
        <f>SUBTOTAL(109,Mono[Farsi (Persian) Total])</f>
        <v>0</v>
      </c>
      <c r="I5">
        <f>SUBTOTAL(109,Mono[French Total])</f>
        <v>0</v>
      </c>
      <c r="J5">
        <f>SUBTOTAL(109,Mono[German Total])</f>
        <v>0</v>
      </c>
      <c r="K5">
        <f>SUBTOTAL(109,Mono[Hebrew Total])</f>
        <v>0</v>
      </c>
      <c r="L5">
        <f>SUBTOTAL(109,Mono[Hindi Total])</f>
        <v>0</v>
      </c>
      <c r="M5">
        <f>SUBTOTAL(109,Mono[Hmong Total])</f>
        <v>0</v>
      </c>
      <c r="N5">
        <f>SUBTOTAL(109,Mono[Italian Total])</f>
        <v>0</v>
      </c>
      <c r="O5">
        <f>SUBTOTAL(109,Mono[Japanese Total])</f>
        <v>0</v>
      </c>
      <c r="P5">
        <f>SUBTOTAL(109,Mono[Korean Total])</f>
        <v>0</v>
      </c>
      <c r="Q5">
        <f>SUBTOTAL(109,Mono[Latin Total])</f>
        <v>0</v>
      </c>
      <c r="R5">
        <f>SUBTOTAL(109,Mono[Portuguese Total])</f>
        <v>0</v>
      </c>
      <c r="S5">
        <f>SUBTOTAL(109,Mono[Punjabi Total])</f>
        <v>0</v>
      </c>
      <c r="T5">
        <f>SUBTOTAL(109,Mono[Russian Total])</f>
        <v>0</v>
      </c>
      <c r="U5">
        <f>SUBTOTAL(109,Mono[Spanish Total])</f>
        <v>26</v>
      </c>
      <c r="V5">
        <f>SUBTOTAL(109,Mono[Tagalog (Filipino) Total])</f>
        <v>0</v>
      </c>
      <c r="W5">
        <f>SUBTOTAL(109,Mono[Urdu Total])</f>
        <v>0</v>
      </c>
      <c r="X5">
        <f>SUBTOTAL(109,Mono[Vietnamese Total])</f>
        <v>0</v>
      </c>
      <c r="Y5">
        <f>SUBTOTAL(109,Mono[Other Total])</f>
        <v>0</v>
      </c>
      <c r="Z5">
        <f>SUBTOTAL(109,Mono[Total Seals per Local Educational Agency])</f>
        <v>26</v>
      </c>
    </row>
  </sheetData>
  <conditionalFormatting sqref="A1:B2">
    <cfRule type="duplicateValues" dxfId="29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"/>
  <sheetViews>
    <sheetView showGridLines="0" workbookViewId="0">
      <pane xSplit="1" ySplit="2" topLeftCell="B3" activePane="bottomRight" state="frozen"/>
      <selection activeCell="Z3" sqref="Z3"/>
      <selection pane="topRight" activeCell="Z3" sqref="Z3"/>
      <selection pane="bottomLeft" activeCell="Z3" sqref="Z3"/>
      <selection pane="bottomRight"/>
    </sheetView>
  </sheetViews>
  <sheetFormatPr defaultRowHeight="15.5" x14ac:dyDescent="0.35"/>
  <cols>
    <col min="1" max="1" width="38.07421875" style="4" customWidth="1"/>
    <col min="2" max="2" width="30.46093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76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0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28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445</v>
      </c>
      <c r="B3" s="4" t="s">
        <v>446</v>
      </c>
      <c r="C3">
        <v>8</v>
      </c>
      <c r="D3">
        <v>0</v>
      </c>
      <c r="E3">
        <v>0</v>
      </c>
      <c r="F3">
        <v>0</v>
      </c>
      <c r="G3">
        <v>9</v>
      </c>
      <c r="H3">
        <v>0</v>
      </c>
      <c r="I3">
        <v>15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51</v>
      </c>
      <c r="V3">
        <v>0</v>
      </c>
      <c r="W3">
        <v>0</v>
      </c>
      <c r="X3">
        <v>0</v>
      </c>
      <c r="Y3">
        <v>0</v>
      </c>
      <c r="Z3">
        <f>SUM(Monterey[[#This Row],[American Sign Language Total]:[Other Total]])</f>
        <v>83</v>
      </c>
    </row>
    <row r="4" spans="1:26" ht="31" x14ac:dyDescent="0.35">
      <c r="A4" s="14" t="s">
        <v>447</v>
      </c>
      <c r="B4" s="4" t="s">
        <v>833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14</v>
      </c>
      <c r="J4">
        <v>0</v>
      </c>
      <c r="K4">
        <v>0</v>
      </c>
      <c r="L4">
        <v>0</v>
      </c>
      <c r="M4">
        <v>0</v>
      </c>
      <c r="N4">
        <v>0</v>
      </c>
      <c r="O4">
        <v>11</v>
      </c>
      <c r="P4">
        <v>0</v>
      </c>
      <c r="Q4">
        <v>0</v>
      </c>
      <c r="R4">
        <v>0</v>
      </c>
      <c r="S4">
        <v>0</v>
      </c>
      <c r="T4">
        <v>0</v>
      </c>
      <c r="U4">
        <v>103</v>
      </c>
      <c r="V4">
        <v>0</v>
      </c>
      <c r="W4">
        <v>0</v>
      </c>
      <c r="X4">
        <v>2</v>
      </c>
      <c r="Y4">
        <v>1</v>
      </c>
      <c r="Z4">
        <f>SUM(Monterey[[#This Row],[American Sign Language Total]:[Other Total]])</f>
        <v>132</v>
      </c>
    </row>
    <row r="5" spans="1:26" ht="62" x14ac:dyDescent="0.35">
      <c r="A5" s="14" t="s">
        <v>449</v>
      </c>
      <c r="B5" s="4" t="s">
        <v>448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107</v>
      </c>
      <c r="V5">
        <v>0</v>
      </c>
      <c r="W5">
        <v>0</v>
      </c>
      <c r="X5">
        <v>0</v>
      </c>
      <c r="Y5">
        <v>0</v>
      </c>
      <c r="Z5">
        <f>SUM(Monterey[[#This Row],[American Sign Language Total]:[Other Total]])</f>
        <v>107</v>
      </c>
    </row>
    <row r="6" spans="1:26" ht="48" customHeight="1" x14ac:dyDescent="0.35">
      <c r="A6" s="14" t="s">
        <v>831</v>
      </c>
      <c r="B6" s="4" t="s">
        <v>450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13</v>
      </c>
      <c r="J6">
        <v>0</v>
      </c>
      <c r="K6">
        <v>0</v>
      </c>
      <c r="L6">
        <v>0</v>
      </c>
      <c r="M6">
        <v>0</v>
      </c>
      <c r="N6">
        <v>0</v>
      </c>
      <c r="O6">
        <v>2</v>
      </c>
      <c r="P6">
        <v>2</v>
      </c>
      <c r="Q6">
        <v>0</v>
      </c>
      <c r="R6">
        <v>0</v>
      </c>
      <c r="S6">
        <v>0</v>
      </c>
      <c r="T6">
        <v>2</v>
      </c>
      <c r="U6">
        <v>17</v>
      </c>
      <c r="V6">
        <v>0</v>
      </c>
      <c r="W6">
        <v>0</v>
      </c>
      <c r="X6">
        <v>0</v>
      </c>
      <c r="Y6">
        <v>0</v>
      </c>
      <c r="Z6">
        <f>SUM(Monterey[[#This Row],[American Sign Language Total]:[Other Total]])</f>
        <v>36</v>
      </c>
    </row>
    <row r="7" spans="1:26" ht="62" x14ac:dyDescent="0.35">
      <c r="A7" s="14" t="s">
        <v>451</v>
      </c>
      <c r="B7" s="4" t="s">
        <v>832</v>
      </c>
      <c r="C7">
        <v>10</v>
      </c>
      <c r="D7">
        <v>2</v>
      </c>
      <c r="E7">
        <v>0</v>
      </c>
      <c r="F7">
        <v>0</v>
      </c>
      <c r="G7">
        <v>0</v>
      </c>
      <c r="H7">
        <v>0</v>
      </c>
      <c r="I7">
        <v>60</v>
      </c>
      <c r="J7">
        <v>0</v>
      </c>
      <c r="K7">
        <v>0</v>
      </c>
      <c r="L7">
        <v>0</v>
      </c>
      <c r="M7">
        <v>0</v>
      </c>
      <c r="N7">
        <v>0</v>
      </c>
      <c r="O7">
        <v>46</v>
      </c>
      <c r="P7">
        <v>0</v>
      </c>
      <c r="Q7">
        <v>0</v>
      </c>
      <c r="R7">
        <v>0</v>
      </c>
      <c r="S7">
        <v>0</v>
      </c>
      <c r="T7">
        <v>0</v>
      </c>
      <c r="U7">
        <v>844</v>
      </c>
      <c r="V7">
        <v>7</v>
      </c>
      <c r="W7">
        <v>0</v>
      </c>
      <c r="X7">
        <v>1</v>
      </c>
      <c r="Y7">
        <v>12</v>
      </c>
      <c r="Z7">
        <f>SUM(Monterey[[#This Row],[American Sign Language Total]:[Other Total]])</f>
        <v>982</v>
      </c>
    </row>
    <row r="8" spans="1:26" x14ac:dyDescent="0.35">
      <c r="A8" s="14" t="s">
        <v>452</v>
      </c>
      <c r="B8" s="4" t="s">
        <v>453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38</v>
      </c>
      <c r="V8">
        <v>0</v>
      </c>
      <c r="W8">
        <v>0</v>
      </c>
      <c r="X8">
        <v>0</v>
      </c>
      <c r="Y8">
        <v>0</v>
      </c>
      <c r="Z8">
        <f>SUM(Monterey[[#This Row],[American Sign Language Total]:[Other Total]])</f>
        <v>38</v>
      </c>
    </row>
    <row r="9" spans="1:26" x14ac:dyDescent="0.35">
      <c r="A9" s="14" t="s">
        <v>454</v>
      </c>
      <c r="B9" s="4" t="s">
        <v>455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160</v>
      </c>
      <c r="V9">
        <v>0</v>
      </c>
      <c r="W9">
        <v>0</v>
      </c>
      <c r="X9">
        <v>0</v>
      </c>
      <c r="Y9">
        <v>0</v>
      </c>
      <c r="Z9">
        <f>SUM(Monterey[[#This Row],[American Sign Language Total]:[Other Total]])</f>
        <v>160</v>
      </c>
    </row>
    <row r="10" spans="1:26" x14ac:dyDescent="0.35">
      <c r="A10" s="9" t="s">
        <v>201</v>
      </c>
      <c r="B10" s="8" t="s">
        <v>574</v>
      </c>
      <c r="C10" s="5">
        <f>SUBTOTAL(109,Monterey[American Sign Language Total])</f>
        <v>18</v>
      </c>
      <c r="D10" s="5">
        <f>SUBTOTAL(109,Monterey[Arabic Total])</f>
        <v>3</v>
      </c>
      <c r="E10" s="5">
        <f>SUBTOTAL(109,Monterey[Armenian Total])</f>
        <v>0</v>
      </c>
      <c r="F10" s="5">
        <f>SUBTOTAL(109,Monterey[Bengali Total])</f>
        <v>0</v>
      </c>
      <c r="G10" s="5">
        <f>SUBTOTAL(109,Monterey[Chinese (Mandarin or Cantonese) Total])</f>
        <v>9</v>
      </c>
      <c r="H10" s="5">
        <f>SUBTOTAL(109,Monterey[Farsi (Persian) Total])</f>
        <v>0</v>
      </c>
      <c r="I10" s="5">
        <f>SUBTOTAL(109,Monterey[French Total])</f>
        <v>102</v>
      </c>
      <c r="J10" s="5">
        <f>SUBTOTAL(109,Monterey[German Total])</f>
        <v>0</v>
      </c>
      <c r="K10" s="5">
        <f>SUBTOTAL(109,Monterey[Hebrew Total])</f>
        <v>0</v>
      </c>
      <c r="L10" s="5">
        <f>SUBTOTAL(109,Monterey[Hindi Total])</f>
        <v>0</v>
      </c>
      <c r="M10" s="5">
        <f>SUBTOTAL(109,Monterey[Hmong Total])</f>
        <v>0</v>
      </c>
      <c r="N10" s="5">
        <f>SUBTOTAL(109,Monterey[Italian Total])</f>
        <v>0</v>
      </c>
      <c r="O10" s="5">
        <f>SUBTOTAL(109,Monterey[Japanese Total])</f>
        <v>59</v>
      </c>
      <c r="P10" s="5">
        <f>SUBTOTAL(109,Monterey[Korean Total])</f>
        <v>2</v>
      </c>
      <c r="Q10" s="5">
        <f>SUBTOTAL(109,Monterey[Latin Total])</f>
        <v>0</v>
      </c>
      <c r="R10" s="5">
        <f>SUBTOTAL(109,Monterey[Portuguese Total])</f>
        <v>0</v>
      </c>
      <c r="S10" s="5">
        <f>SUBTOTAL(109,Monterey[Punjabi Total])</f>
        <v>0</v>
      </c>
      <c r="T10" s="5">
        <f>SUBTOTAL(109,Monterey[Russian Total])</f>
        <v>2</v>
      </c>
      <c r="U10" s="5">
        <f>SUBTOTAL(109,Monterey[Spanish Total])</f>
        <v>1320</v>
      </c>
      <c r="V10" s="5">
        <f>SUBTOTAL(109,Monterey[Tagalog (Filipino) Total])</f>
        <v>7</v>
      </c>
      <c r="W10" s="5">
        <f>SUBTOTAL(109,Monterey[Urdu Total])</f>
        <v>0</v>
      </c>
      <c r="X10" s="5">
        <f>SUBTOTAL(109,Monterey[Vietnamese Total])</f>
        <v>3</v>
      </c>
      <c r="Y10" s="5">
        <f>SUBTOTAL(109,Monterey[Other Total])</f>
        <v>13</v>
      </c>
      <c r="Z10" s="5">
        <f>SUBTOTAL(109,Monterey[Total Seals per Local Educational Agency])</f>
        <v>1538</v>
      </c>
    </row>
  </sheetData>
  <conditionalFormatting sqref="A1:B2">
    <cfRule type="duplicateValues" dxfId="28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Z5"/>
  <sheetViews>
    <sheetView showGridLines="0" workbookViewId="0">
      <pane xSplit="1" ySplit="2" topLeftCell="B3" activePane="bottomRight" state="frozen"/>
      <selection activeCell="C11" sqref="C11:Y11"/>
      <selection pane="topRight" activeCell="C11" sqref="C11:Y11"/>
      <selection pane="bottomLeft" activeCell="C11" sqref="C11:Y11"/>
      <selection pane="bottomRight"/>
    </sheetView>
  </sheetViews>
  <sheetFormatPr defaultRowHeight="15.5" x14ac:dyDescent="0.35"/>
  <cols>
    <col min="1" max="1" width="30.69140625" customWidth="1"/>
    <col min="2" max="2" width="31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76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37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62" x14ac:dyDescent="0.35">
      <c r="A3" s="14" t="s">
        <v>456</v>
      </c>
      <c r="B3" s="4" t="s">
        <v>835</v>
      </c>
      <c r="C3">
        <v>40</v>
      </c>
      <c r="D3">
        <v>0</v>
      </c>
      <c r="E3">
        <v>0</v>
      </c>
      <c r="F3">
        <v>0</v>
      </c>
      <c r="G3">
        <v>35</v>
      </c>
      <c r="H3">
        <v>0</v>
      </c>
      <c r="I3">
        <v>75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350</v>
      </c>
      <c r="V3">
        <v>0</v>
      </c>
      <c r="W3">
        <v>0</v>
      </c>
      <c r="X3">
        <v>0</v>
      </c>
      <c r="Y3">
        <v>0</v>
      </c>
      <c r="Z3">
        <f>SUM(Napa[[#This Row],[American Sign Language Total]:[Other Total]])</f>
        <v>500</v>
      </c>
    </row>
    <row r="4" spans="1:26" x14ac:dyDescent="0.35">
      <c r="A4" s="14" t="s">
        <v>834</v>
      </c>
      <c r="B4" s="4" t="s">
        <v>836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40</v>
      </c>
      <c r="V4">
        <v>0</v>
      </c>
      <c r="W4">
        <v>0</v>
      </c>
      <c r="X4">
        <v>0</v>
      </c>
      <c r="Y4">
        <v>0</v>
      </c>
      <c r="Z4">
        <f>SUM(Napa[[#This Row],[American Sign Language Total]:[Other Total]])</f>
        <v>40</v>
      </c>
    </row>
    <row r="5" spans="1:26" x14ac:dyDescent="0.35">
      <c r="A5" s="9" t="s">
        <v>195</v>
      </c>
      <c r="B5" s="8" t="s">
        <v>184</v>
      </c>
      <c r="C5">
        <f>SUBTOTAL(109,Napa[American Sign Language Total])</f>
        <v>40</v>
      </c>
      <c r="D5">
        <f>SUBTOTAL(109,Napa[Arabic Total])</f>
        <v>0</v>
      </c>
      <c r="E5">
        <f>SUBTOTAL(109,Napa[Armenian Total])</f>
        <v>0</v>
      </c>
      <c r="F5">
        <f>SUBTOTAL(109,Napa[Bengali Total])</f>
        <v>0</v>
      </c>
      <c r="G5">
        <f>SUBTOTAL(109,Napa[Chinese (Mandarin or Cantonese) Total])</f>
        <v>35</v>
      </c>
      <c r="H5">
        <f>SUBTOTAL(109,Napa[Farsi (Persian) Total])</f>
        <v>0</v>
      </c>
      <c r="I5">
        <f>SUBTOTAL(109,Napa[French Total])</f>
        <v>75</v>
      </c>
      <c r="J5">
        <f>SUBTOTAL(109,Napa[German Total])</f>
        <v>0</v>
      </c>
      <c r="K5">
        <f>SUBTOTAL(109,Napa[Hebrew Total])</f>
        <v>0</v>
      </c>
      <c r="L5">
        <f>SUBTOTAL(109,Napa[Hindi Total])</f>
        <v>0</v>
      </c>
      <c r="M5">
        <f>SUBTOTAL(109,Napa[Hmong Total])</f>
        <v>0</v>
      </c>
      <c r="N5">
        <f>SUBTOTAL(109,Napa[Italian Total])</f>
        <v>0</v>
      </c>
      <c r="O5">
        <f>SUBTOTAL(109,Napa[Japanese Total])</f>
        <v>0</v>
      </c>
      <c r="P5">
        <f>SUBTOTAL(109,Napa[Korean Total])</f>
        <v>0</v>
      </c>
      <c r="Q5">
        <f>SUBTOTAL(109,Napa[Latin Total])</f>
        <v>0</v>
      </c>
      <c r="R5">
        <f>SUBTOTAL(109,Napa[Portuguese Total])</f>
        <v>0</v>
      </c>
      <c r="S5">
        <f>SUBTOTAL(109,Napa[Punjabi Total])</f>
        <v>0</v>
      </c>
      <c r="T5">
        <f>SUBTOTAL(109,Napa[Russian Total])</f>
        <v>0</v>
      </c>
      <c r="U5">
        <f>SUBTOTAL(109,Napa[Spanish Total])</f>
        <v>390</v>
      </c>
      <c r="V5">
        <f>SUBTOTAL(109,Napa[Tagalog (Filipino) Total])</f>
        <v>0</v>
      </c>
      <c r="W5">
        <f>SUBTOTAL(109,Napa[Urdu Total])</f>
        <v>0</v>
      </c>
      <c r="X5">
        <f>SUBTOTAL(109,Napa[Vietnamese Total])</f>
        <v>0</v>
      </c>
      <c r="Y5">
        <f>SUBTOTAL(109,Napa[Other Total])</f>
        <v>0</v>
      </c>
      <c r="Z5">
        <f>SUBTOTAL(109,Napa[Total Seals per Local Educational Agency])</f>
        <v>540</v>
      </c>
    </row>
  </sheetData>
  <conditionalFormatting sqref="A1:B2">
    <cfRule type="duplicateValues" dxfId="27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Z4"/>
  <sheetViews>
    <sheetView showGridLines="0" workbookViewId="0">
      <pane xSplit="1" ySplit="2" topLeftCell="B3" activePane="bottomRight" state="frozen"/>
      <selection activeCell="C4" sqref="C4:Y4"/>
      <selection pane="topRight" activeCell="C4" sqref="C4:Y4"/>
      <selection pane="bottomLeft" activeCell="C4" sqref="C4:Y4"/>
      <selection pane="bottomRight"/>
    </sheetView>
  </sheetViews>
  <sheetFormatPr defaultRowHeight="15.5" x14ac:dyDescent="0.35"/>
  <cols>
    <col min="1" max="1" width="32.23046875" bestFit="1" customWidth="1"/>
    <col min="2" max="2" width="31.3046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8.843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48</v>
      </c>
    </row>
    <row r="2" spans="1:26" ht="62" x14ac:dyDescent="0.35">
      <c r="A2" s="2" t="s">
        <v>69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837</v>
      </c>
      <c r="B3" s="4" t="s">
        <v>837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f>SUM(Nevada[[#This Row],[American Sign Language Total]:[Other Total]])</f>
        <v>1</v>
      </c>
    </row>
    <row r="4" spans="1:26" x14ac:dyDescent="0.35">
      <c r="A4" s="9" t="s">
        <v>180</v>
      </c>
      <c r="B4" s="8" t="s">
        <v>183</v>
      </c>
      <c r="C4">
        <f>SUBTOTAL(109,Nevada[American Sign Language Total])</f>
        <v>0</v>
      </c>
      <c r="D4">
        <f>SUBTOTAL(109,Nevada[Arabic Total])</f>
        <v>0</v>
      </c>
      <c r="E4">
        <f>SUBTOTAL(109,Nevada[Armenian Total])</f>
        <v>0</v>
      </c>
      <c r="F4">
        <f>SUBTOTAL(109,Nevada[Bengali Total])</f>
        <v>0</v>
      </c>
      <c r="G4">
        <f>SUBTOTAL(109,Nevada[Chinese (Mandarin or Cantonese) Total])</f>
        <v>0</v>
      </c>
      <c r="H4">
        <f>SUBTOTAL(109,Nevada[Farsi (Persian) Total])</f>
        <v>0</v>
      </c>
      <c r="I4">
        <f>SUBTOTAL(109,Nevada[French Total])</f>
        <v>0</v>
      </c>
      <c r="J4">
        <f>SUBTOTAL(109,Nevada[German Total])</f>
        <v>0</v>
      </c>
      <c r="K4">
        <f>SUBTOTAL(109,Nevada[Hebrew Total])</f>
        <v>0</v>
      </c>
      <c r="L4">
        <f>SUBTOTAL(109,Nevada[Hindi Total])</f>
        <v>0</v>
      </c>
      <c r="M4">
        <f>SUBTOTAL(109,Nevada[Hmong Total])</f>
        <v>0</v>
      </c>
      <c r="N4">
        <f>SUBTOTAL(109,Nevada[Italian Total])</f>
        <v>0</v>
      </c>
      <c r="O4">
        <f>SUBTOTAL(109,Nevada[Japanese Total])</f>
        <v>0</v>
      </c>
      <c r="P4">
        <f>SUBTOTAL(109,Nevada[Korean Total])</f>
        <v>0</v>
      </c>
      <c r="Q4">
        <f>SUBTOTAL(109,Nevada[Latin Total])</f>
        <v>0</v>
      </c>
      <c r="R4">
        <f>SUBTOTAL(109,Nevada[Portuguese Total])</f>
        <v>0</v>
      </c>
      <c r="S4">
        <f>SUBTOTAL(109,Nevada[Punjabi Total])</f>
        <v>0</v>
      </c>
      <c r="T4">
        <f>SUBTOTAL(109,Nevada[Russian Total])</f>
        <v>0</v>
      </c>
      <c r="U4">
        <f>SUBTOTAL(109,Nevada[Spanish Total])</f>
        <v>1</v>
      </c>
      <c r="V4">
        <f>SUBTOTAL(109,Nevada[Tagalog (Filipino) Total])</f>
        <v>0</v>
      </c>
      <c r="W4">
        <f>SUBTOTAL(109,Nevada[Urdu Total])</f>
        <v>0</v>
      </c>
      <c r="X4">
        <f>SUBTOTAL(109,Nevada[Vietnamese Total])</f>
        <v>0</v>
      </c>
      <c r="Y4">
        <f>SUBTOTAL(109,Nevada[Other Total])</f>
        <v>0</v>
      </c>
      <c r="Z4">
        <f>SUBTOTAL(109,Nevada[Total Seals per Local Educational Agency])</f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Z27"/>
  <sheetViews>
    <sheetView showGridLines="0" zoomScaleNormal="100" workbookViewId="0">
      <pane xSplit="1" ySplit="2" topLeftCell="B3" activePane="bottomRight" state="frozen"/>
      <selection activeCell="C4" sqref="C4:Y4"/>
      <selection pane="topRight" activeCell="C4" sqref="C4:Y4"/>
      <selection pane="bottomLeft" activeCell="C4" sqref="C4:Y4"/>
      <selection pane="bottomRight"/>
    </sheetView>
  </sheetViews>
  <sheetFormatPr defaultRowHeight="15.5" x14ac:dyDescent="0.35"/>
  <cols>
    <col min="1" max="1" width="43.07421875" bestFit="1" customWidth="1"/>
    <col min="2" max="2" width="47.84375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5351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7" t="s">
        <v>8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62" x14ac:dyDescent="0.35">
      <c r="A3" s="14" t="s">
        <v>457</v>
      </c>
      <c r="B3" s="4" t="s">
        <v>846</v>
      </c>
      <c r="C3">
        <v>48</v>
      </c>
      <c r="D3">
        <v>12</v>
      </c>
      <c r="E3">
        <v>0</v>
      </c>
      <c r="F3">
        <v>0</v>
      </c>
      <c r="G3">
        <v>24</v>
      </c>
      <c r="H3">
        <v>1</v>
      </c>
      <c r="I3">
        <v>80</v>
      </c>
      <c r="J3">
        <v>1</v>
      </c>
      <c r="K3">
        <v>0</v>
      </c>
      <c r="L3">
        <v>6</v>
      </c>
      <c r="M3">
        <v>0</v>
      </c>
      <c r="N3">
        <v>2</v>
      </c>
      <c r="O3">
        <v>5</v>
      </c>
      <c r="P3">
        <v>99</v>
      </c>
      <c r="Q3">
        <v>0</v>
      </c>
      <c r="R3">
        <v>2</v>
      </c>
      <c r="S3">
        <v>1</v>
      </c>
      <c r="T3">
        <v>2</v>
      </c>
      <c r="U3">
        <v>1011</v>
      </c>
      <c r="V3">
        <v>10</v>
      </c>
      <c r="W3">
        <v>0</v>
      </c>
      <c r="X3">
        <v>71</v>
      </c>
      <c r="Y3">
        <v>29</v>
      </c>
      <c r="Z3" s="6">
        <f>SUM(Orange[[#This Row],[Participating Schools]:[Other Total]])</f>
        <v>1404</v>
      </c>
    </row>
    <row r="4" spans="1:26" x14ac:dyDescent="0.35">
      <c r="A4" s="14" t="s">
        <v>458</v>
      </c>
      <c r="B4" s="4" t="s">
        <v>847</v>
      </c>
      <c r="C4">
        <v>1</v>
      </c>
      <c r="D4">
        <v>0</v>
      </c>
      <c r="E4">
        <v>0</v>
      </c>
      <c r="F4">
        <v>0</v>
      </c>
      <c r="G4">
        <v>5</v>
      </c>
      <c r="H4">
        <v>0</v>
      </c>
      <c r="I4">
        <v>27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  <c r="P4">
        <v>38</v>
      </c>
      <c r="Q4">
        <v>0</v>
      </c>
      <c r="R4">
        <v>0</v>
      </c>
      <c r="S4">
        <v>0</v>
      </c>
      <c r="T4">
        <v>0</v>
      </c>
      <c r="U4">
        <v>30</v>
      </c>
      <c r="V4">
        <v>0</v>
      </c>
      <c r="W4">
        <v>0</v>
      </c>
      <c r="X4">
        <v>0</v>
      </c>
      <c r="Y4">
        <v>0</v>
      </c>
      <c r="Z4" s="6">
        <f>SUM(Orange[[#This Row],[Participating Schools]:[Other Total]])</f>
        <v>106</v>
      </c>
    </row>
    <row r="5" spans="1:26" ht="62" x14ac:dyDescent="0.35">
      <c r="A5" s="14" t="s">
        <v>838</v>
      </c>
      <c r="B5" s="4" t="s">
        <v>459</v>
      </c>
      <c r="C5">
        <v>5</v>
      </c>
      <c r="D5">
        <v>1</v>
      </c>
      <c r="E5">
        <v>0</v>
      </c>
      <c r="F5">
        <v>0</v>
      </c>
      <c r="G5">
        <v>50</v>
      </c>
      <c r="H5">
        <v>3</v>
      </c>
      <c r="I5">
        <v>47</v>
      </c>
      <c r="J5">
        <v>17</v>
      </c>
      <c r="K5">
        <v>2</v>
      </c>
      <c r="L5">
        <v>1</v>
      </c>
      <c r="M5">
        <v>0</v>
      </c>
      <c r="N5">
        <v>0</v>
      </c>
      <c r="O5">
        <v>4</v>
      </c>
      <c r="P5">
        <v>3</v>
      </c>
      <c r="Q5">
        <v>0</v>
      </c>
      <c r="R5">
        <v>0</v>
      </c>
      <c r="S5">
        <v>0</v>
      </c>
      <c r="T5">
        <v>6</v>
      </c>
      <c r="U5">
        <v>555</v>
      </c>
      <c r="V5">
        <v>1</v>
      </c>
      <c r="W5">
        <v>0</v>
      </c>
      <c r="X5">
        <v>1</v>
      </c>
      <c r="Y5">
        <v>3</v>
      </c>
      <c r="Z5" s="6">
        <f>SUM(Orange[[#This Row],[Participating Schools]:[Other Total]])</f>
        <v>699</v>
      </c>
    </row>
    <row r="6" spans="1:26" x14ac:dyDescent="0.35">
      <c r="A6" s="14" t="s">
        <v>460</v>
      </c>
      <c r="B6" s="4" t="s">
        <v>460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 s="6">
        <f>SUM(Orange[[#This Row],[Participating Schools]:[Other Total]])</f>
        <v>1</v>
      </c>
    </row>
    <row r="7" spans="1:26" x14ac:dyDescent="0.35">
      <c r="A7" s="14" t="s">
        <v>839</v>
      </c>
      <c r="B7" s="4" t="s">
        <v>461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40</v>
      </c>
      <c r="V7">
        <v>0</v>
      </c>
      <c r="W7">
        <v>0</v>
      </c>
      <c r="X7">
        <v>0</v>
      </c>
      <c r="Y7">
        <v>0</v>
      </c>
      <c r="Z7" s="6">
        <f>SUM(Orange[[#This Row],[Participating Schools]:[Other Total]])</f>
        <v>40</v>
      </c>
    </row>
    <row r="8" spans="1:26" ht="31" x14ac:dyDescent="0.35">
      <c r="A8" s="14" t="s">
        <v>1203</v>
      </c>
      <c r="B8" s="4" t="s">
        <v>1204</v>
      </c>
      <c r="C8">
        <v>0</v>
      </c>
      <c r="D8">
        <v>0</v>
      </c>
      <c r="E8">
        <v>0</v>
      </c>
      <c r="F8">
        <v>0</v>
      </c>
      <c r="G8">
        <v>29</v>
      </c>
      <c r="H8">
        <v>0</v>
      </c>
      <c r="I8">
        <v>69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47</v>
      </c>
      <c r="Q8">
        <v>0</v>
      </c>
      <c r="R8">
        <v>0</v>
      </c>
      <c r="S8">
        <v>0</v>
      </c>
      <c r="T8">
        <v>0</v>
      </c>
      <c r="U8">
        <v>442</v>
      </c>
      <c r="V8">
        <v>0</v>
      </c>
      <c r="W8">
        <v>0</v>
      </c>
      <c r="X8">
        <v>0</v>
      </c>
      <c r="Y8">
        <v>0</v>
      </c>
      <c r="Z8" s="6">
        <f>SUM(Orange[[#This Row],[Participating Schools]:[Other Total]])</f>
        <v>589</v>
      </c>
    </row>
    <row r="9" spans="1:26" ht="46.5" x14ac:dyDescent="0.35">
      <c r="A9" s="14" t="s">
        <v>462</v>
      </c>
      <c r="B9" s="4" t="s">
        <v>848</v>
      </c>
      <c r="C9">
        <v>1</v>
      </c>
      <c r="D9">
        <v>0</v>
      </c>
      <c r="E9">
        <v>0</v>
      </c>
      <c r="F9">
        <v>0</v>
      </c>
      <c r="G9">
        <v>2</v>
      </c>
      <c r="H9">
        <v>0</v>
      </c>
      <c r="I9">
        <v>19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3</v>
      </c>
      <c r="Q9">
        <v>0</v>
      </c>
      <c r="R9">
        <v>0</v>
      </c>
      <c r="S9">
        <v>0</v>
      </c>
      <c r="T9">
        <v>0</v>
      </c>
      <c r="U9">
        <v>309</v>
      </c>
      <c r="V9">
        <v>0</v>
      </c>
      <c r="W9">
        <v>0</v>
      </c>
      <c r="X9">
        <v>307</v>
      </c>
      <c r="Y9">
        <v>0</v>
      </c>
      <c r="Z9" s="6">
        <f>SUM(Orange[[#This Row],[Participating Schools]:[Other Total]])</f>
        <v>641</v>
      </c>
    </row>
    <row r="10" spans="1:26" ht="46.5" x14ac:dyDescent="0.35">
      <c r="A10" s="14" t="s">
        <v>463</v>
      </c>
      <c r="B10" s="4" t="s">
        <v>849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1034</v>
      </c>
      <c r="V10">
        <v>0</v>
      </c>
      <c r="W10">
        <v>0</v>
      </c>
      <c r="X10">
        <v>470</v>
      </c>
      <c r="Y10">
        <v>0</v>
      </c>
      <c r="Z10" s="6">
        <f>SUM(Orange[[#This Row],[Participating Schools]:[Other Total]])</f>
        <v>1504</v>
      </c>
    </row>
    <row r="11" spans="1:26" ht="46.5" x14ac:dyDescent="0.35">
      <c r="A11" s="14" t="s">
        <v>464</v>
      </c>
      <c r="B11" s="4" t="s">
        <v>850</v>
      </c>
      <c r="C11">
        <v>1</v>
      </c>
      <c r="D11">
        <v>2</v>
      </c>
      <c r="E11">
        <v>0</v>
      </c>
      <c r="F11">
        <v>0</v>
      </c>
      <c r="G11">
        <v>182</v>
      </c>
      <c r="H11">
        <v>0</v>
      </c>
      <c r="I11">
        <v>105</v>
      </c>
      <c r="J11">
        <v>1</v>
      </c>
      <c r="K11">
        <v>1</v>
      </c>
      <c r="L11">
        <v>0</v>
      </c>
      <c r="M11">
        <v>0</v>
      </c>
      <c r="N11">
        <v>1</v>
      </c>
      <c r="O11">
        <v>2</v>
      </c>
      <c r="P11">
        <v>84</v>
      </c>
      <c r="Q11">
        <v>7</v>
      </c>
      <c r="R11">
        <v>0</v>
      </c>
      <c r="S11">
        <v>0</v>
      </c>
      <c r="T11">
        <v>3</v>
      </c>
      <c r="U11">
        <v>703</v>
      </c>
      <c r="V11">
        <v>0</v>
      </c>
      <c r="W11">
        <v>0</v>
      </c>
      <c r="X11">
        <v>0</v>
      </c>
      <c r="Y11">
        <v>1</v>
      </c>
      <c r="Z11" s="6">
        <f>SUM(Orange[[#This Row],[Participating Schools]:[Other Total]])</f>
        <v>1093</v>
      </c>
    </row>
    <row r="12" spans="1:26" x14ac:dyDescent="0.35">
      <c r="A12" s="14" t="s">
        <v>465</v>
      </c>
      <c r="B12" s="4" t="s">
        <v>466</v>
      </c>
      <c r="C12">
        <v>5</v>
      </c>
      <c r="D12">
        <v>0</v>
      </c>
      <c r="E12">
        <v>0</v>
      </c>
      <c r="F12">
        <v>0</v>
      </c>
      <c r="G12">
        <v>7</v>
      </c>
      <c r="H12">
        <v>0</v>
      </c>
      <c r="I12">
        <v>13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1</v>
      </c>
      <c r="U12">
        <v>69</v>
      </c>
      <c r="V12">
        <v>0</v>
      </c>
      <c r="W12">
        <v>0</v>
      </c>
      <c r="X12">
        <v>0</v>
      </c>
      <c r="Y12">
        <v>0</v>
      </c>
      <c r="Z12" s="6">
        <f>SUM(Orange[[#This Row],[Participating Schools]:[Other Total]])</f>
        <v>96</v>
      </c>
    </row>
    <row r="13" spans="1:26" x14ac:dyDescent="0.35">
      <c r="A13" s="14" t="s">
        <v>467</v>
      </c>
      <c r="B13" s="4" t="s">
        <v>468</v>
      </c>
      <c r="C13">
        <v>55</v>
      </c>
      <c r="D13">
        <v>0</v>
      </c>
      <c r="E13">
        <v>0</v>
      </c>
      <c r="F13">
        <v>0</v>
      </c>
      <c r="G13">
        <v>4</v>
      </c>
      <c r="H13">
        <v>0</v>
      </c>
      <c r="I13">
        <v>52</v>
      </c>
      <c r="J13">
        <v>0</v>
      </c>
      <c r="K13">
        <v>0</v>
      </c>
      <c r="L13">
        <v>0</v>
      </c>
      <c r="M13">
        <v>0</v>
      </c>
      <c r="N13">
        <v>0</v>
      </c>
      <c r="O13">
        <v>45</v>
      </c>
      <c r="P13">
        <v>0</v>
      </c>
      <c r="Q13">
        <v>0</v>
      </c>
      <c r="R13">
        <v>0</v>
      </c>
      <c r="S13">
        <v>0</v>
      </c>
      <c r="T13">
        <v>0</v>
      </c>
      <c r="U13">
        <v>250</v>
      </c>
      <c r="V13">
        <v>0</v>
      </c>
      <c r="W13">
        <v>0</v>
      </c>
      <c r="X13">
        <v>0</v>
      </c>
      <c r="Y13">
        <v>0</v>
      </c>
      <c r="Z13" s="6">
        <f>SUM(Orange[[#This Row],[Participating Schools]:[Other Total]])</f>
        <v>406</v>
      </c>
    </row>
    <row r="14" spans="1:26" x14ac:dyDescent="0.35">
      <c r="A14" s="14" t="s">
        <v>130</v>
      </c>
      <c r="B14" s="2" t="s">
        <v>130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10</v>
      </c>
      <c r="V14">
        <v>0</v>
      </c>
      <c r="W14">
        <v>0</v>
      </c>
      <c r="X14">
        <v>0</v>
      </c>
      <c r="Y14">
        <v>0</v>
      </c>
      <c r="Z14" s="6">
        <f>SUM(Orange[[#This Row],[Participating Schools]:[Other Total]])</f>
        <v>10</v>
      </c>
    </row>
    <row r="15" spans="1:26" ht="46.5" x14ac:dyDescent="0.35">
      <c r="A15" s="14" t="s">
        <v>840</v>
      </c>
      <c r="B15" s="2" t="s">
        <v>851</v>
      </c>
      <c r="C15">
        <v>1</v>
      </c>
      <c r="D15">
        <v>0</v>
      </c>
      <c r="E15">
        <v>0</v>
      </c>
      <c r="F15">
        <v>0</v>
      </c>
      <c r="G15">
        <v>30</v>
      </c>
      <c r="H15">
        <v>0</v>
      </c>
      <c r="I15">
        <v>26</v>
      </c>
      <c r="J15">
        <v>3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310</v>
      </c>
      <c r="V15">
        <v>0</v>
      </c>
      <c r="W15">
        <v>0</v>
      </c>
      <c r="X15">
        <v>0</v>
      </c>
      <c r="Y15">
        <v>0</v>
      </c>
      <c r="Z15" s="6">
        <f>SUM(Orange[[#This Row],[Participating Schools]:[Other Total]])</f>
        <v>371</v>
      </c>
    </row>
    <row r="16" spans="1:26" ht="31" x14ac:dyDescent="0.35">
      <c r="A16" s="14" t="s">
        <v>841</v>
      </c>
      <c r="B16" s="2" t="s">
        <v>469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15</v>
      </c>
      <c r="V16">
        <v>0</v>
      </c>
      <c r="W16">
        <v>0</v>
      </c>
      <c r="X16">
        <v>0</v>
      </c>
      <c r="Y16">
        <v>0</v>
      </c>
      <c r="Z16" s="6">
        <f>SUM(Orange[[#This Row],[Participating Schools]:[Other Total]])</f>
        <v>15</v>
      </c>
    </row>
    <row r="17" spans="1:26" x14ac:dyDescent="0.35">
      <c r="A17" s="14" t="s">
        <v>700</v>
      </c>
      <c r="B17" s="4" t="s">
        <v>470</v>
      </c>
      <c r="C17">
        <v>0</v>
      </c>
      <c r="D17">
        <v>0</v>
      </c>
      <c r="E17">
        <v>0</v>
      </c>
      <c r="F17">
        <v>0</v>
      </c>
      <c r="G17">
        <v>50</v>
      </c>
      <c r="H17">
        <v>0</v>
      </c>
      <c r="I17">
        <v>28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132</v>
      </c>
      <c r="V17">
        <v>0</v>
      </c>
      <c r="W17">
        <v>0</v>
      </c>
      <c r="X17">
        <v>0</v>
      </c>
      <c r="Y17">
        <v>0</v>
      </c>
      <c r="Z17" s="6">
        <f>SUM(Orange[[#This Row],[Participating Schools]:[Other Total]])</f>
        <v>211</v>
      </c>
    </row>
    <row r="18" spans="1:26" x14ac:dyDescent="0.35">
      <c r="A18" s="14" t="s">
        <v>842</v>
      </c>
      <c r="B18" s="2" t="s">
        <v>842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8</v>
      </c>
      <c r="V18">
        <v>0</v>
      </c>
      <c r="W18">
        <v>0</v>
      </c>
      <c r="X18">
        <v>0</v>
      </c>
      <c r="Y18">
        <v>0</v>
      </c>
      <c r="Z18" s="6">
        <f>SUM(Orange[[#This Row],[Participating Schools]:[Other Total]])</f>
        <v>8</v>
      </c>
    </row>
    <row r="19" spans="1:26" x14ac:dyDescent="0.35">
      <c r="A19" s="14" t="s">
        <v>843</v>
      </c>
      <c r="B19" s="2" t="s">
        <v>852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2</v>
      </c>
      <c r="V19">
        <v>0</v>
      </c>
      <c r="W19">
        <v>0</v>
      </c>
      <c r="X19">
        <v>0</v>
      </c>
      <c r="Y19">
        <v>0</v>
      </c>
      <c r="Z19" s="6">
        <f>SUM(Orange[[#This Row],[Participating Schools]:[Other Total]])</f>
        <v>2</v>
      </c>
    </row>
    <row r="20" spans="1:26" ht="31.5" customHeight="1" x14ac:dyDescent="0.35">
      <c r="A20" s="14" t="s">
        <v>471</v>
      </c>
      <c r="B20" s="2" t="s">
        <v>853</v>
      </c>
      <c r="C20">
        <v>1</v>
      </c>
      <c r="D20">
        <v>0</v>
      </c>
      <c r="E20">
        <v>0</v>
      </c>
      <c r="F20">
        <v>0</v>
      </c>
      <c r="G20">
        <v>10</v>
      </c>
      <c r="H20">
        <v>0</v>
      </c>
      <c r="I20">
        <v>48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274</v>
      </c>
      <c r="V20">
        <v>0</v>
      </c>
      <c r="W20">
        <v>0</v>
      </c>
      <c r="X20">
        <v>0</v>
      </c>
      <c r="Y20">
        <v>0</v>
      </c>
      <c r="Z20" s="6">
        <f>SUM(Orange[[#This Row],[Participating Schools]:[Other Total]])</f>
        <v>335</v>
      </c>
    </row>
    <row r="21" spans="1:26" ht="31" x14ac:dyDescent="0.35">
      <c r="A21" s="14" t="s">
        <v>472</v>
      </c>
      <c r="B21" s="2" t="s">
        <v>854</v>
      </c>
      <c r="C21">
        <v>0</v>
      </c>
      <c r="D21">
        <v>0</v>
      </c>
      <c r="E21">
        <v>0</v>
      </c>
      <c r="F21">
        <v>0</v>
      </c>
      <c r="G21">
        <v>47</v>
      </c>
      <c r="H21">
        <v>0</v>
      </c>
      <c r="I21">
        <v>31</v>
      </c>
      <c r="J21">
        <v>12</v>
      </c>
      <c r="K21">
        <v>0</v>
      </c>
      <c r="L21">
        <v>0</v>
      </c>
      <c r="M21">
        <v>0</v>
      </c>
      <c r="N21">
        <v>0</v>
      </c>
      <c r="O21">
        <v>11</v>
      </c>
      <c r="P21">
        <v>0</v>
      </c>
      <c r="Q21">
        <v>0</v>
      </c>
      <c r="R21">
        <v>0</v>
      </c>
      <c r="S21">
        <v>0</v>
      </c>
      <c r="T21">
        <v>0</v>
      </c>
      <c r="U21">
        <v>312</v>
      </c>
      <c r="V21">
        <v>0</v>
      </c>
      <c r="W21">
        <v>0</v>
      </c>
      <c r="X21">
        <v>0</v>
      </c>
      <c r="Y21">
        <v>0</v>
      </c>
      <c r="Z21" s="6">
        <f>SUM(Orange[[#This Row],[Participating Schools]:[Other Total]])</f>
        <v>413</v>
      </c>
    </row>
    <row r="22" spans="1:26" ht="46.5" x14ac:dyDescent="0.35">
      <c r="A22" s="14" t="s">
        <v>473</v>
      </c>
      <c r="B22" s="2" t="s">
        <v>855</v>
      </c>
      <c r="C22">
        <v>7</v>
      </c>
      <c r="D22">
        <v>2</v>
      </c>
      <c r="E22">
        <v>0</v>
      </c>
      <c r="F22">
        <v>0</v>
      </c>
      <c r="G22">
        <v>26</v>
      </c>
      <c r="H22">
        <v>0</v>
      </c>
      <c r="I22">
        <v>27</v>
      </c>
      <c r="J22">
        <v>4</v>
      </c>
      <c r="K22">
        <v>1</v>
      </c>
      <c r="L22">
        <v>0</v>
      </c>
      <c r="M22">
        <v>0</v>
      </c>
      <c r="N22">
        <v>0</v>
      </c>
      <c r="O22">
        <v>1</v>
      </c>
      <c r="P22">
        <v>2</v>
      </c>
      <c r="Q22">
        <v>0</v>
      </c>
      <c r="R22">
        <v>0</v>
      </c>
      <c r="S22">
        <v>0</v>
      </c>
      <c r="T22">
        <v>0</v>
      </c>
      <c r="U22">
        <v>349</v>
      </c>
      <c r="V22">
        <v>0</v>
      </c>
      <c r="W22">
        <v>0</v>
      </c>
      <c r="X22">
        <v>0</v>
      </c>
      <c r="Y22">
        <v>0</v>
      </c>
      <c r="Z22" s="6">
        <f>SUM(Orange[[#This Row],[Participating Schools]:[Other Total]])</f>
        <v>419</v>
      </c>
    </row>
    <row r="23" spans="1:26" ht="77.5" x14ac:dyDescent="0.35">
      <c r="A23" s="14" t="s">
        <v>474</v>
      </c>
      <c r="B23" s="2" t="s">
        <v>856</v>
      </c>
      <c r="C23">
        <v>7</v>
      </c>
      <c r="D23">
        <v>0</v>
      </c>
      <c r="E23">
        <v>0</v>
      </c>
      <c r="F23">
        <v>0</v>
      </c>
      <c r="G23">
        <v>0</v>
      </c>
      <c r="H23">
        <v>0</v>
      </c>
      <c r="I23">
        <v>10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835</v>
      </c>
      <c r="V23">
        <v>0</v>
      </c>
      <c r="W23">
        <v>0</v>
      </c>
      <c r="X23">
        <v>3</v>
      </c>
      <c r="Y23">
        <v>0</v>
      </c>
      <c r="Z23" s="6">
        <f>SUM(Orange[[#This Row],[Participating Schools]:[Other Total]])</f>
        <v>855</v>
      </c>
    </row>
    <row r="24" spans="1:26" x14ac:dyDescent="0.35">
      <c r="A24" s="14" t="s">
        <v>844</v>
      </c>
      <c r="B24" s="2" t="s">
        <v>844</v>
      </c>
      <c r="C24">
        <v>0</v>
      </c>
      <c r="D24">
        <v>4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 s="6">
        <f>SUM(Orange[[#This Row],[Participating Schools]:[Other Total]])</f>
        <v>4</v>
      </c>
    </row>
    <row r="25" spans="1:26" ht="31" x14ac:dyDescent="0.35">
      <c r="A25" s="14" t="s">
        <v>845</v>
      </c>
      <c r="B25" s="2" t="s">
        <v>857</v>
      </c>
      <c r="C25">
        <v>0</v>
      </c>
      <c r="D25">
        <v>0</v>
      </c>
      <c r="E25">
        <v>0</v>
      </c>
      <c r="F25">
        <v>0</v>
      </c>
      <c r="G25">
        <v>35</v>
      </c>
      <c r="H25">
        <v>0</v>
      </c>
      <c r="I25">
        <v>45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40</v>
      </c>
      <c r="R25">
        <v>0</v>
      </c>
      <c r="S25">
        <v>0</v>
      </c>
      <c r="T25">
        <v>0</v>
      </c>
      <c r="U25">
        <v>300</v>
      </c>
      <c r="V25">
        <v>0</v>
      </c>
      <c r="W25">
        <v>0</v>
      </c>
      <c r="X25">
        <v>0</v>
      </c>
      <c r="Y25">
        <v>0</v>
      </c>
      <c r="Z25" s="6">
        <f>SUM(Orange[[#This Row],[Participating Schools]:[Other Total]])</f>
        <v>420</v>
      </c>
    </row>
    <row r="26" spans="1:26" x14ac:dyDescent="0.35">
      <c r="A26" s="14" t="s">
        <v>131</v>
      </c>
      <c r="B26" s="2" t="s">
        <v>131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30</v>
      </c>
      <c r="V26">
        <v>0</v>
      </c>
      <c r="W26">
        <v>0</v>
      </c>
      <c r="X26">
        <v>0</v>
      </c>
      <c r="Y26">
        <v>0</v>
      </c>
      <c r="Z26" s="6">
        <f>SUM(Orange[[#This Row],[Participating Schools]:[Other Total]])</f>
        <v>30</v>
      </c>
    </row>
    <row r="27" spans="1:26" x14ac:dyDescent="0.35">
      <c r="A27" s="9" t="s">
        <v>1205</v>
      </c>
      <c r="B27" s="8" t="s">
        <v>1206</v>
      </c>
      <c r="C27" s="3">
        <f>SUBTOTAL(109,Orange[American Sign Language Total])</f>
        <v>133</v>
      </c>
      <c r="D27" s="3">
        <f>SUBTOTAL(109,Orange[Arabic Total])</f>
        <v>21</v>
      </c>
      <c r="E27" s="3">
        <f>SUBTOTAL(109,Orange[Armenian Total])</f>
        <v>0</v>
      </c>
      <c r="F27" s="3">
        <f>SUBTOTAL(109,Orange[Bengali Total])</f>
        <v>0</v>
      </c>
      <c r="G27" s="3">
        <f>SUBTOTAL(109,Orange[Chinese (Mandarin or Cantonese) Total])</f>
        <v>501</v>
      </c>
      <c r="H27" s="3">
        <f>SUBTOTAL(109,Orange[Farsi (Persian) Total])</f>
        <v>4</v>
      </c>
      <c r="I27" s="3">
        <f>SUBTOTAL(109,Orange[French Total])</f>
        <v>627</v>
      </c>
      <c r="J27" s="3">
        <f>SUBTOTAL(109,Orange[German Total])</f>
        <v>41</v>
      </c>
      <c r="K27" s="3">
        <f>SUBTOTAL(109,Orange[Hebrew Total])</f>
        <v>4</v>
      </c>
      <c r="L27" s="3">
        <f>SUBTOTAL(109,Orange[Hindi Total])</f>
        <v>7</v>
      </c>
      <c r="M27" s="3">
        <f>SUBTOTAL(109,Orange[Hmong Total])</f>
        <v>0</v>
      </c>
      <c r="N27" s="3">
        <f>SUBTOTAL(109,Orange[Italian Total])</f>
        <v>4</v>
      </c>
      <c r="O27" s="3">
        <f>SUBTOTAL(109,Orange[Japanese Total])</f>
        <v>74</v>
      </c>
      <c r="P27" s="3">
        <f>SUBTOTAL(109,Orange[Korean Total])</f>
        <v>278</v>
      </c>
      <c r="Q27" s="3">
        <f>SUBTOTAL(109,Orange[Latin Total])</f>
        <v>47</v>
      </c>
      <c r="R27" s="3">
        <f>SUBTOTAL(109,Orange[Portuguese Total])</f>
        <v>2</v>
      </c>
      <c r="S27" s="3">
        <f>SUBTOTAL(109,Orange[Punjabi Total])</f>
        <v>1</v>
      </c>
      <c r="T27" s="3">
        <f>SUBTOTAL(109,Orange[Russian Total])</f>
        <v>12</v>
      </c>
      <c r="U27" s="3">
        <f>SUBTOTAL(109,Orange[Spanish Total])</f>
        <v>7020</v>
      </c>
      <c r="V27" s="3">
        <f>SUBTOTAL(109,Orange[Tagalog (Filipino) Total])</f>
        <v>11</v>
      </c>
      <c r="W27" s="3">
        <f>SUBTOTAL(109,Orange[Urdu Total])</f>
        <v>0</v>
      </c>
      <c r="X27" s="3">
        <f>SUBTOTAL(109,Orange[Vietnamese Total])</f>
        <v>852</v>
      </c>
      <c r="Y27" s="3">
        <f>SUBTOTAL(109,Orange[Other Total])</f>
        <v>33</v>
      </c>
      <c r="Z27" s="3">
        <f>SUBTOTAL(109,Orange[Total Seals per Local Educational Agency])</f>
        <v>9672</v>
      </c>
    </row>
  </sheetData>
  <sortState xmlns:xlrd2="http://schemas.microsoft.com/office/spreadsheetml/2017/richdata2" ref="A2:BL19">
    <sortCondition ref="A2:A19"/>
  </sortState>
  <conditionalFormatting sqref="A1:B2">
    <cfRule type="duplicateValues" dxfId="2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34A9C-6C8A-4183-8DDE-8E6B07850840}">
  <dimension ref="A1:Z12"/>
  <sheetViews>
    <sheetView showGridLines="0" zoomScaleNormal="100" workbookViewId="0">
      <pane xSplit="1" ySplit="2" topLeftCell="B3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RowHeight="15.5" x14ac:dyDescent="0.35"/>
  <cols>
    <col min="1" max="1" width="32.84375" bestFit="1" customWidth="1"/>
    <col min="2" max="2" width="40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19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475</v>
      </c>
      <c r="B3" s="4" t="s">
        <v>475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3</v>
      </c>
      <c r="V3">
        <v>0</v>
      </c>
      <c r="W3">
        <v>0</v>
      </c>
      <c r="X3">
        <v>0</v>
      </c>
      <c r="Y3">
        <v>0</v>
      </c>
      <c r="Z3">
        <f>SUM(Placer1[[#This Row],[Participating Schools]:[Other Total]])</f>
        <v>6</v>
      </c>
    </row>
    <row r="4" spans="1:26" x14ac:dyDescent="0.35">
      <c r="A4" s="14" t="s">
        <v>1225</v>
      </c>
      <c r="B4" s="4" t="s">
        <v>858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f>SUM(Placer1[[#This Row],[Participating Schools]:[Other Total]])</f>
        <v>1</v>
      </c>
    </row>
    <row r="5" spans="1:26" x14ac:dyDescent="0.35">
      <c r="A5" s="14" t="s">
        <v>1226</v>
      </c>
      <c r="B5" s="4" t="s">
        <v>859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0</v>
      </c>
      <c r="U5">
        <v>3</v>
      </c>
      <c r="V5">
        <v>0</v>
      </c>
      <c r="W5">
        <v>0</v>
      </c>
      <c r="X5">
        <v>0</v>
      </c>
      <c r="Y5">
        <v>0</v>
      </c>
      <c r="Z5">
        <f>SUM(Placer1[[#This Row],[Participating Schools]:[Other Total]])</f>
        <v>5</v>
      </c>
    </row>
    <row r="6" spans="1:26" ht="31" x14ac:dyDescent="0.35">
      <c r="A6" s="14" t="s">
        <v>476</v>
      </c>
      <c r="B6" s="4" t="s">
        <v>860</v>
      </c>
      <c r="C6">
        <v>59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161</v>
      </c>
      <c r="V6">
        <v>0</v>
      </c>
      <c r="W6">
        <v>0</v>
      </c>
      <c r="X6">
        <v>0</v>
      </c>
      <c r="Y6">
        <v>0</v>
      </c>
      <c r="Z6" s="6">
        <f>SUM(Placer1[[#This Row],[Participating Schools]:[Other Total]])</f>
        <v>221</v>
      </c>
    </row>
    <row r="7" spans="1:26" x14ac:dyDescent="0.35">
      <c r="A7" s="14" t="s">
        <v>477</v>
      </c>
      <c r="B7" s="4" t="s">
        <v>478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30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130</v>
      </c>
      <c r="V7">
        <v>0</v>
      </c>
      <c r="W7">
        <v>0</v>
      </c>
      <c r="X7">
        <v>0</v>
      </c>
      <c r="Y7">
        <v>0</v>
      </c>
      <c r="Z7">
        <f>SUM(Placer1[[#This Row],[Participating Schools]:[Other Total]])</f>
        <v>160</v>
      </c>
    </row>
    <row r="8" spans="1:26" ht="62" x14ac:dyDescent="0.35">
      <c r="A8" s="14" t="s">
        <v>479</v>
      </c>
      <c r="B8" s="4" t="s">
        <v>480</v>
      </c>
      <c r="C8">
        <v>7</v>
      </c>
      <c r="D8">
        <v>1</v>
      </c>
      <c r="E8">
        <v>0</v>
      </c>
      <c r="F8">
        <v>0</v>
      </c>
      <c r="G8">
        <v>1</v>
      </c>
      <c r="H8">
        <v>2</v>
      </c>
      <c r="I8">
        <v>44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0</v>
      </c>
      <c r="Q8">
        <v>0</v>
      </c>
      <c r="R8">
        <v>0</v>
      </c>
      <c r="S8">
        <v>1</v>
      </c>
      <c r="T8">
        <v>22</v>
      </c>
      <c r="U8">
        <v>457</v>
      </c>
      <c r="V8">
        <v>7</v>
      </c>
      <c r="W8">
        <v>0</v>
      </c>
      <c r="X8">
        <v>1</v>
      </c>
      <c r="Y8">
        <v>23</v>
      </c>
      <c r="Z8" s="6">
        <f>SUM(Placer1[[#This Row],[Participating Schools]:[Other Total]])</f>
        <v>567</v>
      </c>
    </row>
    <row r="9" spans="1:26" x14ac:dyDescent="0.35">
      <c r="A9" s="14" t="s">
        <v>481</v>
      </c>
      <c r="B9" s="4" t="s">
        <v>482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12</v>
      </c>
      <c r="J9">
        <v>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136</v>
      </c>
      <c r="V9">
        <v>0</v>
      </c>
      <c r="W9">
        <v>0</v>
      </c>
      <c r="X9">
        <v>0</v>
      </c>
      <c r="Y9">
        <v>0</v>
      </c>
      <c r="Z9" s="6">
        <f>SUM(Placer1[[#This Row],[Participating Schools]:[Other Total]])</f>
        <v>150</v>
      </c>
    </row>
    <row r="10" spans="1:26" x14ac:dyDescent="0.35">
      <c r="A10" s="14" t="s">
        <v>483</v>
      </c>
      <c r="B10" s="4" t="s">
        <v>484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102</v>
      </c>
      <c r="V10">
        <v>0</v>
      </c>
      <c r="W10">
        <v>0</v>
      </c>
      <c r="X10">
        <v>0</v>
      </c>
      <c r="Y10">
        <v>0</v>
      </c>
      <c r="Z10" s="6">
        <f>SUM(Placer1[[#This Row],[Participating Schools]:[Other Total]])</f>
        <v>110</v>
      </c>
    </row>
    <row r="11" spans="1:26" x14ac:dyDescent="0.35">
      <c r="A11" s="14" t="s">
        <v>132</v>
      </c>
      <c r="B11" s="4" t="s">
        <v>132</v>
      </c>
      <c r="C11">
        <v>0</v>
      </c>
      <c r="D11">
        <v>0</v>
      </c>
      <c r="E11">
        <v>0</v>
      </c>
      <c r="F11">
        <v>0</v>
      </c>
      <c r="G11">
        <v>10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7</v>
      </c>
      <c r="V11">
        <v>0</v>
      </c>
      <c r="W11">
        <v>0</v>
      </c>
      <c r="X11">
        <v>0</v>
      </c>
      <c r="Y11">
        <v>1</v>
      </c>
      <c r="Z11" s="6">
        <f>SUM(Placer1[[#This Row],[Participating Schools]:[Other Total]])</f>
        <v>18</v>
      </c>
    </row>
    <row r="12" spans="1:26" x14ac:dyDescent="0.35">
      <c r="A12" s="9" t="s">
        <v>664</v>
      </c>
      <c r="B12" s="8" t="s">
        <v>683</v>
      </c>
      <c r="C12" s="3">
        <f>SUBTOTAL(109,Placer1[American Sign Language Total])</f>
        <v>66</v>
      </c>
      <c r="D12" s="3">
        <f>SUBTOTAL(109,Placer1[Arabic Total])</f>
        <v>1</v>
      </c>
      <c r="E12" s="3">
        <f>SUBTOTAL(109,Placer1[Armenian Total])</f>
        <v>0</v>
      </c>
      <c r="F12" s="3">
        <f>SUBTOTAL(109,Placer1[Bengali Total])</f>
        <v>0</v>
      </c>
      <c r="G12" s="3">
        <f>SUBTOTAL(109,Placer1[Chinese (Mandarin or Cantonese) Total])</f>
        <v>13</v>
      </c>
      <c r="H12" s="3">
        <f>SUBTOTAL(109,Placer1[Farsi (Persian) Total])</f>
        <v>2</v>
      </c>
      <c r="I12" s="3">
        <f>SUBTOTAL(109,Placer1[French Total])</f>
        <v>65</v>
      </c>
      <c r="J12" s="3">
        <f>SUBTOTAL(109,Placer1[German Total])</f>
        <v>32</v>
      </c>
      <c r="K12" s="3">
        <f>SUBTOTAL(109,Placer1[Hebrew Total])</f>
        <v>0</v>
      </c>
      <c r="L12" s="3">
        <f>SUBTOTAL(109,Placer1[Hindi Total])</f>
        <v>0</v>
      </c>
      <c r="M12" s="3">
        <f>SUBTOTAL(109,Placer1[Hmong Total])</f>
        <v>0</v>
      </c>
      <c r="N12" s="3">
        <f>SUBTOTAL(109,Placer1[Italian Total])</f>
        <v>0</v>
      </c>
      <c r="O12" s="3">
        <f>SUBTOTAL(109,Placer1[Japanese Total])</f>
        <v>1</v>
      </c>
      <c r="P12" s="3">
        <f>SUBTOTAL(109,Placer1[Korean Total])</f>
        <v>0</v>
      </c>
      <c r="Q12" s="3">
        <f>SUBTOTAL(109,Placer1[Latin Total])</f>
        <v>3</v>
      </c>
      <c r="R12" s="3">
        <f>SUBTOTAL(109,Placer1[Portuguese Total])</f>
        <v>0</v>
      </c>
      <c r="S12" s="3">
        <f>SUBTOTAL(109,Placer1[Punjabi Total])</f>
        <v>1</v>
      </c>
      <c r="T12" s="3">
        <f>SUBTOTAL(109,Placer1[Russian Total])</f>
        <v>23</v>
      </c>
      <c r="U12" s="3">
        <f>SUBTOTAL(109,Placer1[Spanish Total])</f>
        <v>999</v>
      </c>
      <c r="V12" s="3">
        <f>SUBTOTAL(109,Placer1[Tagalog (Filipino) Total])</f>
        <v>7</v>
      </c>
      <c r="W12" s="3">
        <f>SUBTOTAL(109,Placer1[Urdu Total])</f>
        <v>0</v>
      </c>
      <c r="X12" s="3">
        <f>SUBTOTAL(109,Placer1[Vietnamese Total])</f>
        <v>1</v>
      </c>
      <c r="Y12" s="3">
        <f>SUBTOTAL(109,Placer1[Other Total])</f>
        <v>24</v>
      </c>
      <c r="Z12" s="3">
        <f>SUBTOTAL(109,Placer1[Total Seals per Local Educational Agency])</f>
        <v>1238</v>
      </c>
    </row>
  </sheetData>
  <conditionalFormatting sqref="A1:B2">
    <cfRule type="duplicateValues" dxfId="25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Z4"/>
  <sheetViews>
    <sheetView showGridLines="0" workbookViewId="0">
      <pane xSplit="1" ySplit="2" topLeftCell="B3" activePane="bottomRight" state="frozen"/>
      <selection activeCell="A31" sqref="A31"/>
      <selection pane="topRight" activeCell="A31" sqref="A31"/>
      <selection pane="bottomLeft" activeCell="A31" sqref="A31"/>
      <selection pane="bottomRight"/>
    </sheetView>
  </sheetViews>
  <sheetFormatPr defaultRowHeight="15.5" x14ac:dyDescent="0.35"/>
  <cols>
    <col min="1" max="1" width="24.69140625" bestFit="1" customWidth="1"/>
    <col min="2" max="2" width="34.07421875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76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2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1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43</v>
      </c>
    </row>
    <row r="2" spans="1:26" ht="62" x14ac:dyDescent="0.35">
      <c r="A2" s="2" t="s">
        <v>69</v>
      </c>
      <c r="B2" s="2" t="s">
        <v>70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46.5" x14ac:dyDescent="0.35">
      <c r="A3" s="14" t="s">
        <v>133</v>
      </c>
      <c r="B3" s="4" t="s">
        <v>861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9</v>
      </c>
      <c r="V3">
        <v>0</v>
      </c>
      <c r="W3">
        <v>0</v>
      </c>
      <c r="X3">
        <v>0</v>
      </c>
      <c r="Y3">
        <v>0</v>
      </c>
      <c r="Z3">
        <f>SUM(Plumas[[American Sign Language Total]:[Other Total]])</f>
        <v>9</v>
      </c>
    </row>
    <row r="4" spans="1:26" x14ac:dyDescent="0.35">
      <c r="A4" s="9" t="s">
        <v>180</v>
      </c>
      <c r="B4" s="8" t="s">
        <v>187</v>
      </c>
      <c r="C4">
        <f>SUBTOTAL(109,Plumas[American Sign Language Total])</f>
        <v>0</v>
      </c>
      <c r="D4">
        <f>SUBTOTAL(109,Plumas[Arabic Total])</f>
        <v>0</v>
      </c>
      <c r="E4">
        <f>SUBTOTAL(109,Plumas[Armenian Total])</f>
        <v>0</v>
      </c>
      <c r="F4">
        <f>SUBTOTAL(109,Plumas[Bengali Total])</f>
        <v>0</v>
      </c>
      <c r="G4">
        <f>SUBTOTAL(109,Plumas[Chinese (Mandarin or Cantonese) Total])</f>
        <v>0</v>
      </c>
      <c r="H4">
        <f>SUBTOTAL(109,Plumas[Farsi (Persian) Total])</f>
        <v>0</v>
      </c>
      <c r="I4">
        <f>SUBTOTAL(109,Plumas[French Total])</f>
        <v>0</v>
      </c>
      <c r="J4">
        <f>SUBTOTAL(109,Plumas[German Total])</f>
        <v>0</v>
      </c>
      <c r="K4">
        <f>SUBTOTAL(109,Plumas[Hebrew Total])</f>
        <v>0</v>
      </c>
      <c r="L4">
        <f>SUBTOTAL(109,Plumas[Hindi Total])</f>
        <v>0</v>
      </c>
      <c r="M4">
        <f>SUBTOTAL(109,Plumas[Hmong Total])</f>
        <v>0</v>
      </c>
      <c r="N4">
        <f>SUBTOTAL(109,Plumas[Italian Total])</f>
        <v>0</v>
      </c>
      <c r="O4">
        <f>SUBTOTAL(109,Plumas[Japanese Total])</f>
        <v>0</v>
      </c>
      <c r="P4">
        <f>SUBTOTAL(109,Plumas[Korean Total])</f>
        <v>0</v>
      </c>
      <c r="Q4">
        <f>SUBTOTAL(109,Plumas[Latin Total])</f>
        <v>0</v>
      </c>
      <c r="R4">
        <f>SUBTOTAL(109,Plumas[Portuguese Total])</f>
        <v>0</v>
      </c>
      <c r="S4">
        <f>SUBTOTAL(109,Plumas[Punjabi Total])</f>
        <v>0</v>
      </c>
      <c r="T4">
        <f>SUBTOTAL(109,Plumas[Russian Total])</f>
        <v>0</v>
      </c>
      <c r="U4">
        <f>SUBTOTAL(109,Plumas[Spanish Total])</f>
        <v>9</v>
      </c>
      <c r="V4">
        <f>SUBTOTAL(109,Plumas[Tagalog (Filipino) Total])</f>
        <v>0</v>
      </c>
      <c r="W4">
        <f>SUBTOTAL(109,Plumas[Urdu Total])</f>
        <v>0</v>
      </c>
      <c r="X4">
        <f>SUBTOTAL(109,Plumas[Vietnamese Total])</f>
        <v>0</v>
      </c>
      <c r="Y4">
        <f>SUBTOTAL(109,Plumas[Other Total])</f>
        <v>0</v>
      </c>
      <c r="Z4">
        <f>SUBTOTAL(109,Plumas[Total Seals per Local Educational Agency])</f>
        <v>9</v>
      </c>
    </row>
  </sheetData>
  <conditionalFormatting sqref="A1:B2">
    <cfRule type="duplicateValues" dxfId="24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5E062-0484-4986-870B-6F25A84AE9A2}">
  <dimension ref="A1:Z27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.5" x14ac:dyDescent="0.35"/>
  <cols>
    <col min="1" max="1" width="43.84375" customWidth="1"/>
    <col min="2" max="2" width="40.07421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613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7" t="s">
        <v>0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486</v>
      </c>
      <c r="B3" s="4" t="s">
        <v>863</v>
      </c>
      <c r="C3">
        <v>12</v>
      </c>
      <c r="D3">
        <v>1</v>
      </c>
      <c r="E3">
        <v>0</v>
      </c>
      <c r="F3">
        <v>0</v>
      </c>
      <c r="G3">
        <v>0</v>
      </c>
      <c r="H3">
        <v>0</v>
      </c>
      <c r="I3">
        <v>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1</v>
      </c>
      <c r="Q3">
        <v>0</v>
      </c>
      <c r="R3">
        <v>0</v>
      </c>
      <c r="S3">
        <v>0</v>
      </c>
      <c r="T3">
        <v>2</v>
      </c>
      <c r="U3">
        <v>232</v>
      </c>
      <c r="V3">
        <v>0</v>
      </c>
      <c r="W3">
        <v>0</v>
      </c>
      <c r="X3">
        <v>0</v>
      </c>
      <c r="Y3">
        <v>1</v>
      </c>
      <c r="Z3">
        <f>SUM(Riverside[[#This Row],[American Sign Language Total]:[Other Total]])</f>
        <v>257</v>
      </c>
    </row>
    <row r="4" spans="1:26" x14ac:dyDescent="0.35">
      <c r="A4" s="14" t="s">
        <v>487</v>
      </c>
      <c r="B4" s="4" t="s">
        <v>864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24</v>
      </c>
      <c r="V4">
        <v>0</v>
      </c>
      <c r="W4">
        <v>0</v>
      </c>
      <c r="X4">
        <v>0</v>
      </c>
      <c r="Y4">
        <v>0</v>
      </c>
      <c r="Z4">
        <f>SUM(Riverside[[#This Row],[American Sign Language Total]:[Other Total]])</f>
        <v>25</v>
      </c>
    </row>
    <row r="5" spans="1:26" ht="46.5" x14ac:dyDescent="0.35">
      <c r="A5" s="16" t="s">
        <v>134</v>
      </c>
      <c r="B5" s="4" t="s">
        <v>488</v>
      </c>
      <c r="C5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1</v>
      </c>
      <c r="Q5">
        <v>0</v>
      </c>
      <c r="R5">
        <v>0</v>
      </c>
      <c r="S5">
        <v>0</v>
      </c>
      <c r="T5">
        <v>0</v>
      </c>
      <c r="U5">
        <v>85</v>
      </c>
      <c r="V5">
        <v>1</v>
      </c>
      <c r="W5">
        <v>0</v>
      </c>
      <c r="X5">
        <v>0</v>
      </c>
      <c r="Y5">
        <v>2</v>
      </c>
      <c r="Z5">
        <f>SUM(Riverside[[#This Row],[American Sign Language Total]:[Other Total]])</f>
        <v>112</v>
      </c>
    </row>
    <row r="6" spans="1:26" ht="31" x14ac:dyDescent="0.35">
      <c r="A6" s="14" t="s">
        <v>135</v>
      </c>
      <c r="B6" s="4" t="s">
        <v>865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310</v>
      </c>
      <c r="V6">
        <v>0</v>
      </c>
      <c r="W6">
        <v>0</v>
      </c>
      <c r="X6">
        <v>0</v>
      </c>
      <c r="Y6">
        <v>0</v>
      </c>
      <c r="Z6">
        <f>SUM(Riverside[[#This Row],[American Sign Language Total]:[Other Total]])</f>
        <v>310</v>
      </c>
    </row>
    <row r="7" spans="1:26" ht="55" customHeight="1" x14ac:dyDescent="0.35">
      <c r="A7" s="14" t="s">
        <v>485</v>
      </c>
      <c r="B7" s="4" t="s">
        <v>866</v>
      </c>
      <c r="C7">
        <v>0</v>
      </c>
      <c r="D7">
        <v>4</v>
      </c>
      <c r="E7">
        <v>0</v>
      </c>
      <c r="F7">
        <v>0</v>
      </c>
      <c r="G7">
        <v>51</v>
      </c>
      <c r="H7">
        <v>0</v>
      </c>
      <c r="I7">
        <v>6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1</v>
      </c>
      <c r="Q7">
        <v>0</v>
      </c>
      <c r="R7">
        <v>0</v>
      </c>
      <c r="S7">
        <v>0</v>
      </c>
      <c r="T7">
        <v>0</v>
      </c>
      <c r="U7">
        <v>522</v>
      </c>
      <c r="V7">
        <v>0</v>
      </c>
      <c r="W7">
        <v>1</v>
      </c>
      <c r="X7">
        <v>0</v>
      </c>
      <c r="Y7">
        <v>3</v>
      </c>
      <c r="Z7">
        <f>SUM(Riverside[[#This Row],[American Sign Language Total]:[Other Total]])</f>
        <v>589</v>
      </c>
    </row>
    <row r="8" spans="1:26" ht="46.5" x14ac:dyDescent="0.35">
      <c r="A8" s="14" t="s">
        <v>489</v>
      </c>
      <c r="B8" s="4" t="s">
        <v>867</v>
      </c>
      <c r="C8">
        <v>10</v>
      </c>
      <c r="D8">
        <v>0</v>
      </c>
      <c r="E8">
        <v>0</v>
      </c>
      <c r="F8">
        <v>0</v>
      </c>
      <c r="G8">
        <v>2</v>
      </c>
      <c r="H8">
        <v>0</v>
      </c>
      <c r="I8">
        <v>22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320</v>
      </c>
      <c r="V8">
        <v>0</v>
      </c>
      <c r="W8">
        <v>0</v>
      </c>
      <c r="X8">
        <v>0</v>
      </c>
      <c r="Y8">
        <v>0</v>
      </c>
      <c r="Z8">
        <f>SUM(Riverside[[#This Row],[American Sign Language Total]:[Other Total]])</f>
        <v>354</v>
      </c>
    </row>
    <row r="9" spans="1:26" ht="31" x14ac:dyDescent="0.35">
      <c r="A9" s="14" t="s">
        <v>490</v>
      </c>
      <c r="B9" s="4" t="s">
        <v>868</v>
      </c>
      <c r="C9">
        <v>1</v>
      </c>
      <c r="D9">
        <v>0</v>
      </c>
      <c r="E9">
        <v>0</v>
      </c>
      <c r="F9">
        <v>0</v>
      </c>
      <c r="G9">
        <v>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0</v>
      </c>
      <c r="S9">
        <v>0</v>
      </c>
      <c r="T9">
        <v>0</v>
      </c>
      <c r="U9">
        <v>241</v>
      </c>
      <c r="V9">
        <v>2</v>
      </c>
      <c r="W9">
        <v>0</v>
      </c>
      <c r="X9">
        <v>0</v>
      </c>
      <c r="Y9">
        <v>0</v>
      </c>
      <c r="Z9">
        <f>SUM(Riverside[[#This Row],[American Sign Language Total]:[Other Total]])</f>
        <v>248</v>
      </c>
    </row>
    <row r="10" spans="1:26" ht="31" x14ac:dyDescent="0.35">
      <c r="A10" s="14" t="s">
        <v>491</v>
      </c>
      <c r="B10" s="4" t="s">
        <v>869</v>
      </c>
      <c r="C10">
        <v>5</v>
      </c>
      <c r="D10">
        <v>1</v>
      </c>
      <c r="E10">
        <v>0</v>
      </c>
      <c r="F10">
        <v>0</v>
      </c>
      <c r="G10">
        <v>0</v>
      </c>
      <c r="H10">
        <v>0</v>
      </c>
      <c r="I10">
        <v>7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284</v>
      </c>
      <c r="V10">
        <v>0</v>
      </c>
      <c r="W10">
        <v>0</v>
      </c>
      <c r="X10">
        <v>0</v>
      </c>
      <c r="Y10">
        <v>0</v>
      </c>
      <c r="Z10">
        <f>SUM(Riverside[[#This Row],[American Sign Language Total]:[Other Total]])</f>
        <v>297</v>
      </c>
    </row>
    <row r="11" spans="1:26" ht="31" x14ac:dyDescent="0.35">
      <c r="A11" s="14" t="s">
        <v>492</v>
      </c>
      <c r="B11" s="4" t="s">
        <v>493</v>
      </c>
      <c r="C11">
        <v>0</v>
      </c>
      <c r="D11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110</v>
      </c>
      <c r="V11">
        <v>0</v>
      </c>
      <c r="W11">
        <v>0</v>
      </c>
      <c r="X11">
        <v>0</v>
      </c>
      <c r="Y11">
        <v>0</v>
      </c>
      <c r="Z11" s="6">
        <f>SUM(Riverside[[#This Row],[American Sign Language Total]:[Other Total]])</f>
        <v>111</v>
      </c>
    </row>
    <row r="12" spans="1:26" ht="31" x14ac:dyDescent="0.35">
      <c r="A12" s="14" t="s">
        <v>136</v>
      </c>
      <c r="B12" s="4" t="s">
        <v>1208</v>
      </c>
      <c r="C12">
        <v>2</v>
      </c>
      <c r="D12">
        <v>0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395</v>
      </c>
      <c r="V12">
        <v>1</v>
      </c>
      <c r="W12">
        <v>0</v>
      </c>
      <c r="X12">
        <v>0</v>
      </c>
      <c r="Y12">
        <v>3</v>
      </c>
      <c r="Z12" s="6">
        <f>SUM(Riverside[[#This Row],[American Sign Language Total]:[Other Total]])</f>
        <v>403</v>
      </c>
    </row>
    <row r="13" spans="1:26" ht="31" x14ac:dyDescent="0.35">
      <c r="A13" s="14" t="s">
        <v>494</v>
      </c>
      <c r="B13" s="4" t="s">
        <v>495</v>
      </c>
      <c r="C13">
        <v>78</v>
      </c>
      <c r="D13">
        <v>0</v>
      </c>
      <c r="E13">
        <v>0</v>
      </c>
      <c r="F13">
        <v>0</v>
      </c>
      <c r="G13">
        <v>6</v>
      </c>
      <c r="H13">
        <v>1</v>
      </c>
      <c r="I13">
        <v>23</v>
      </c>
      <c r="J13">
        <v>6</v>
      </c>
      <c r="K13">
        <v>0</v>
      </c>
      <c r="L13">
        <v>0</v>
      </c>
      <c r="M13">
        <v>0</v>
      </c>
      <c r="N13">
        <v>1</v>
      </c>
      <c r="O13">
        <v>1</v>
      </c>
      <c r="P13">
        <v>0</v>
      </c>
      <c r="Q13">
        <v>0</v>
      </c>
      <c r="R13">
        <v>1</v>
      </c>
      <c r="S13">
        <v>0</v>
      </c>
      <c r="T13">
        <v>0</v>
      </c>
      <c r="U13">
        <v>167</v>
      </c>
      <c r="V13">
        <v>0</v>
      </c>
      <c r="W13">
        <v>0</v>
      </c>
      <c r="X13">
        <v>0</v>
      </c>
      <c r="Y13">
        <v>0</v>
      </c>
      <c r="Z13" s="6">
        <f>SUM(Riverside[[#This Row],[American Sign Language Total]:[Other Total]])</f>
        <v>284</v>
      </c>
    </row>
    <row r="14" spans="1:26" x14ac:dyDescent="0.35">
      <c r="A14" s="14" t="s">
        <v>496</v>
      </c>
      <c r="B14" s="4" t="s">
        <v>496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</v>
      </c>
      <c r="U14">
        <v>43</v>
      </c>
      <c r="V14">
        <v>0</v>
      </c>
      <c r="W14">
        <v>0</v>
      </c>
      <c r="X14">
        <v>0</v>
      </c>
      <c r="Y14">
        <v>1</v>
      </c>
      <c r="Z14">
        <f>SUM(Riverside[[#This Row],[American Sign Language Total]:[Other Total]])</f>
        <v>45</v>
      </c>
    </row>
    <row r="15" spans="1:26" ht="46.5" x14ac:dyDescent="0.35">
      <c r="A15" s="14" t="s">
        <v>497</v>
      </c>
      <c r="B15" s="4" t="s">
        <v>870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30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10</v>
      </c>
      <c r="R15">
        <v>0</v>
      </c>
      <c r="S15">
        <v>0</v>
      </c>
      <c r="T15">
        <v>0</v>
      </c>
      <c r="U15">
        <v>249</v>
      </c>
      <c r="V15">
        <v>0</v>
      </c>
      <c r="W15">
        <v>0</v>
      </c>
      <c r="X15">
        <v>0</v>
      </c>
      <c r="Y15">
        <v>0</v>
      </c>
      <c r="Z15" s="6">
        <f>SUM(Riverside[[#This Row],[American Sign Language Total]:[Other Total]])</f>
        <v>289</v>
      </c>
    </row>
    <row r="16" spans="1:26" x14ac:dyDescent="0.35">
      <c r="A16" s="14" t="s">
        <v>498</v>
      </c>
      <c r="B16" s="4" t="s">
        <v>499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0</v>
      </c>
      <c r="X16">
        <v>0</v>
      </c>
      <c r="Y16">
        <v>0</v>
      </c>
      <c r="Z16" s="6">
        <f>SUM(Riverside[[#This Row],[American Sign Language Total]:[Other Total]])</f>
        <v>2</v>
      </c>
    </row>
    <row r="17" spans="1:26" ht="46.5" x14ac:dyDescent="0.35">
      <c r="A17" s="14" t="s">
        <v>500</v>
      </c>
      <c r="B17" s="4" t="s">
        <v>871</v>
      </c>
      <c r="C17">
        <v>108</v>
      </c>
      <c r="D17">
        <v>0</v>
      </c>
      <c r="E17">
        <v>0</v>
      </c>
      <c r="F17">
        <v>0</v>
      </c>
      <c r="G17">
        <v>1</v>
      </c>
      <c r="H17">
        <v>0</v>
      </c>
      <c r="I17">
        <v>22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194</v>
      </c>
      <c r="V17">
        <v>195</v>
      </c>
      <c r="W17">
        <v>0</v>
      </c>
      <c r="X17">
        <v>0</v>
      </c>
      <c r="Y17">
        <v>0</v>
      </c>
      <c r="Z17" s="6">
        <f>SUM(Riverside[[#This Row],[American Sign Language Total]:[Other Total]])</f>
        <v>520</v>
      </c>
    </row>
    <row r="18" spans="1:26" ht="46.5" x14ac:dyDescent="0.35">
      <c r="A18" s="14" t="s">
        <v>1227</v>
      </c>
      <c r="B18" s="4" t="s">
        <v>1207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7</v>
      </c>
      <c r="V18">
        <v>0</v>
      </c>
      <c r="W18">
        <v>0</v>
      </c>
      <c r="X18">
        <v>0</v>
      </c>
      <c r="Y18">
        <v>0</v>
      </c>
      <c r="Z18" s="6">
        <f>SUM(Riverside[[#This Row],[American Sign Language Total]:[Other Total]])</f>
        <v>9</v>
      </c>
    </row>
    <row r="19" spans="1:26" x14ac:dyDescent="0.35">
      <c r="A19" s="14" t="s">
        <v>501</v>
      </c>
      <c r="B19" s="4" t="s">
        <v>501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3</v>
      </c>
      <c r="V19">
        <v>0</v>
      </c>
      <c r="W19">
        <v>0</v>
      </c>
      <c r="X19">
        <v>0</v>
      </c>
      <c r="Y19">
        <v>0</v>
      </c>
      <c r="Z19" s="6">
        <f>SUM(Riverside[[#This Row],[American Sign Language Total]:[Other Total]])</f>
        <v>5</v>
      </c>
    </row>
    <row r="20" spans="1:26" ht="62" x14ac:dyDescent="0.35">
      <c r="A20" s="14" t="s">
        <v>502</v>
      </c>
      <c r="B20" s="4" t="s">
        <v>872</v>
      </c>
      <c r="C20">
        <v>30</v>
      </c>
      <c r="D20">
        <v>1</v>
      </c>
      <c r="E20">
        <v>0</v>
      </c>
      <c r="F20">
        <v>0</v>
      </c>
      <c r="G20">
        <v>14</v>
      </c>
      <c r="H20">
        <v>0</v>
      </c>
      <c r="I20">
        <v>15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340</v>
      </c>
      <c r="V20">
        <v>0</v>
      </c>
      <c r="W20">
        <v>0</v>
      </c>
      <c r="X20">
        <v>1</v>
      </c>
      <c r="Y20">
        <v>1</v>
      </c>
      <c r="Z20" s="6">
        <f>SUM(Riverside[[#This Row],[American Sign Language Total]:[Other Total]])</f>
        <v>402</v>
      </c>
    </row>
    <row r="21" spans="1:26" x14ac:dyDescent="0.35">
      <c r="A21" s="14" t="s">
        <v>862</v>
      </c>
      <c r="B21" s="4" t="s">
        <v>862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35</v>
      </c>
      <c r="V21">
        <v>0</v>
      </c>
      <c r="W21">
        <v>0</v>
      </c>
      <c r="X21">
        <v>0</v>
      </c>
      <c r="Y21">
        <v>0</v>
      </c>
      <c r="Z21" s="6">
        <f>SUM(Riverside[[#This Row],[American Sign Language Total]:[Other Total]])</f>
        <v>35</v>
      </c>
    </row>
    <row r="22" spans="1:26" x14ac:dyDescent="0.35">
      <c r="A22" s="14" t="s">
        <v>503</v>
      </c>
      <c r="B22" t="s">
        <v>873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54</v>
      </c>
      <c r="V22">
        <v>0</v>
      </c>
      <c r="W22">
        <v>0</v>
      </c>
      <c r="X22">
        <v>0</v>
      </c>
      <c r="Y22">
        <v>0</v>
      </c>
      <c r="Z22" s="6">
        <f>SUM(Riverside[[#This Row],[American Sign Language Total]:[Other Total]])</f>
        <v>54</v>
      </c>
    </row>
    <row r="23" spans="1:26" x14ac:dyDescent="0.35">
      <c r="A23" s="14" t="s">
        <v>137</v>
      </c>
      <c r="B23" s="4" t="s">
        <v>137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22</v>
      </c>
      <c r="V23" s="6">
        <v>0</v>
      </c>
      <c r="W23" s="6">
        <v>0</v>
      </c>
      <c r="X23" s="6">
        <v>0</v>
      </c>
      <c r="Y23" s="6">
        <v>0</v>
      </c>
      <c r="Z23" s="6">
        <f>SUM(Riverside[[#This Row],[American Sign Language Total]:[Other Total]])</f>
        <v>22</v>
      </c>
    </row>
    <row r="24" spans="1:26" x14ac:dyDescent="0.35">
      <c r="A24" s="14" t="s">
        <v>504</v>
      </c>
      <c r="B24" s="4" t="s">
        <v>504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2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1</v>
      </c>
      <c r="P24" s="6">
        <v>0</v>
      </c>
      <c r="Q24" s="6">
        <v>3</v>
      </c>
      <c r="R24" s="6">
        <v>0</v>
      </c>
      <c r="S24" s="6">
        <v>0</v>
      </c>
      <c r="T24" s="6">
        <v>0</v>
      </c>
      <c r="U24" s="6">
        <v>5</v>
      </c>
      <c r="V24" s="6">
        <v>0</v>
      </c>
      <c r="W24" s="6">
        <v>0</v>
      </c>
      <c r="X24" s="6">
        <v>0</v>
      </c>
      <c r="Y24" s="6">
        <v>0</v>
      </c>
      <c r="Z24" s="6">
        <f>SUM(Riverside[[#This Row],[American Sign Language Total]:[Other Total]])</f>
        <v>11</v>
      </c>
    </row>
    <row r="25" spans="1:26" ht="31" x14ac:dyDescent="0.35">
      <c r="A25" s="14" t="s">
        <v>505</v>
      </c>
      <c r="B25" s="4" t="s">
        <v>874</v>
      </c>
      <c r="C25" s="6">
        <v>65</v>
      </c>
      <c r="D25" s="6">
        <v>1</v>
      </c>
      <c r="E25" s="6">
        <v>0</v>
      </c>
      <c r="F25" s="6">
        <v>0</v>
      </c>
      <c r="G25" s="6">
        <v>13</v>
      </c>
      <c r="H25" s="6">
        <v>0</v>
      </c>
      <c r="I25" s="6">
        <v>25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1</v>
      </c>
      <c r="P25" s="6">
        <v>1</v>
      </c>
      <c r="Q25" s="6">
        <v>0</v>
      </c>
      <c r="R25" s="6">
        <v>0</v>
      </c>
      <c r="S25" s="6">
        <v>0</v>
      </c>
      <c r="T25" s="6">
        <v>2</v>
      </c>
      <c r="U25" s="6">
        <v>279</v>
      </c>
      <c r="V25" s="6">
        <v>0</v>
      </c>
      <c r="W25" s="6">
        <v>0</v>
      </c>
      <c r="X25" s="6">
        <v>0</v>
      </c>
      <c r="Y25" s="6">
        <v>2</v>
      </c>
      <c r="Z25" s="6">
        <f>SUM(Riverside[[#This Row],[American Sign Language Total]:[Other Total]])</f>
        <v>389</v>
      </c>
    </row>
    <row r="26" spans="1:26" ht="31" x14ac:dyDescent="0.35">
      <c r="A26" s="14" t="s">
        <v>506</v>
      </c>
      <c r="B26" s="4" t="s">
        <v>507</v>
      </c>
      <c r="C26" s="6">
        <v>4</v>
      </c>
      <c r="D26" s="6">
        <v>1</v>
      </c>
      <c r="E26" s="6">
        <v>0</v>
      </c>
      <c r="F26" s="6">
        <v>0</v>
      </c>
      <c r="G26" s="6">
        <v>1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250</v>
      </c>
      <c r="V26" s="6">
        <v>1</v>
      </c>
      <c r="W26" s="6">
        <v>1</v>
      </c>
      <c r="X26" s="6">
        <v>0</v>
      </c>
      <c r="Y26" s="6">
        <v>1</v>
      </c>
      <c r="Z26" s="6">
        <f>SUM(Riverside[[#This Row],[American Sign Language Total]:[Other Total]])</f>
        <v>259</v>
      </c>
    </row>
    <row r="27" spans="1:26" x14ac:dyDescent="0.35">
      <c r="A27" s="9" t="s">
        <v>1205</v>
      </c>
      <c r="B27" s="8" t="s">
        <v>1209</v>
      </c>
      <c r="C27" s="3">
        <f>SUBTOTAL(109,Riverside[American Sign Language Total])</f>
        <v>339</v>
      </c>
      <c r="D27" s="3">
        <f>SUBTOTAL(109,Riverside[Arabic Total])</f>
        <v>11</v>
      </c>
      <c r="E27" s="3">
        <f>SUBTOTAL(109,Riverside[Armenian Total])</f>
        <v>0</v>
      </c>
      <c r="F27" s="3">
        <f>SUBTOTAL(109,Riverside[Bengali Total])</f>
        <v>0</v>
      </c>
      <c r="G27" s="3">
        <f>SUBTOTAL(109,Riverside[Chinese (Mandarin or Cantonese) Total])</f>
        <v>91</v>
      </c>
      <c r="H27" s="3">
        <f>SUBTOTAL(109,Riverside[Farsi (Persian) Total])</f>
        <v>1</v>
      </c>
      <c r="I27" s="3">
        <f>SUBTOTAL(109,Riverside[French Total])</f>
        <v>162</v>
      </c>
      <c r="J27" s="3">
        <f>SUBTOTAL(109,Riverside[German Total])</f>
        <v>6</v>
      </c>
      <c r="K27" s="3">
        <f>SUBTOTAL(109,Riverside[Hebrew Total])</f>
        <v>0</v>
      </c>
      <c r="L27" s="3">
        <f>SUBTOTAL(109,Riverside[Hindi Total])</f>
        <v>0</v>
      </c>
      <c r="M27" s="3">
        <f>SUBTOTAL(109,Riverside[Hmong Total])</f>
        <v>0</v>
      </c>
      <c r="N27" s="3">
        <f>SUBTOTAL(109,Riverside[Italian Total])</f>
        <v>1</v>
      </c>
      <c r="O27" s="3">
        <f>SUBTOTAL(109,Riverside[Japanese Total])</f>
        <v>7</v>
      </c>
      <c r="P27" s="3">
        <f>SUBTOTAL(109,Riverside[Korean Total])</f>
        <v>4</v>
      </c>
      <c r="Q27" s="3">
        <f>SUBTOTAL(109,Riverside[Latin Total])</f>
        <v>13</v>
      </c>
      <c r="R27" s="3">
        <f>SUBTOTAL(109,Riverside[Portuguese Total])</f>
        <v>1</v>
      </c>
      <c r="S27" s="3">
        <f>SUBTOTAL(109,Riverside[Punjabi Total])</f>
        <v>0</v>
      </c>
      <c r="T27" s="3">
        <f>SUBTOTAL(109,Riverside[Russian Total])</f>
        <v>6</v>
      </c>
      <c r="U27" s="3">
        <f>SUBTOTAL(109,Riverside[Spanish Total])</f>
        <v>4173</v>
      </c>
      <c r="V27" s="3">
        <f>SUBTOTAL(109,Riverside[Tagalog (Filipino) Total])</f>
        <v>200</v>
      </c>
      <c r="W27" s="3">
        <f>SUBTOTAL(109,Riverside[Urdu Total])</f>
        <v>2</v>
      </c>
      <c r="X27" s="3">
        <f>SUBTOTAL(109,Riverside[Vietnamese Total])</f>
        <v>1</v>
      </c>
      <c r="Y27" s="3">
        <f>SUBTOTAL(109,Riverside[Other Total])</f>
        <v>14</v>
      </c>
      <c r="Z27" s="3">
        <f>SUBTOTAL(109,Riverside[Total Seals per Local Educational Agency])</f>
        <v>5032</v>
      </c>
    </row>
  </sheetData>
  <conditionalFormatting sqref="A1:B2">
    <cfRule type="duplicateValues" dxfId="23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A713A-21A4-49CC-A3F7-C16EF77EED48}">
  <dimension ref="A1:Z20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55.23046875" bestFit="1" customWidth="1"/>
    <col min="2" max="2" width="33.53515625" style="4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8" t="s">
        <v>14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138</v>
      </c>
      <c r="B3" s="4" t="s">
        <v>509</v>
      </c>
      <c r="C3">
        <v>0</v>
      </c>
      <c r="D3">
        <v>1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5</v>
      </c>
      <c r="U3">
        <v>45</v>
      </c>
      <c r="V3">
        <v>1</v>
      </c>
      <c r="W3">
        <v>0</v>
      </c>
      <c r="X3">
        <v>0</v>
      </c>
      <c r="Y3">
        <v>8</v>
      </c>
      <c r="Z3">
        <f>SUM(Sacramento[[#This Row],[American Sign Language Total]:[Other Total]])</f>
        <v>61</v>
      </c>
    </row>
    <row r="4" spans="1:26" x14ac:dyDescent="0.35">
      <c r="A4" s="14" t="s">
        <v>139</v>
      </c>
      <c r="B4" s="4" t="s">
        <v>139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21</v>
      </c>
      <c r="U4">
        <v>2</v>
      </c>
      <c r="V4">
        <v>0</v>
      </c>
      <c r="W4">
        <v>0</v>
      </c>
      <c r="X4">
        <v>0</v>
      </c>
      <c r="Y4">
        <v>2</v>
      </c>
      <c r="Z4">
        <f>SUM(Sacramento[[#This Row],[American Sign Language Total]:[Other Total]])</f>
        <v>25</v>
      </c>
    </row>
    <row r="5" spans="1:26" ht="112" customHeight="1" x14ac:dyDescent="0.35">
      <c r="A5" s="14" t="s">
        <v>510</v>
      </c>
      <c r="B5" s="4" t="s">
        <v>880</v>
      </c>
      <c r="C5">
        <v>0</v>
      </c>
      <c r="D5">
        <v>3</v>
      </c>
      <c r="E5">
        <v>0</v>
      </c>
      <c r="F5">
        <v>0</v>
      </c>
      <c r="G5">
        <v>40</v>
      </c>
      <c r="H5">
        <v>5</v>
      </c>
      <c r="I5">
        <v>74</v>
      </c>
      <c r="J5">
        <v>0</v>
      </c>
      <c r="K5">
        <v>0</v>
      </c>
      <c r="L5">
        <v>5</v>
      </c>
      <c r="M5">
        <v>3</v>
      </c>
      <c r="N5">
        <v>0</v>
      </c>
      <c r="O5">
        <v>83</v>
      </c>
      <c r="P5">
        <v>2</v>
      </c>
      <c r="Q5">
        <v>0</v>
      </c>
      <c r="R5">
        <v>0</v>
      </c>
      <c r="S5">
        <v>6</v>
      </c>
      <c r="T5">
        <v>2</v>
      </c>
      <c r="U5">
        <v>346</v>
      </c>
      <c r="V5">
        <v>2</v>
      </c>
      <c r="W5">
        <v>6</v>
      </c>
      <c r="X5">
        <v>21</v>
      </c>
      <c r="Y5">
        <v>18</v>
      </c>
      <c r="Z5">
        <f>SUM(Sacramento[[#This Row],[American Sign Language Total]:[Other Total]])</f>
        <v>616</v>
      </c>
    </row>
    <row r="6" spans="1:26" ht="51" customHeight="1" x14ac:dyDescent="0.35">
      <c r="A6" s="14" t="s">
        <v>511</v>
      </c>
      <c r="B6" s="4" t="s">
        <v>512</v>
      </c>
      <c r="C6">
        <v>0</v>
      </c>
      <c r="D6">
        <v>2</v>
      </c>
      <c r="E6">
        <v>4</v>
      </c>
      <c r="F6">
        <v>0</v>
      </c>
      <c r="G6">
        <v>11</v>
      </c>
      <c r="H6">
        <v>1</v>
      </c>
      <c r="I6">
        <v>54</v>
      </c>
      <c r="J6">
        <v>8</v>
      </c>
      <c r="K6">
        <v>0</v>
      </c>
      <c r="L6">
        <v>2</v>
      </c>
      <c r="M6">
        <v>0</v>
      </c>
      <c r="N6">
        <v>0</v>
      </c>
      <c r="O6">
        <v>1</v>
      </c>
      <c r="P6">
        <v>5</v>
      </c>
      <c r="Q6">
        <v>0</v>
      </c>
      <c r="R6">
        <v>0</v>
      </c>
      <c r="S6">
        <v>1</v>
      </c>
      <c r="T6">
        <v>15</v>
      </c>
      <c r="U6">
        <v>209</v>
      </c>
      <c r="V6">
        <v>2</v>
      </c>
      <c r="W6">
        <v>1</v>
      </c>
      <c r="X6">
        <v>0</v>
      </c>
      <c r="Y6">
        <v>19</v>
      </c>
      <c r="Z6">
        <f>SUM(Sacramento[[#This Row],[American Sign Language Total]:[Other Total]])</f>
        <v>335</v>
      </c>
    </row>
    <row r="7" spans="1:26" x14ac:dyDescent="0.35">
      <c r="A7" s="14" t="s">
        <v>515</v>
      </c>
      <c r="B7" s="4" t="s">
        <v>515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30</v>
      </c>
      <c r="V7">
        <v>0</v>
      </c>
      <c r="W7">
        <v>0</v>
      </c>
      <c r="X7">
        <v>0</v>
      </c>
      <c r="Y7">
        <v>0</v>
      </c>
      <c r="Z7" s="6">
        <f>SUM(Sacramento[[#This Row],[American Sign Language Total]:[Other Total]])</f>
        <v>30</v>
      </c>
    </row>
    <row r="8" spans="1:26" x14ac:dyDescent="0.35">
      <c r="A8" s="14" t="s">
        <v>513</v>
      </c>
      <c r="B8" s="4" t="s">
        <v>513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22</v>
      </c>
      <c r="U8">
        <v>2</v>
      </c>
      <c r="V8">
        <v>0</v>
      </c>
      <c r="W8">
        <v>0</v>
      </c>
      <c r="X8">
        <v>0</v>
      </c>
      <c r="Y8">
        <v>11</v>
      </c>
      <c r="Z8">
        <f>SUM(Sacramento[[#This Row],[American Sign Language Total]:[Other Total]])</f>
        <v>36</v>
      </c>
    </row>
    <row r="9" spans="1:26" x14ac:dyDescent="0.35">
      <c r="A9" s="14" t="s">
        <v>514</v>
      </c>
      <c r="B9" s="4" t="s">
        <v>882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33</v>
      </c>
      <c r="V9">
        <v>0</v>
      </c>
      <c r="W9">
        <v>0</v>
      </c>
      <c r="X9">
        <v>0</v>
      </c>
      <c r="Y9">
        <v>0</v>
      </c>
      <c r="Z9">
        <f>SUM(Sacramento[[#This Row],[American Sign Language Total]:[Other Total]])</f>
        <v>33</v>
      </c>
    </row>
    <row r="10" spans="1:26" ht="46.5" x14ac:dyDescent="0.35">
      <c r="A10" s="14" t="s">
        <v>875</v>
      </c>
      <c r="B10" s="4" t="s">
        <v>881</v>
      </c>
      <c r="C10">
        <v>0</v>
      </c>
      <c r="D10">
        <v>2</v>
      </c>
      <c r="E10">
        <v>0</v>
      </c>
      <c r="F10">
        <v>0</v>
      </c>
      <c r="G10">
        <v>12</v>
      </c>
      <c r="H10">
        <v>3</v>
      </c>
      <c r="I10">
        <v>21</v>
      </c>
      <c r="J10">
        <v>0</v>
      </c>
      <c r="K10">
        <v>0</v>
      </c>
      <c r="L10">
        <v>9</v>
      </c>
      <c r="M10">
        <v>1</v>
      </c>
      <c r="N10">
        <v>2</v>
      </c>
      <c r="O10">
        <v>0</v>
      </c>
      <c r="P10">
        <v>0</v>
      </c>
      <c r="Q10">
        <v>0</v>
      </c>
      <c r="R10">
        <v>0</v>
      </c>
      <c r="S10">
        <v>12</v>
      </c>
      <c r="T10">
        <v>2</v>
      </c>
      <c r="U10">
        <v>133</v>
      </c>
      <c r="V10">
        <v>1</v>
      </c>
      <c r="W10">
        <v>6</v>
      </c>
      <c r="X10">
        <v>3</v>
      </c>
      <c r="Y10">
        <v>9</v>
      </c>
      <c r="Z10">
        <f>SUM(Sacramento[[#This Row],[American Sign Language Total]:[Other Total]])</f>
        <v>216</v>
      </c>
    </row>
    <row r="11" spans="1:26" x14ac:dyDescent="0.35">
      <c r="A11" s="14" t="s">
        <v>702</v>
      </c>
      <c r="B11" s="4" t="s">
        <v>702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4</v>
      </c>
      <c r="U11">
        <v>6</v>
      </c>
      <c r="V11">
        <v>0</v>
      </c>
      <c r="W11">
        <v>0</v>
      </c>
      <c r="X11">
        <v>0</v>
      </c>
      <c r="Y11">
        <v>0</v>
      </c>
      <c r="Z11">
        <f>SUM(Sacramento[[#This Row],[American Sign Language Total]:[Other Total]])</f>
        <v>12</v>
      </c>
    </row>
    <row r="12" spans="1:26" ht="31" x14ac:dyDescent="0.35">
      <c r="A12" s="14" t="s">
        <v>876</v>
      </c>
      <c r="B12" s="4" t="s">
        <v>876</v>
      </c>
      <c r="C12">
        <v>0</v>
      </c>
      <c r="D12">
        <v>0</v>
      </c>
      <c r="E12">
        <v>0</v>
      </c>
      <c r="F12">
        <v>0</v>
      </c>
      <c r="G12">
        <v>10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13</v>
      </c>
      <c r="V12">
        <v>0</v>
      </c>
      <c r="W12">
        <v>0</v>
      </c>
      <c r="X12">
        <v>0</v>
      </c>
      <c r="Y12">
        <v>0</v>
      </c>
      <c r="Z12">
        <f>SUM(Sacramento[[#This Row],[American Sign Language Total]:[Other Total]])</f>
        <v>24</v>
      </c>
    </row>
    <row r="13" spans="1:26" x14ac:dyDescent="0.35">
      <c r="A13" s="14" t="s">
        <v>140</v>
      </c>
      <c r="B13" s="4" t="s">
        <v>883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26</v>
      </c>
      <c r="V13">
        <v>0</v>
      </c>
      <c r="W13">
        <v>0</v>
      </c>
      <c r="X13">
        <v>0</v>
      </c>
      <c r="Y13">
        <v>0</v>
      </c>
      <c r="Z13" s="6">
        <f>SUM(Sacramento[[#This Row],[American Sign Language Total]:[Other Total]])</f>
        <v>26</v>
      </c>
    </row>
    <row r="14" spans="1:26" x14ac:dyDescent="0.35">
      <c r="A14" s="14" t="s">
        <v>877</v>
      </c>
      <c r="B14" s="4" t="s">
        <v>877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7</v>
      </c>
      <c r="V14">
        <v>1</v>
      </c>
      <c r="W14">
        <v>0</v>
      </c>
      <c r="X14">
        <v>0</v>
      </c>
      <c r="Y14">
        <v>0</v>
      </c>
      <c r="Z14" s="6">
        <f>SUM(Sacramento[[#This Row],[American Sign Language Total]:[Other Total]])</f>
        <v>8</v>
      </c>
    </row>
    <row r="15" spans="1:26" ht="139.5" x14ac:dyDescent="0.35">
      <c r="A15" s="14" t="s">
        <v>516</v>
      </c>
      <c r="B15" s="4" t="s">
        <v>885</v>
      </c>
      <c r="C15">
        <v>2</v>
      </c>
      <c r="D15">
        <v>2</v>
      </c>
      <c r="E15">
        <v>0</v>
      </c>
      <c r="F15">
        <v>0</v>
      </c>
      <c r="G15">
        <v>15</v>
      </c>
      <c r="H15">
        <v>1</v>
      </c>
      <c r="I15">
        <v>18</v>
      </c>
      <c r="J15">
        <v>11</v>
      </c>
      <c r="K15">
        <v>0</v>
      </c>
      <c r="L15">
        <v>0</v>
      </c>
      <c r="M15">
        <v>14</v>
      </c>
      <c r="N15">
        <v>0</v>
      </c>
      <c r="O15">
        <v>22</v>
      </c>
      <c r="P15">
        <v>1</v>
      </c>
      <c r="Q15">
        <v>0</v>
      </c>
      <c r="R15">
        <v>1</v>
      </c>
      <c r="S15">
        <v>0</v>
      </c>
      <c r="T15">
        <v>3</v>
      </c>
      <c r="U15">
        <v>254</v>
      </c>
      <c r="V15">
        <v>3</v>
      </c>
      <c r="W15">
        <v>0</v>
      </c>
      <c r="X15">
        <v>5</v>
      </c>
      <c r="Y15">
        <v>1</v>
      </c>
      <c r="Z15" s="6">
        <f>SUM(Sacramento[[#This Row],[American Sign Language Total]:[Other Total]])</f>
        <v>353</v>
      </c>
    </row>
    <row r="16" spans="1:26" ht="108.5" x14ac:dyDescent="0.35">
      <c r="A16" s="14" t="s">
        <v>517</v>
      </c>
      <c r="B16" s="11" t="s">
        <v>884</v>
      </c>
      <c r="C16">
        <v>10</v>
      </c>
      <c r="D16">
        <v>8</v>
      </c>
      <c r="E16">
        <v>1</v>
      </c>
      <c r="F16">
        <v>0</v>
      </c>
      <c r="G16">
        <v>0</v>
      </c>
      <c r="H16">
        <v>39</v>
      </c>
      <c r="I16">
        <v>57</v>
      </c>
      <c r="J16">
        <v>0</v>
      </c>
      <c r="K16">
        <v>0</v>
      </c>
      <c r="L16">
        <v>1</v>
      </c>
      <c r="M16">
        <v>0</v>
      </c>
      <c r="N16">
        <v>1</v>
      </c>
      <c r="O16">
        <v>11</v>
      </c>
      <c r="P16">
        <v>1</v>
      </c>
      <c r="Q16">
        <v>0</v>
      </c>
      <c r="R16">
        <v>5</v>
      </c>
      <c r="S16">
        <v>0</v>
      </c>
      <c r="T16">
        <v>23</v>
      </c>
      <c r="U16">
        <v>247</v>
      </c>
      <c r="V16">
        <v>0</v>
      </c>
      <c r="W16">
        <v>1</v>
      </c>
      <c r="X16">
        <v>0</v>
      </c>
      <c r="Y16">
        <v>47</v>
      </c>
      <c r="Z16" s="6">
        <f>SUM(Sacramento[[#This Row],[American Sign Language Total]:[Other Total]])</f>
        <v>452</v>
      </c>
    </row>
    <row r="17" spans="1:26" ht="46.5" x14ac:dyDescent="0.35">
      <c r="A17" s="14" t="s">
        <v>518</v>
      </c>
      <c r="B17" s="4" t="s">
        <v>886</v>
      </c>
      <c r="C17">
        <v>0</v>
      </c>
      <c r="D17">
        <v>0</v>
      </c>
      <c r="E17">
        <v>0</v>
      </c>
      <c r="F17">
        <v>0</v>
      </c>
      <c r="G17">
        <v>0</v>
      </c>
      <c r="H17">
        <v>2</v>
      </c>
      <c r="I17">
        <v>1</v>
      </c>
      <c r="J17">
        <v>0</v>
      </c>
      <c r="K17">
        <v>0</v>
      </c>
      <c r="L17">
        <v>2</v>
      </c>
      <c r="M17">
        <v>9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1</v>
      </c>
      <c r="U17">
        <v>114</v>
      </c>
      <c r="V17">
        <v>2</v>
      </c>
      <c r="W17">
        <v>1</v>
      </c>
      <c r="X17">
        <v>0</v>
      </c>
      <c r="Y17">
        <v>15</v>
      </c>
      <c r="Z17" s="6">
        <f>SUM(Sacramento[[#This Row],[American Sign Language Total]:[Other Total]])</f>
        <v>148</v>
      </c>
    </row>
    <row r="18" spans="1:26" x14ac:dyDescent="0.35">
      <c r="A18" s="14" t="s">
        <v>878</v>
      </c>
      <c r="B18" s="4" t="s">
        <v>878</v>
      </c>
      <c r="C18">
        <v>5</v>
      </c>
      <c r="D18">
        <v>5</v>
      </c>
      <c r="E18">
        <v>5</v>
      </c>
      <c r="F18">
        <v>0</v>
      </c>
      <c r="G18">
        <v>0</v>
      </c>
      <c r="H18">
        <v>0</v>
      </c>
      <c r="I18">
        <v>2</v>
      </c>
      <c r="J18">
        <v>1</v>
      </c>
      <c r="K18">
        <v>0</v>
      </c>
      <c r="L18">
        <v>1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30</v>
      </c>
      <c r="U18">
        <v>25</v>
      </c>
      <c r="V18">
        <v>0</v>
      </c>
      <c r="W18">
        <v>5</v>
      </c>
      <c r="X18">
        <v>0</v>
      </c>
      <c r="Y18">
        <v>15</v>
      </c>
      <c r="Z18" s="6">
        <f>SUM(Sacramento[[#This Row],[American Sign Language Total]:[Other Total]])</f>
        <v>95</v>
      </c>
    </row>
    <row r="19" spans="1:26" x14ac:dyDescent="0.35">
      <c r="A19" s="14" t="s">
        <v>519</v>
      </c>
      <c r="B19" s="4" t="s">
        <v>519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 s="6">
        <f>SUM(Sacramento[[#This Row],[American Sign Language Total]:[Other Total]])</f>
        <v>1</v>
      </c>
    </row>
    <row r="20" spans="1:26" x14ac:dyDescent="0.35">
      <c r="A20" s="9" t="s">
        <v>879</v>
      </c>
      <c r="B20" s="8" t="s">
        <v>887</v>
      </c>
      <c r="C20" s="3">
        <f>SUBTOTAL(109,Sacramento[American Sign Language Total])</f>
        <v>17</v>
      </c>
      <c r="D20" s="3">
        <f>SUBTOTAL(109,Sacramento[Arabic Total])</f>
        <v>23</v>
      </c>
      <c r="E20" s="3">
        <f>SUBTOTAL(109,Sacramento[Armenian Total])</f>
        <v>10</v>
      </c>
      <c r="F20" s="3">
        <f>SUBTOTAL(109,Sacramento[Bengali Total])</f>
        <v>0</v>
      </c>
      <c r="G20" s="3">
        <f>SUBTOTAL(109,Sacramento[Chinese (Mandarin or Cantonese) Total])</f>
        <v>90</v>
      </c>
      <c r="H20" s="3">
        <f>SUBTOTAL(109,Sacramento[Farsi (Persian) Total])</f>
        <v>52</v>
      </c>
      <c r="I20" s="3">
        <f>SUBTOTAL(109,Sacramento[French Total])</f>
        <v>228</v>
      </c>
      <c r="J20" s="3">
        <f>SUBTOTAL(109,Sacramento[German Total])</f>
        <v>20</v>
      </c>
      <c r="K20" s="3">
        <f>SUBTOTAL(109,Sacramento[Hebrew Total])</f>
        <v>0</v>
      </c>
      <c r="L20" s="3">
        <f>SUBTOTAL(109,Sacramento[Hindi Total])</f>
        <v>20</v>
      </c>
      <c r="M20" s="3">
        <f>SUBTOTAL(109,Sacramento[Hmong Total])</f>
        <v>27</v>
      </c>
      <c r="N20" s="3">
        <f>SUBTOTAL(109,Sacramento[Italian Total])</f>
        <v>4</v>
      </c>
      <c r="O20" s="3">
        <f>SUBTOTAL(109,Sacramento[Japanese Total])</f>
        <v>117</v>
      </c>
      <c r="P20" s="3">
        <f>SUBTOTAL(109,Sacramento[Korean Total])</f>
        <v>9</v>
      </c>
      <c r="Q20" s="3">
        <f>SUBTOTAL(109,Sacramento[Latin Total])</f>
        <v>0</v>
      </c>
      <c r="R20" s="3">
        <f>SUBTOTAL(109,Sacramento[Portuguese Total])</f>
        <v>6</v>
      </c>
      <c r="S20" s="3">
        <f>SUBTOTAL(109,Sacramento[Punjabi Total])</f>
        <v>21</v>
      </c>
      <c r="T20" s="3">
        <f>SUBTOTAL(109,Sacramento[Russian Total])</f>
        <v>128</v>
      </c>
      <c r="U20" s="3">
        <f>SUBTOTAL(109,Sacramento[Spanish Total])</f>
        <v>1493</v>
      </c>
      <c r="V20" s="3">
        <f>SUBTOTAL(109,Sacramento[Tagalog (Filipino) Total])</f>
        <v>12</v>
      </c>
      <c r="W20" s="3">
        <f>SUBTOTAL(109,Sacramento[Urdu Total])</f>
        <v>20</v>
      </c>
      <c r="X20" s="3">
        <f>SUBTOTAL(109,Sacramento[Vietnamese Total])</f>
        <v>29</v>
      </c>
      <c r="Y20" s="3">
        <f>SUBTOTAL(109,Sacramento[Other Total])</f>
        <v>145</v>
      </c>
      <c r="Z20" s="3">
        <f>SUBTOTAL(109,Sacramento[Total Seals per Local Educational Agency])</f>
        <v>2471</v>
      </c>
    </row>
  </sheetData>
  <conditionalFormatting sqref="A1:B2">
    <cfRule type="duplicateValues" dxfId="22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2E6D3-684E-4504-83FB-1CDC622B620E}">
  <dimension ref="A1:Z5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25.23046875" bestFit="1" customWidth="1"/>
    <col min="2" max="2" width="21.843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5351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46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888</v>
      </c>
      <c r="B3" t="s">
        <v>889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16</v>
      </c>
      <c r="V3">
        <v>0</v>
      </c>
      <c r="W3">
        <v>0</v>
      </c>
      <c r="X3">
        <v>0</v>
      </c>
      <c r="Y3">
        <v>0</v>
      </c>
      <c r="Z3">
        <f>SUM(SanBenito[[#This Row],[American Sign Language Total]:[Other Total]])</f>
        <v>16</v>
      </c>
    </row>
    <row r="4" spans="1:26" x14ac:dyDescent="0.35">
      <c r="A4" s="14" t="s">
        <v>141</v>
      </c>
      <c r="B4" t="s">
        <v>521</v>
      </c>
      <c r="C4">
        <v>31</v>
      </c>
      <c r="D4">
        <v>0</v>
      </c>
      <c r="E4">
        <v>0</v>
      </c>
      <c r="F4">
        <v>0</v>
      </c>
      <c r="G4">
        <v>0</v>
      </c>
      <c r="H4">
        <v>0</v>
      </c>
      <c r="I4">
        <v>3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94</v>
      </c>
      <c r="V4">
        <v>0</v>
      </c>
      <c r="W4">
        <v>0</v>
      </c>
      <c r="X4">
        <v>0</v>
      </c>
      <c r="Y4">
        <v>0</v>
      </c>
      <c r="Z4">
        <f>SUM(SanBenito[[#This Row],[American Sign Language Total]:[Other Total]])</f>
        <v>128</v>
      </c>
    </row>
    <row r="5" spans="1:26" x14ac:dyDescent="0.35">
      <c r="A5" s="9" t="s">
        <v>195</v>
      </c>
      <c r="B5" s="8" t="s">
        <v>181</v>
      </c>
      <c r="C5" s="3">
        <f>SUBTOTAL(109,SanBenito[American Sign Language Total])</f>
        <v>31</v>
      </c>
      <c r="D5" s="3">
        <f>SUBTOTAL(109,SanBenito[Arabic Total])</f>
        <v>0</v>
      </c>
      <c r="E5" s="3">
        <f>SUBTOTAL(109,SanBenito[Armenian Total])</f>
        <v>0</v>
      </c>
      <c r="F5" s="3">
        <f>SUBTOTAL(109,SanBenito[Bengali Total])</f>
        <v>0</v>
      </c>
      <c r="G5" s="3">
        <f>SUBTOTAL(109,SanBenito[Chinese (Mandarin or Cantonese) Total])</f>
        <v>0</v>
      </c>
      <c r="H5" s="3">
        <f>SUBTOTAL(109,SanBenito[Farsi (Persian) Total])</f>
        <v>0</v>
      </c>
      <c r="I5" s="3">
        <f>SUBTOTAL(109,SanBenito[French Total])</f>
        <v>3</v>
      </c>
      <c r="J5" s="3">
        <f>SUBTOTAL(109,SanBenito[German Total])</f>
        <v>0</v>
      </c>
      <c r="K5" s="3">
        <f>SUBTOTAL(109,SanBenito[Hebrew Total])</f>
        <v>0</v>
      </c>
      <c r="L5" s="3">
        <f>SUBTOTAL(109,SanBenito[Hindi Total])</f>
        <v>0</v>
      </c>
      <c r="M5" s="3">
        <f>SUBTOTAL(109,SanBenito[Hmong Total])</f>
        <v>0</v>
      </c>
      <c r="N5" s="3">
        <f>SUBTOTAL(109,SanBenito[Italian Total])</f>
        <v>0</v>
      </c>
      <c r="O5" s="3">
        <f>SUBTOTAL(109,SanBenito[Japanese Total])</f>
        <v>0</v>
      </c>
      <c r="P5" s="3">
        <f>SUBTOTAL(109,SanBenito[Korean Total])</f>
        <v>0</v>
      </c>
      <c r="Q5" s="3">
        <f>SUBTOTAL(109,SanBenito[Latin Total])</f>
        <v>0</v>
      </c>
      <c r="R5" s="3">
        <f>SUBTOTAL(109,SanBenito[Portuguese Total])</f>
        <v>0</v>
      </c>
      <c r="S5" s="3">
        <f>SUBTOTAL(109,SanBenito[Punjabi Total])</f>
        <v>0</v>
      </c>
      <c r="T5" s="3">
        <f>SUBTOTAL(109,SanBenito[Russian Total])</f>
        <v>0</v>
      </c>
      <c r="U5" s="3">
        <f>SUBTOTAL(109,SanBenito[Spanish Total])</f>
        <v>110</v>
      </c>
      <c r="V5" s="3">
        <f>SUBTOTAL(109,SanBenito[Tagalog (Filipino) Total])</f>
        <v>0</v>
      </c>
      <c r="W5" s="3">
        <f>SUBTOTAL(109,SanBenito[Urdu Total])</f>
        <v>0</v>
      </c>
      <c r="X5" s="3">
        <f>SUBTOTAL(109,SanBenito[Vietnamese Total])</f>
        <v>0</v>
      </c>
      <c r="Y5" s="3">
        <f>SUBTOTAL(109,SanBenito[Other Total])</f>
        <v>0</v>
      </c>
      <c r="Z5" s="3">
        <f>SUBTOTAL(109,SanBenito[Total Seals per Local Educational Agency])</f>
        <v>144</v>
      </c>
    </row>
  </sheetData>
  <phoneticPr fontId="19" type="noConversion"/>
  <conditionalFormatting sqref="A1:B2">
    <cfRule type="duplicateValues" dxfId="2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2D4E3-F72A-4E81-9E20-4A784A138586}">
  <dimension ref="A1:Z38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34" style="4" bestFit="1" customWidth="1"/>
    <col min="2" max="2" width="40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5351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7" t="s">
        <v>9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19.5" customHeight="1" x14ac:dyDescent="0.35">
      <c r="A3" s="10" t="s">
        <v>891</v>
      </c>
      <c r="B3" s="4" t="s">
        <v>891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12</v>
      </c>
      <c r="V3">
        <v>0</v>
      </c>
      <c r="W3">
        <v>0</v>
      </c>
      <c r="X3">
        <v>0</v>
      </c>
      <c r="Y3">
        <v>0</v>
      </c>
      <c r="Z3">
        <f>SUM(SanBernardino[[#This Row],[American Sign Language Total]:[Other Total]])</f>
        <v>13</v>
      </c>
    </row>
    <row r="4" spans="1:26" ht="19" customHeight="1" x14ac:dyDescent="0.35">
      <c r="A4" s="10" t="s">
        <v>522</v>
      </c>
      <c r="B4" s="4" t="s">
        <v>523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106</v>
      </c>
      <c r="V4">
        <v>1</v>
      </c>
      <c r="W4">
        <v>0</v>
      </c>
      <c r="X4">
        <v>0</v>
      </c>
      <c r="Y4">
        <v>1</v>
      </c>
      <c r="Z4">
        <f>SUM(SanBernardino[[#This Row],[American Sign Language Total]:[Other Total]])</f>
        <v>111</v>
      </c>
    </row>
    <row r="5" spans="1:26" x14ac:dyDescent="0.35">
      <c r="A5" s="10" t="s">
        <v>892</v>
      </c>
      <c r="B5" s="4" t="s">
        <v>902</v>
      </c>
      <c r="C5">
        <v>0</v>
      </c>
      <c r="D5">
        <v>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30</v>
      </c>
      <c r="V5">
        <v>1</v>
      </c>
      <c r="W5">
        <v>0</v>
      </c>
      <c r="X5">
        <v>0</v>
      </c>
      <c r="Y5">
        <v>1</v>
      </c>
      <c r="Z5">
        <f>SUM(SanBernardino[[#This Row],[American Sign Language Total]:[Other Total]])</f>
        <v>34</v>
      </c>
    </row>
    <row r="6" spans="1:26" x14ac:dyDescent="0.35">
      <c r="A6" s="10" t="s">
        <v>893</v>
      </c>
      <c r="B6" s="4" t="s">
        <v>903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7</v>
      </c>
      <c r="V6">
        <v>0</v>
      </c>
      <c r="W6">
        <v>0</v>
      </c>
      <c r="X6">
        <v>0</v>
      </c>
      <c r="Y6">
        <v>0</v>
      </c>
      <c r="Z6">
        <f>SUM(SanBernardino[[#This Row],[American Sign Language Total]:[Other Total]])</f>
        <v>7</v>
      </c>
    </row>
    <row r="7" spans="1:26" ht="77.5" x14ac:dyDescent="0.35">
      <c r="A7" s="10" t="s">
        <v>524</v>
      </c>
      <c r="B7" s="4" t="s">
        <v>901</v>
      </c>
      <c r="C7">
        <v>29</v>
      </c>
      <c r="D7">
        <v>0</v>
      </c>
      <c r="E7">
        <v>0</v>
      </c>
      <c r="F7">
        <v>0</v>
      </c>
      <c r="G7">
        <v>76</v>
      </c>
      <c r="H7">
        <v>0</v>
      </c>
      <c r="I7">
        <v>34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953</v>
      </c>
      <c r="V7">
        <v>0</v>
      </c>
      <c r="W7">
        <v>0</v>
      </c>
      <c r="X7">
        <v>0</v>
      </c>
      <c r="Y7">
        <v>0</v>
      </c>
      <c r="Z7">
        <f>SUM(SanBernardino[[#This Row],[American Sign Language Total]:[Other Total]])</f>
        <v>1092</v>
      </c>
    </row>
    <row r="8" spans="1:26" ht="46.5" x14ac:dyDescent="0.35">
      <c r="A8" s="10" t="s">
        <v>525</v>
      </c>
      <c r="B8" s="4" t="s">
        <v>526</v>
      </c>
      <c r="C8">
        <v>37</v>
      </c>
      <c r="D8">
        <v>0</v>
      </c>
      <c r="E8">
        <v>0</v>
      </c>
      <c r="F8">
        <v>0</v>
      </c>
      <c r="G8">
        <v>137</v>
      </c>
      <c r="H8">
        <v>0</v>
      </c>
      <c r="I8">
        <v>26</v>
      </c>
      <c r="J8">
        <v>0</v>
      </c>
      <c r="K8">
        <v>0</v>
      </c>
      <c r="L8">
        <v>0</v>
      </c>
      <c r="M8">
        <v>0</v>
      </c>
      <c r="N8">
        <v>0</v>
      </c>
      <c r="O8">
        <v>18</v>
      </c>
      <c r="P8">
        <v>16</v>
      </c>
      <c r="Q8">
        <v>0</v>
      </c>
      <c r="R8">
        <v>0</v>
      </c>
      <c r="S8">
        <v>0</v>
      </c>
      <c r="T8">
        <v>0</v>
      </c>
      <c r="U8">
        <v>288</v>
      </c>
      <c r="V8">
        <v>0</v>
      </c>
      <c r="W8">
        <v>0</v>
      </c>
      <c r="X8">
        <v>0</v>
      </c>
      <c r="Y8">
        <v>0</v>
      </c>
      <c r="Z8">
        <f>SUM(SanBernardino[[#This Row],[American Sign Language Total]:[Other Total]])</f>
        <v>522</v>
      </c>
    </row>
    <row r="9" spans="1:26" ht="31" x14ac:dyDescent="0.35">
      <c r="A9" s="10" t="s">
        <v>142</v>
      </c>
      <c r="B9" s="2" t="s">
        <v>904</v>
      </c>
      <c r="C9">
        <v>6</v>
      </c>
      <c r="D9">
        <v>1</v>
      </c>
      <c r="E9">
        <v>0</v>
      </c>
      <c r="F9">
        <v>1</v>
      </c>
      <c r="G9">
        <v>0</v>
      </c>
      <c r="H9">
        <v>0</v>
      </c>
      <c r="I9">
        <v>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279</v>
      </c>
      <c r="V9">
        <v>3</v>
      </c>
      <c r="W9">
        <v>1</v>
      </c>
      <c r="X9">
        <v>1</v>
      </c>
      <c r="Y9">
        <v>0</v>
      </c>
      <c r="Z9" s="6">
        <f>SUM(SanBernardino[[#This Row],[American Sign Language Total]:[Other Total]])</f>
        <v>300</v>
      </c>
    </row>
    <row r="10" spans="1:26" x14ac:dyDescent="0.35">
      <c r="A10" s="10" t="s">
        <v>527</v>
      </c>
      <c r="B10" s="4" t="s">
        <v>527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f>SUM(SanBernardino[[#This Row],[American Sign Language Total]:[Other Total]])</f>
        <v>2</v>
      </c>
    </row>
    <row r="11" spans="1:26" x14ac:dyDescent="0.35">
      <c r="A11" s="10" t="s">
        <v>528</v>
      </c>
      <c r="B11" s="4" t="s">
        <v>528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f>SUM(SanBernardino[[#This Row],[American Sign Language Total]:[Other Total]])</f>
        <v>1</v>
      </c>
    </row>
    <row r="12" spans="1:26" ht="46.5" x14ac:dyDescent="0.35">
      <c r="A12" s="10" t="s">
        <v>529</v>
      </c>
      <c r="B12" s="4" t="s">
        <v>905</v>
      </c>
      <c r="C12">
        <v>8</v>
      </c>
      <c r="D12">
        <v>3</v>
      </c>
      <c r="E12">
        <v>0</v>
      </c>
      <c r="F12">
        <v>0</v>
      </c>
      <c r="G12">
        <v>1</v>
      </c>
      <c r="H12">
        <v>0</v>
      </c>
      <c r="I12">
        <v>2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622</v>
      </c>
      <c r="V12">
        <v>4</v>
      </c>
      <c r="W12">
        <v>0</v>
      </c>
      <c r="X12">
        <v>0</v>
      </c>
      <c r="Y12">
        <v>1</v>
      </c>
      <c r="Z12">
        <f>SUM(SanBernardino[[#This Row],[American Sign Language Total]:[Other Total]])</f>
        <v>642</v>
      </c>
    </row>
    <row r="13" spans="1:26" ht="19.5" customHeight="1" x14ac:dyDescent="0.35">
      <c r="A13" s="10" t="s">
        <v>894</v>
      </c>
      <c r="B13" s="4" t="s">
        <v>894</v>
      </c>
      <c r="C13">
        <v>0</v>
      </c>
      <c r="D13">
        <v>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8</v>
      </c>
      <c r="V13">
        <v>0</v>
      </c>
      <c r="W13">
        <v>0</v>
      </c>
      <c r="X13">
        <v>0</v>
      </c>
      <c r="Y13">
        <v>0</v>
      </c>
      <c r="Z13">
        <f>SUM(SanBernardino[[#This Row],[American Sign Language Total]:[Other Total]])</f>
        <v>12</v>
      </c>
    </row>
    <row r="14" spans="1:26" x14ac:dyDescent="0.35">
      <c r="A14" s="10" t="s">
        <v>542</v>
      </c>
      <c r="B14" s="4" t="s">
        <v>542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9</v>
      </c>
      <c r="V14">
        <v>0</v>
      </c>
      <c r="W14">
        <v>0</v>
      </c>
      <c r="X14">
        <v>0</v>
      </c>
      <c r="Y14">
        <v>0</v>
      </c>
      <c r="Z14">
        <f>SUM(SanBernardino[[#This Row],[American Sign Language Total]:[Other Total]])</f>
        <v>9</v>
      </c>
    </row>
    <row r="15" spans="1:26" x14ac:dyDescent="0.35">
      <c r="A15" s="10" t="s">
        <v>530</v>
      </c>
      <c r="B15" s="4" t="s">
        <v>531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224</v>
      </c>
      <c r="V15">
        <v>0</v>
      </c>
      <c r="W15">
        <v>0</v>
      </c>
      <c r="X15">
        <v>0</v>
      </c>
      <c r="Y15">
        <v>0</v>
      </c>
      <c r="Z15">
        <f>SUM(SanBernardino[[#This Row],[American Sign Language Total]:[Other Total]])</f>
        <v>226</v>
      </c>
    </row>
    <row r="16" spans="1:26" x14ac:dyDescent="0.35">
      <c r="A16" s="10" t="s">
        <v>532</v>
      </c>
      <c r="B16" s="4" t="s">
        <v>532</v>
      </c>
      <c r="C16">
        <v>2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f>SUM(SanBernardino[[#This Row],[American Sign Language Total]:[Other Total]])</f>
        <v>3</v>
      </c>
    </row>
    <row r="17" spans="1:26" x14ac:dyDescent="0.35">
      <c r="A17" s="10" t="s">
        <v>143</v>
      </c>
      <c r="B17" t="s">
        <v>143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>
        <f>SUM(SanBernardino[[#This Row],[American Sign Language Total]:[Other Total]])</f>
        <v>2</v>
      </c>
    </row>
    <row r="18" spans="1:26" x14ac:dyDescent="0.35">
      <c r="A18" s="10" t="s">
        <v>144</v>
      </c>
      <c r="B18" s="4" t="s">
        <v>144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12</v>
      </c>
      <c r="V18">
        <v>0</v>
      </c>
      <c r="W18">
        <v>0</v>
      </c>
      <c r="X18">
        <v>0</v>
      </c>
      <c r="Y18">
        <v>0</v>
      </c>
      <c r="Z18">
        <f>SUM(SanBernardino[[#This Row],[American Sign Language Total]:[Other Total]])</f>
        <v>12</v>
      </c>
    </row>
    <row r="19" spans="1:26" x14ac:dyDescent="0.35">
      <c r="A19" s="10" t="s">
        <v>1210</v>
      </c>
      <c r="B19" s="4" t="s">
        <v>890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f>SUM(SanBernardino[[#This Row],[American Sign Language Total]:[Other Total]])</f>
        <v>1</v>
      </c>
    </row>
    <row r="20" spans="1:26" x14ac:dyDescent="0.35">
      <c r="A20" s="10" t="s">
        <v>533</v>
      </c>
      <c r="B20" s="2" t="s">
        <v>534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24</v>
      </c>
      <c r="V20">
        <v>0</v>
      </c>
      <c r="W20">
        <v>0</v>
      </c>
      <c r="X20">
        <v>0</v>
      </c>
      <c r="Y20">
        <v>0</v>
      </c>
      <c r="Z20" s="6">
        <f>SUM(SanBernardino[[#This Row],[American Sign Language Total]:[Other Total]])</f>
        <v>24</v>
      </c>
    </row>
    <row r="21" spans="1:26" ht="31" x14ac:dyDescent="0.35">
      <c r="A21" s="10" t="s">
        <v>909</v>
      </c>
      <c r="B21" s="2" t="s">
        <v>909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7</v>
      </c>
      <c r="V21">
        <v>0</v>
      </c>
      <c r="W21">
        <v>0</v>
      </c>
      <c r="X21">
        <v>0</v>
      </c>
      <c r="Y21">
        <v>0</v>
      </c>
      <c r="Z21" s="6">
        <f>SUM(SanBernardino[[#This Row],[American Sign Language Total]:[Other Total]])</f>
        <v>7</v>
      </c>
    </row>
    <row r="22" spans="1:26" x14ac:dyDescent="0.35">
      <c r="A22" s="10" t="s">
        <v>895</v>
      </c>
      <c r="B22" s="2" t="s">
        <v>895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4</v>
      </c>
      <c r="V22">
        <v>0</v>
      </c>
      <c r="W22">
        <v>0</v>
      </c>
      <c r="X22">
        <v>0</v>
      </c>
      <c r="Y22">
        <v>0</v>
      </c>
      <c r="Z22" s="6">
        <f>SUM(SanBernardino[[#This Row],[American Sign Language Total]:[Other Total]])</f>
        <v>4</v>
      </c>
    </row>
    <row r="23" spans="1:26" x14ac:dyDescent="0.35">
      <c r="A23" s="10" t="s">
        <v>896</v>
      </c>
      <c r="B23" s="2" t="s">
        <v>896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77</v>
      </c>
      <c r="V23">
        <v>0</v>
      </c>
      <c r="W23">
        <v>0</v>
      </c>
      <c r="X23">
        <v>0</v>
      </c>
      <c r="Y23">
        <v>0</v>
      </c>
      <c r="Z23" s="6">
        <f>SUM(SanBernardino[[#This Row],[American Sign Language Total]:[Other Total]])</f>
        <v>77</v>
      </c>
    </row>
    <row r="24" spans="1:26" x14ac:dyDescent="0.35">
      <c r="A24" s="10" t="s">
        <v>701</v>
      </c>
      <c r="B24" s="2" t="s">
        <v>701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20</v>
      </c>
      <c r="V24">
        <v>0</v>
      </c>
      <c r="W24">
        <v>0</v>
      </c>
      <c r="X24">
        <v>0</v>
      </c>
      <c r="Y24">
        <v>0</v>
      </c>
      <c r="Z24" s="6">
        <f>SUM(SanBernardino[[#This Row],[American Sign Language Total]:[Other Total]])</f>
        <v>20</v>
      </c>
    </row>
    <row r="25" spans="1:26" x14ac:dyDescent="0.35">
      <c r="A25" s="10" t="s">
        <v>897</v>
      </c>
      <c r="B25" s="2" t="s">
        <v>897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18</v>
      </c>
      <c r="V25">
        <v>0</v>
      </c>
      <c r="W25">
        <v>0</v>
      </c>
      <c r="X25">
        <v>0</v>
      </c>
      <c r="Y25">
        <v>0</v>
      </c>
      <c r="Z25" s="6">
        <f>SUM(SanBernardino[[#This Row],[American Sign Language Total]:[Other Total]])</f>
        <v>18</v>
      </c>
    </row>
    <row r="26" spans="1:26" ht="31" x14ac:dyDescent="0.35">
      <c r="A26" s="10" t="s">
        <v>898</v>
      </c>
      <c r="B26" s="2" t="s">
        <v>906</v>
      </c>
      <c r="C26">
        <v>6</v>
      </c>
      <c r="D26">
        <v>2</v>
      </c>
      <c r="E26">
        <v>0</v>
      </c>
      <c r="F26">
        <v>0</v>
      </c>
      <c r="G26">
        <v>8</v>
      </c>
      <c r="H26">
        <v>1</v>
      </c>
      <c r="I26">
        <v>25</v>
      </c>
      <c r="J26">
        <v>1</v>
      </c>
      <c r="K26">
        <v>0</v>
      </c>
      <c r="L26">
        <v>2</v>
      </c>
      <c r="M26">
        <v>0</v>
      </c>
      <c r="N26">
        <v>0</v>
      </c>
      <c r="O26">
        <v>5</v>
      </c>
      <c r="P26">
        <v>6</v>
      </c>
      <c r="Q26">
        <v>9</v>
      </c>
      <c r="R26">
        <v>5</v>
      </c>
      <c r="S26">
        <v>1</v>
      </c>
      <c r="T26">
        <v>3</v>
      </c>
      <c r="U26">
        <v>154</v>
      </c>
      <c r="V26">
        <v>3</v>
      </c>
      <c r="W26">
        <v>0</v>
      </c>
      <c r="X26">
        <v>2</v>
      </c>
      <c r="Y26">
        <v>8</v>
      </c>
      <c r="Z26" s="6">
        <f>SUM(SanBernardino[[#This Row],[American Sign Language Total]:[Other Total]])</f>
        <v>241</v>
      </c>
    </row>
    <row r="27" spans="1:26" ht="31" x14ac:dyDescent="0.35">
      <c r="A27" s="10" t="s">
        <v>535</v>
      </c>
      <c r="B27" s="2" t="s">
        <v>907</v>
      </c>
      <c r="C27">
        <v>10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447</v>
      </c>
      <c r="V27">
        <v>1</v>
      </c>
      <c r="W27">
        <v>0</v>
      </c>
      <c r="X27">
        <v>0</v>
      </c>
      <c r="Y27">
        <v>0</v>
      </c>
      <c r="Z27" s="6">
        <f>SUM(SanBernardino[[#This Row],[American Sign Language Total]:[Other Total]])</f>
        <v>460</v>
      </c>
    </row>
    <row r="28" spans="1:26" x14ac:dyDescent="0.35">
      <c r="A28" s="10" t="s">
        <v>145</v>
      </c>
      <c r="B28" s="2" t="s">
        <v>536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17</v>
      </c>
      <c r="V28">
        <v>0</v>
      </c>
      <c r="W28">
        <v>0</v>
      </c>
      <c r="X28">
        <v>0</v>
      </c>
      <c r="Y28">
        <v>0</v>
      </c>
      <c r="Z28" s="6">
        <f>SUM(SanBernardino[[#This Row],[American Sign Language Total]:[Other Total]])</f>
        <v>17</v>
      </c>
    </row>
    <row r="29" spans="1:26" x14ac:dyDescent="0.35">
      <c r="A29" s="10" t="s">
        <v>146</v>
      </c>
      <c r="B29" s="2" t="s">
        <v>146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13</v>
      </c>
      <c r="V29">
        <v>0</v>
      </c>
      <c r="W29">
        <v>0</v>
      </c>
      <c r="X29">
        <v>0</v>
      </c>
      <c r="Y29">
        <v>0</v>
      </c>
      <c r="Z29" s="6">
        <f>SUM(SanBernardino[[#This Row],[American Sign Language Total]:[Other Total]])</f>
        <v>13</v>
      </c>
    </row>
    <row r="30" spans="1:26" ht="77.5" x14ac:dyDescent="0.35">
      <c r="A30" s="10" t="s">
        <v>537</v>
      </c>
      <c r="B30" s="2" t="s">
        <v>908</v>
      </c>
      <c r="C30">
        <v>3</v>
      </c>
      <c r="D30">
        <v>1</v>
      </c>
      <c r="E30">
        <v>0</v>
      </c>
      <c r="F30">
        <v>0</v>
      </c>
      <c r="G30">
        <v>1</v>
      </c>
      <c r="H30">
        <v>0</v>
      </c>
      <c r="I30">
        <v>8</v>
      </c>
      <c r="J30">
        <v>0</v>
      </c>
      <c r="K30">
        <v>0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660</v>
      </c>
      <c r="V30">
        <v>3</v>
      </c>
      <c r="W30">
        <v>0</v>
      </c>
      <c r="X30">
        <v>2</v>
      </c>
      <c r="Y30">
        <v>0</v>
      </c>
      <c r="Z30" s="6">
        <f>SUM(SanBernardino[[#This Row],[American Sign Language Total]:[Other Total]])</f>
        <v>679</v>
      </c>
    </row>
    <row r="31" spans="1:26" x14ac:dyDescent="0.35">
      <c r="A31" s="10" t="s">
        <v>538</v>
      </c>
      <c r="B31" s="2" t="s">
        <v>910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5</v>
      </c>
      <c r="V31">
        <v>0</v>
      </c>
      <c r="W31">
        <v>0</v>
      </c>
      <c r="X31">
        <v>0</v>
      </c>
      <c r="Y31">
        <v>0</v>
      </c>
      <c r="Z31" s="6">
        <f>SUM(SanBernardino[[#This Row],[American Sign Language Total]:[Other Total]])</f>
        <v>6</v>
      </c>
    </row>
    <row r="32" spans="1:26" x14ac:dyDescent="0.35">
      <c r="A32" s="10" t="s">
        <v>539</v>
      </c>
      <c r="B32" s="2" t="s">
        <v>539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12</v>
      </c>
      <c r="V32">
        <v>0</v>
      </c>
      <c r="W32">
        <v>0</v>
      </c>
      <c r="X32">
        <v>0</v>
      </c>
      <c r="Y32">
        <v>0</v>
      </c>
      <c r="Z32" s="6">
        <f>SUM(SanBernardino[[#This Row],[American Sign Language Total]:[Other Total]])</f>
        <v>13</v>
      </c>
    </row>
    <row r="33" spans="1:26" x14ac:dyDescent="0.35">
      <c r="A33" s="10" t="s">
        <v>540</v>
      </c>
      <c r="B33" s="2" t="s">
        <v>541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>
        <v>0</v>
      </c>
      <c r="R33">
        <v>0</v>
      </c>
      <c r="S33">
        <v>0</v>
      </c>
      <c r="T33">
        <v>0</v>
      </c>
      <c r="U33">
        <v>70</v>
      </c>
      <c r="V33">
        <v>1</v>
      </c>
      <c r="W33">
        <v>0</v>
      </c>
      <c r="X33">
        <v>0</v>
      </c>
      <c r="Y33">
        <v>0</v>
      </c>
      <c r="Z33" s="6">
        <f>SUM(SanBernardino[[#This Row],[American Sign Language Total]:[Other Total]])</f>
        <v>73</v>
      </c>
    </row>
    <row r="34" spans="1:26" x14ac:dyDescent="0.35">
      <c r="A34" s="10" t="s">
        <v>899</v>
      </c>
      <c r="B34" s="2" t="s">
        <v>899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 s="6">
        <f>SUM(SanBernardino[[#This Row],[American Sign Language Total]:[Other Total]])</f>
        <v>1</v>
      </c>
    </row>
    <row r="35" spans="1:26" x14ac:dyDescent="0.35">
      <c r="A35" s="10" t="s">
        <v>543</v>
      </c>
      <c r="B35" s="2" t="s">
        <v>544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1</v>
      </c>
      <c r="S35">
        <v>0</v>
      </c>
      <c r="T35">
        <v>0</v>
      </c>
      <c r="U35">
        <v>70</v>
      </c>
      <c r="V35">
        <v>0</v>
      </c>
      <c r="W35">
        <v>0</v>
      </c>
      <c r="X35">
        <v>0</v>
      </c>
      <c r="Y35">
        <v>6</v>
      </c>
      <c r="Z35" s="6">
        <f>SUM(SanBernardino[[#This Row],[American Sign Language Total]:[Other Total]])</f>
        <v>80</v>
      </c>
    </row>
    <row r="36" spans="1:26" ht="62" x14ac:dyDescent="0.35">
      <c r="A36" s="10" t="s">
        <v>545</v>
      </c>
      <c r="B36" s="2" t="s">
        <v>546</v>
      </c>
      <c r="C36">
        <v>0</v>
      </c>
      <c r="D36">
        <v>2</v>
      </c>
      <c r="E36">
        <v>0</v>
      </c>
      <c r="F36">
        <v>0</v>
      </c>
      <c r="G36">
        <v>1</v>
      </c>
      <c r="H36">
        <v>0</v>
      </c>
      <c r="I36">
        <v>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264</v>
      </c>
      <c r="V36">
        <v>2</v>
      </c>
      <c r="W36">
        <v>0</v>
      </c>
      <c r="X36">
        <v>2</v>
      </c>
      <c r="Y36">
        <v>0</v>
      </c>
      <c r="Z36" s="6">
        <f>SUM(SanBernardino[[#This Row],[American Sign Language Total]:[Other Total]])</f>
        <v>278</v>
      </c>
    </row>
    <row r="37" spans="1:26" x14ac:dyDescent="0.35">
      <c r="A37" s="10" t="s">
        <v>900</v>
      </c>
      <c r="B37" s="2" t="s">
        <v>911</v>
      </c>
      <c r="C37">
        <v>3</v>
      </c>
      <c r="D37">
        <v>0</v>
      </c>
      <c r="E37">
        <v>0</v>
      </c>
      <c r="F37">
        <v>0</v>
      </c>
      <c r="G37">
        <v>0</v>
      </c>
      <c r="H37">
        <v>0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>
        <v>1</v>
      </c>
      <c r="U37">
        <v>54</v>
      </c>
      <c r="V37">
        <v>0</v>
      </c>
      <c r="W37">
        <v>0</v>
      </c>
      <c r="X37">
        <v>1</v>
      </c>
      <c r="Y37">
        <v>0</v>
      </c>
      <c r="Z37" s="6">
        <f>SUM(SanBernardino[[#This Row],[American Sign Language Total]:[Other Total]])</f>
        <v>62</v>
      </c>
    </row>
    <row r="38" spans="1:26" x14ac:dyDescent="0.35">
      <c r="A38" s="8" t="s">
        <v>1211</v>
      </c>
      <c r="B38" s="8" t="s">
        <v>1212</v>
      </c>
      <c r="C38" s="3">
        <f>SUBTOTAL(109,SanBernardino[American Sign Language Total])</f>
        <v>106</v>
      </c>
      <c r="D38" s="3">
        <f>SUBTOTAL(109,SanBernardino[Arabic Total])</f>
        <v>16</v>
      </c>
      <c r="E38" s="3">
        <f>SUBTOTAL(109,SanBernardino[Armenian Total])</f>
        <v>0</v>
      </c>
      <c r="F38" s="3">
        <f>SUBTOTAL(109,SanBernardino[Bengali Total])</f>
        <v>1</v>
      </c>
      <c r="G38" s="3">
        <f>SUBTOTAL(109,SanBernardino[Chinese (Mandarin or Cantonese) Total])</f>
        <v>224</v>
      </c>
      <c r="H38" s="3">
        <f>SUBTOTAL(109,SanBernardino[Farsi (Persian) Total])</f>
        <v>2</v>
      </c>
      <c r="I38" s="3">
        <f>SUBTOTAL(109,SanBernardino[French Total])</f>
        <v>119</v>
      </c>
      <c r="J38" s="3">
        <f>SUBTOTAL(109,SanBernardino[German Total])</f>
        <v>2</v>
      </c>
      <c r="K38" s="3">
        <f>SUBTOTAL(109,SanBernardino[Hebrew Total])</f>
        <v>0</v>
      </c>
      <c r="L38" s="3">
        <f>SUBTOTAL(109,SanBernardino[Hindi Total])</f>
        <v>3</v>
      </c>
      <c r="M38" s="3">
        <f>SUBTOTAL(109,SanBernardino[Hmong Total])</f>
        <v>1</v>
      </c>
      <c r="N38" s="3">
        <f>SUBTOTAL(109,SanBernardino[Italian Total])</f>
        <v>1</v>
      </c>
      <c r="O38" s="3">
        <f>SUBTOTAL(109,SanBernardino[Japanese Total])</f>
        <v>25</v>
      </c>
      <c r="P38" s="3">
        <f>SUBTOTAL(109,SanBernardino[Korean Total])</f>
        <v>25</v>
      </c>
      <c r="Q38" s="3">
        <f>SUBTOTAL(109,SanBernardino[Latin Total])</f>
        <v>9</v>
      </c>
      <c r="R38" s="3">
        <f>SUBTOTAL(109,SanBernardino[Portuguese Total])</f>
        <v>6</v>
      </c>
      <c r="S38" s="3">
        <f>SUBTOTAL(109,SanBernardino[Punjabi Total])</f>
        <v>1</v>
      </c>
      <c r="T38" s="3">
        <f>SUBTOTAL(109,SanBernardino[Russian Total])</f>
        <v>4</v>
      </c>
      <c r="U38" s="3">
        <f>SUBTOTAL(109,SanBernardino[Spanish Total])</f>
        <v>4472</v>
      </c>
      <c r="V38" s="3">
        <f>SUBTOTAL(109,SanBernardino[Tagalog (Filipino) Total])</f>
        <v>19</v>
      </c>
      <c r="W38" s="3">
        <f>SUBTOTAL(109,SanBernardino[Urdu Total])</f>
        <v>1</v>
      </c>
      <c r="X38" s="3">
        <f>SUBTOTAL(109,SanBernardino[Vietnamese Total])</f>
        <v>8</v>
      </c>
      <c r="Y38" s="3">
        <f>SUBTOTAL(109,SanBernardino[Other Total])</f>
        <v>17</v>
      </c>
      <c r="Z38" s="3">
        <f>SUBTOTAL(109,SanBernardino[Total Seals per Local Educational Agency])</f>
        <v>5062</v>
      </c>
    </row>
  </sheetData>
  <phoneticPr fontId="19" type="noConversion"/>
  <conditionalFormatting sqref="A1:B2">
    <cfRule type="duplicateValues" dxfId="2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E0ACF-8D33-47A9-B3AF-15310FBAC714}">
  <dimension ref="A1:Z49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47.3828125" bestFit="1" customWidth="1"/>
    <col min="2" max="2" width="41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9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7" t="s">
        <v>15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912</v>
      </c>
      <c r="B3" t="s">
        <v>912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20</v>
      </c>
      <c r="V3">
        <v>0</v>
      </c>
      <c r="W3">
        <v>0</v>
      </c>
      <c r="X3">
        <v>0</v>
      </c>
      <c r="Y3">
        <v>0</v>
      </c>
      <c r="Z3" s="3">
        <f>SUM(SanDiego[[#This Row],[American Sign Language Total]:[Other Total]])</f>
        <v>21</v>
      </c>
    </row>
    <row r="4" spans="1:26" x14ac:dyDescent="0.35">
      <c r="A4" s="14" t="s">
        <v>547</v>
      </c>
      <c r="B4" t="s">
        <v>548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7</v>
      </c>
      <c r="V4">
        <v>0</v>
      </c>
      <c r="W4">
        <v>0</v>
      </c>
      <c r="X4">
        <v>0</v>
      </c>
      <c r="Y4">
        <v>0</v>
      </c>
      <c r="Z4" s="3">
        <f>SUM(SanDiego[[#This Row],[American Sign Language Total]:[Other Total]])</f>
        <v>7</v>
      </c>
    </row>
    <row r="5" spans="1:26" x14ac:dyDescent="0.35">
      <c r="A5" s="14" t="s">
        <v>913</v>
      </c>
      <c r="B5" s="4" t="s">
        <v>913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</v>
      </c>
      <c r="V5">
        <v>0</v>
      </c>
      <c r="W5">
        <v>0</v>
      </c>
      <c r="X5">
        <v>0</v>
      </c>
      <c r="Y5">
        <v>0</v>
      </c>
      <c r="Z5" s="3">
        <f>SUM(SanDiego[[#This Row],[American Sign Language Total]:[Other Total]])</f>
        <v>2</v>
      </c>
    </row>
    <row r="6" spans="1:26" x14ac:dyDescent="0.35">
      <c r="A6" s="14" t="s">
        <v>914</v>
      </c>
      <c r="B6" t="s">
        <v>914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22</v>
      </c>
      <c r="V6">
        <v>0</v>
      </c>
      <c r="W6">
        <v>0</v>
      </c>
      <c r="X6">
        <v>0</v>
      </c>
      <c r="Y6">
        <v>0</v>
      </c>
      <c r="Z6" s="3">
        <f>SUM(SanDiego[[#This Row],[American Sign Language Total]:[Other Total]])</f>
        <v>22</v>
      </c>
    </row>
    <row r="7" spans="1:26" x14ac:dyDescent="0.35">
      <c r="A7" s="14" t="s">
        <v>915</v>
      </c>
      <c r="B7" s="4" t="s">
        <v>915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s="3">
        <f>SUM(SanDiego[[#This Row],[American Sign Language Total]:[Other Total]])</f>
        <v>1</v>
      </c>
    </row>
    <row r="8" spans="1:26" x14ac:dyDescent="0.35">
      <c r="A8" s="14" t="s">
        <v>549</v>
      </c>
      <c r="B8" s="4" t="s">
        <v>550</v>
      </c>
      <c r="C8">
        <v>25</v>
      </c>
      <c r="D8">
        <v>0</v>
      </c>
      <c r="E8">
        <v>0</v>
      </c>
      <c r="F8">
        <v>0</v>
      </c>
      <c r="G8">
        <v>0</v>
      </c>
      <c r="H8">
        <v>0</v>
      </c>
      <c r="I8">
        <v>16</v>
      </c>
      <c r="J8">
        <v>2</v>
      </c>
      <c r="K8">
        <v>0</v>
      </c>
      <c r="L8">
        <v>0</v>
      </c>
      <c r="M8">
        <v>0</v>
      </c>
      <c r="N8">
        <v>0</v>
      </c>
      <c r="O8">
        <v>4</v>
      </c>
      <c r="P8">
        <v>0</v>
      </c>
      <c r="Q8">
        <v>0</v>
      </c>
      <c r="R8">
        <v>0</v>
      </c>
      <c r="S8">
        <v>0</v>
      </c>
      <c r="T8">
        <v>0</v>
      </c>
      <c r="U8">
        <v>356</v>
      </c>
      <c r="V8">
        <v>0</v>
      </c>
      <c r="W8">
        <v>0</v>
      </c>
      <c r="X8">
        <v>0</v>
      </c>
      <c r="Y8">
        <v>0</v>
      </c>
      <c r="Z8" s="3">
        <f>SUM(SanDiego[[#This Row],[American Sign Language Total]:[Other Total]])</f>
        <v>403</v>
      </c>
    </row>
    <row r="9" spans="1:26" x14ac:dyDescent="0.35">
      <c r="A9" s="14" t="s">
        <v>916</v>
      </c>
      <c r="B9" s="4" t="s">
        <v>916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0</v>
      </c>
      <c r="X9">
        <v>0</v>
      </c>
      <c r="Y9">
        <v>2</v>
      </c>
      <c r="Z9" s="3">
        <f>SUM(SanDiego[[#This Row],[American Sign Language Total]:[Other Total]])</f>
        <v>3</v>
      </c>
    </row>
    <row r="10" spans="1:26" x14ac:dyDescent="0.35">
      <c r="A10" s="14" t="s">
        <v>551</v>
      </c>
      <c r="B10" s="4" t="s">
        <v>551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11</v>
      </c>
      <c r="V10">
        <v>0</v>
      </c>
      <c r="W10">
        <v>0</v>
      </c>
      <c r="X10">
        <v>0</v>
      </c>
      <c r="Y10">
        <v>1</v>
      </c>
      <c r="Z10" s="3">
        <f>SUM(SanDiego[[#This Row],[American Sign Language Total]:[Other Total]])</f>
        <v>13</v>
      </c>
    </row>
    <row r="11" spans="1:26" x14ac:dyDescent="0.35">
      <c r="A11" s="14" t="s">
        <v>552</v>
      </c>
      <c r="B11" s="4" t="s">
        <v>553</v>
      </c>
      <c r="C11">
        <v>4</v>
      </c>
      <c r="D11">
        <v>0</v>
      </c>
      <c r="E11">
        <v>0</v>
      </c>
      <c r="F11">
        <v>0</v>
      </c>
      <c r="G11">
        <v>1</v>
      </c>
      <c r="H11">
        <v>0</v>
      </c>
      <c r="I11">
        <v>19</v>
      </c>
      <c r="J11">
        <v>4</v>
      </c>
      <c r="K11">
        <v>0</v>
      </c>
      <c r="L11">
        <v>0</v>
      </c>
      <c r="M11">
        <v>0</v>
      </c>
      <c r="N11">
        <v>1</v>
      </c>
      <c r="O11">
        <v>2</v>
      </c>
      <c r="P11">
        <v>0</v>
      </c>
      <c r="Q11">
        <v>0</v>
      </c>
      <c r="R11">
        <v>0</v>
      </c>
      <c r="S11">
        <v>0</v>
      </c>
      <c r="T11">
        <v>1</v>
      </c>
      <c r="U11">
        <v>84</v>
      </c>
      <c r="V11">
        <v>0</v>
      </c>
      <c r="W11">
        <v>0</v>
      </c>
      <c r="X11">
        <v>0</v>
      </c>
      <c r="Y11">
        <v>2</v>
      </c>
      <c r="Z11" s="3">
        <f>SUM(SanDiego[[#This Row],[American Sign Language Total]:[Other Total]])</f>
        <v>118</v>
      </c>
    </row>
    <row r="12" spans="1:26" x14ac:dyDescent="0.35">
      <c r="A12" s="14" t="s">
        <v>917</v>
      </c>
      <c r="B12" s="4" t="s">
        <v>917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 s="3">
        <f>SUM(SanDiego[[#This Row],[American Sign Language Total]:[Other Total]])</f>
        <v>1</v>
      </c>
    </row>
    <row r="13" spans="1:26" x14ac:dyDescent="0.35">
      <c r="A13" s="14" t="s">
        <v>147</v>
      </c>
      <c r="B13" s="4" t="s">
        <v>147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5</v>
      </c>
      <c r="V13">
        <v>0</v>
      </c>
      <c r="W13">
        <v>0</v>
      </c>
      <c r="X13">
        <v>0</v>
      </c>
      <c r="Y13">
        <v>0</v>
      </c>
      <c r="Z13" s="3">
        <f>SUM(SanDiego[[#This Row],[American Sign Language Total]:[Other Total]])</f>
        <v>5</v>
      </c>
    </row>
    <row r="14" spans="1:26" x14ac:dyDescent="0.35">
      <c r="A14" s="14" t="s">
        <v>1230</v>
      </c>
      <c r="B14" s="4" t="s">
        <v>1230</v>
      </c>
      <c r="C14" s="6">
        <v>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f>SUM(SanDiego[[#This Row],[American Sign Language Total]:[Other Total]])</f>
        <v>2</v>
      </c>
    </row>
    <row r="15" spans="1:26" x14ac:dyDescent="0.35">
      <c r="A15" s="14" t="s">
        <v>554</v>
      </c>
      <c r="B15" s="2" t="s">
        <v>554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9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  <c r="Q15">
        <v>17</v>
      </c>
      <c r="R15">
        <v>0</v>
      </c>
      <c r="S15">
        <v>0</v>
      </c>
      <c r="T15">
        <v>0</v>
      </c>
      <c r="U15">
        <v>27</v>
      </c>
      <c r="V15">
        <v>0</v>
      </c>
      <c r="W15">
        <v>0</v>
      </c>
      <c r="X15">
        <v>0</v>
      </c>
      <c r="Y15">
        <v>0</v>
      </c>
      <c r="Z15" s="3">
        <f>SUM(SanDiego[[#This Row],[American Sign Language Total]:[Other Total]])</f>
        <v>54</v>
      </c>
    </row>
    <row r="16" spans="1:26" ht="46.5" x14ac:dyDescent="0.35">
      <c r="A16" s="14" t="s">
        <v>555</v>
      </c>
      <c r="B16" s="4" t="s">
        <v>929</v>
      </c>
      <c r="C16">
        <v>13</v>
      </c>
      <c r="D16">
        <v>0</v>
      </c>
      <c r="E16">
        <v>0</v>
      </c>
      <c r="F16">
        <v>0</v>
      </c>
      <c r="G16">
        <v>0</v>
      </c>
      <c r="H16">
        <v>0</v>
      </c>
      <c r="I16">
        <v>25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253</v>
      </c>
      <c r="V16">
        <v>0</v>
      </c>
      <c r="W16">
        <v>0</v>
      </c>
      <c r="X16">
        <v>0</v>
      </c>
      <c r="Y16">
        <v>0</v>
      </c>
      <c r="Z16" s="3">
        <f>SUM(SanDiego[[#This Row],[American Sign Language Total]:[Other Total]])</f>
        <v>291</v>
      </c>
    </row>
    <row r="17" spans="1:26" x14ac:dyDescent="0.35">
      <c r="A17" s="14" t="s">
        <v>528</v>
      </c>
      <c r="B17" s="4" t="s">
        <v>528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2</v>
      </c>
      <c r="V17">
        <v>0</v>
      </c>
      <c r="W17">
        <v>0</v>
      </c>
      <c r="X17">
        <v>0</v>
      </c>
      <c r="Y17">
        <v>0</v>
      </c>
      <c r="Z17" s="3">
        <f>SUM(SanDiego[[#This Row],[American Sign Language Total]:[Other Total]])</f>
        <v>5</v>
      </c>
    </row>
    <row r="18" spans="1:26" x14ac:dyDescent="0.35">
      <c r="A18" s="14" t="s">
        <v>556</v>
      </c>
      <c r="B18" s="4" t="s">
        <v>557</v>
      </c>
      <c r="C18">
        <v>15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97</v>
      </c>
      <c r="V18">
        <v>0</v>
      </c>
      <c r="W18">
        <v>0</v>
      </c>
      <c r="X18">
        <v>0</v>
      </c>
      <c r="Y18">
        <v>0</v>
      </c>
      <c r="Z18" s="3">
        <f>SUM(SanDiego[[#This Row],[American Sign Language Total]:[Other Total]])</f>
        <v>112</v>
      </c>
    </row>
    <row r="19" spans="1:26" x14ac:dyDescent="0.35">
      <c r="A19" s="14" t="s">
        <v>918</v>
      </c>
      <c r="B19" s="4" t="s">
        <v>918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56</v>
      </c>
      <c r="V19">
        <v>0</v>
      </c>
      <c r="W19">
        <v>0</v>
      </c>
      <c r="X19">
        <v>0</v>
      </c>
      <c r="Y19">
        <v>0</v>
      </c>
      <c r="Z19" s="3">
        <f>SUM(SanDiego[[#This Row],[American Sign Language Total]:[Other Total]])</f>
        <v>56</v>
      </c>
    </row>
    <row r="20" spans="1:26" ht="80.5" customHeight="1" x14ac:dyDescent="0.35">
      <c r="A20" s="14" t="s">
        <v>558</v>
      </c>
      <c r="B20" s="4" t="s">
        <v>930</v>
      </c>
      <c r="C20">
        <v>0</v>
      </c>
      <c r="D20">
        <v>10</v>
      </c>
      <c r="E20">
        <v>0</v>
      </c>
      <c r="F20">
        <v>0</v>
      </c>
      <c r="G20">
        <v>11</v>
      </c>
      <c r="H20">
        <v>6</v>
      </c>
      <c r="I20">
        <v>1</v>
      </c>
      <c r="J20">
        <v>9</v>
      </c>
      <c r="K20">
        <v>0</v>
      </c>
      <c r="L20">
        <v>0</v>
      </c>
      <c r="M20">
        <v>0</v>
      </c>
      <c r="N20">
        <v>1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301</v>
      </c>
      <c r="V20">
        <v>3</v>
      </c>
      <c r="W20">
        <v>1</v>
      </c>
      <c r="X20">
        <v>0</v>
      </c>
      <c r="Y20">
        <v>15</v>
      </c>
      <c r="Z20" s="3">
        <f>SUM(SanDiego[[#This Row],[American Sign Language Total]:[Other Total]])</f>
        <v>360</v>
      </c>
    </row>
    <row r="21" spans="1:26" x14ac:dyDescent="0.35">
      <c r="A21" s="14" t="s">
        <v>919</v>
      </c>
      <c r="B21" s="4" t="s">
        <v>919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 s="3">
        <f>SUM(SanDiego[[#This Row],[American Sign Language Total]:[Other Total]])</f>
        <v>1</v>
      </c>
    </row>
    <row r="22" spans="1:26" x14ac:dyDescent="0.35">
      <c r="A22" s="14" t="s">
        <v>148</v>
      </c>
      <c r="B22" s="4" t="s">
        <v>148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19</v>
      </c>
      <c r="V22">
        <v>0</v>
      </c>
      <c r="W22">
        <v>0</v>
      </c>
      <c r="X22">
        <v>0</v>
      </c>
      <c r="Y22">
        <v>0</v>
      </c>
      <c r="Z22" s="3">
        <f>SUM(SanDiego[[#This Row],[American Sign Language Total]:[Other Total]])</f>
        <v>20</v>
      </c>
    </row>
    <row r="23" spans="1:26" x14ac:dyDescent="0.35">
      <c r="A23" s="14" t="s">
        <v>559</v>
      </c>
      <c r="B23" s="4" t="s">
        <v>559</v>
      </c>
      <c r="C23">
        <v>17</v>
      </c>
      <c r="D23">
        <v>0</v>
      </c>
      <c r="E23">
        <v>0</v>
      </c>
      <c r="F23">
        <v>0</v>
      </c>
      <c r="G23">
        <v>0</v>
      </c>
      <c r="H23">
        <v>0</v>
      </c>
      <c r="I23">
        <v>33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  <c r="P23">
        <v>0</v>
      </c>
      <c r="Q23">
        <v>0</v>
      </c>
      <c r="R23">
        <v>0</v>
      </c>
      <c r="S23">
        <v>0</v>
      </c>
      <c r="T23">
        <v>2</v>
      </c>
      <c r="U23">
        <v>104</v>
      </c>
      <c r="V23">
        <v>1</v>
      </c>
      <c r="W23">
        <v>0</v>
      </c>
      <c r="X23">
        <v>1</v>
      </c>
      <c r="Y23">
        <v>0</v>
      </c>
      <c r="Z23" s="3">
        <f>SUM(SanDiego[[#This Row],[American Sign Language Total]:[Other Total]])</f>
        <v>159</v>
      </c>
    </row>
    <row r="24" spans="1:26" x14ac:dyDescent="0.35">
      <c r="A24" s="14" t="s">
        <v>149</v>
      </c>
      <c r="B24" s="4" t="s">
        <v>149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  <c r="P24">
        <v>0</v>
      </c>
      <c r="Q24">
        <v>0</v>
      </c>
      <c r="R24">
        <v>0</v>
      </c>
      <c r="S24">
        <v>0</v>
      </c>
      <c r="T24">
        <v>0</v>
      </c>
      <c r="U24">
        <v>4</v>
      </c>
      <c r="V24">
        <v>0</v>
      </c>
      <c r="W24">
        <v>0</v>
      </c>
      <c r="X24">
        <v>0</v>
      </c>
      <c r="Y24">
        <v>2</v>
      </c>
      <c r="Z24" s="3">
        <f>SUM(SanDiego[[#This Row],[American Sign Language Total]:[Other Total]])</f>
        <v>7</v>
      </c>
    </row>
    <row r="25" spans="1:26" x14ac:dyDescent="0.35">
      <c r="A25" s="14" t="s">
        <v>150</v>
      </c>
      <c r="B25" s="4" t="s">
        <v>150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45</v>
      </c>
      <c r="V25">
        <v>0</v>
      </c>
      <c r="W25">
        <v>0</v>
      </c>
      <c r="X25">
        <v>0</v>
      </c>
      <c r="Y25">
        <v>0</v>
      </c>
      <c r="Z25" s="3">
        <f>SUM(SanDiego[[#This Row],[American Sign Language Total]:[Other Total]])</f>
        <v>47</v>
      </c>
    </row>
    <row r="26" spans="1:26" x14ac:dyDescent="0.35">
      <c r="A26" s="14" t="s">
        <v>151</v>
      </c>
      <c r="B26" s="4" t="s">
        <v>151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12</v>
      </c>
      <c r="V26">
        <v>0</v>
      </c>
      <c r="W26">
        <v>0</v>
      </c>
      <c r="X26">
        <v>0</v>
      </c>
      <c r="Y26">
        <v>0</v>
      </c>
      <c r="Z26" s="3">
        <f>SUM(SanDiego[[#This Row],[American Sign Language Total]:[Other Total]])</f>
        <v>13</v>
      </c>
    </row>
    <row r="27" spans="1:26" x14ac:dyDescent="0.35">
      <c r="A27" s="14" t="s">
        <v>152</v>
      </c>
      <c r="B27" s="4" t="s">
        <v>152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10</v>
      </c>
      <c r="V27">
        <v>0</v>
      </c>
      <c r="W27">
        <v>0</v>
      </c>
      <c r="X27">
        <v>0</v>
      </c>
      <c r="Y27">
        <v>1</v>
      </c>
      <c r="Z27" s="3">
        <f>SUM(SanDiego[[#This Row],[American Sign Language Total]:[Other Total]])</f>
        <v>11</v>
      </c>
    </row>
    <row r="28" spans="1:26" x14ac:dyDescent="0.35">
      <c r="A28" s="14" t="s">
        <v>153</v>
      </c>
      <c r="B28" s="4" t="s">
        <v>153</v>
      </c>
      <c r="C28">
        <v>0</v>
      </c>
      <c r="D28">
        <v>2</v>
      </c>
      <c r="E28">
        <v>0</v>
      </c>
      <c r="F28">
        <v>0</v>
      </c>
      <c r="G28">
        <v>0</v>
      </c>
      <c r="H28">
        <v>1</v>
      </c>
      <c r="I28">
        <v>1</v>
      </c>
      <c r="J28">
        <v>0</v>
      </c>
      <c r="K28">
        <v>1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1</v>
      </c>
      <c r="S28">
        <v>0</v>
      </c>
      <c r="T28">
        <v>0</v>
      </c>
      <c r="U28">
        <v>10</v>
      </c>
      <c r="V28">
        <v>0</v>
      </c>
      <c r="W28">
        <v>0</v>
      </c>
      <c r="X28">
        <v>0</v>
      </c>
      <c r="Y28">
        <v>0</v>
      </c>
      <c r="Z28" s="3">
        <f>SUM(SanDiego[[#This Row],[American Sign Language Total]:[Other Total]])</f>
        <v>17</v>
      </c>
    </row>
    <row r="29" spans="1:26" x14ac:dyDescent="0.35">
      <c r="A29" s="14" t="s">
        <v>920</v>
      </c>
      <c r="B29" s="4" t="s">
        <v>920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0</v>
      </c>
      <c r="X29">
        <v>0</v>
      </c>
      <c r="Y29">
        <v>0</v>
      </c>
      <c r="Z29" s="3">
        <f>SUM(SanDiego[[#This Row],[American Sign Language Total]:[Other Total]])</f>
        <v>1</v>
      </c>
    </row>
    <row r="30" spans="1:26" x14ac:dyDescent="0.35">
      <c r="A30" s="14" t="s">
        <v>921</v>
      </c>
      <c r="B30" s="4" t="s">
        <v>921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</v>
      </c>
      <c r="U30">
        <v>17</v>
      </c>
      <c r="V30">
        <v>0</v>
      </c>
      <c r="W30">
        <v>0</v>
      </c>
      <c r="X30">
        <v>0</v>
      </c>
      <c r="Y30">
        <v>0</v>
      </c>
      <c r="Z30" s="3">
        <f>SUM(SanDiego[[#This Row],[American Sign Language Total]:[Other Total]])</f>
        <v>19</v>
      </c>
    </row>
    <row r="31" spans="1:26" x14ac:dyDescent="0.35">
      <c r="A31" s="14" t="s">
        <v>922</v>
      </c>
      <c r="B31" s="4" t="s">
        <v>922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3</v>
      </c>
      <c r="V31">
        <v>0</v>
      </c>
      <c r="W31">
        <v>0</v>
      </c>
      <c r="X31">
        <v>0</v>
      </c>
      <c r="Y31">
        <v>0</v>
      </c>
      <c r="Z31" s="3">
        <f>SUM(SanDiego[[#This Row],[American Sign Language Total]:[Other Total]])</f>
        <v>3</v>
      </c>
    </row>
    <row r="32" spans="1:26" ht="31" x14ac:dyDescent="0.35">
      <c r="A32" s="14" t="s">
        <v>154</v>
      </c>
      <c r="B32" s="4" t="s">
        <v>931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24</v>
      </c>
      <c r="V32">
        <v>0</v>
      </c>
      <c r="W32">
        <v>0</v>
      </c>
      <c r="X32">
        <v>0</v>
      </c>
      <c r="Y32">
        <v>0</v>
      </c>
      <c r="Z32" s="3">
        <f>SUM(SanDiego[[#This Row],[American Sign Language Total]:[Other Total]])</f>
        <v>25</v>
      </c>
    </row>
    <row r="33" spans="1:26" x14ac:dyDescent="0.35">
      <c r="A33" s="14" t="s">
        <v>703</v>
      </c>
      <c r="B33" s="4" t="s">
        <v>703</v>
      </c>
      <c r="C33">
        <v>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19</v>
      </c>
      <c r="V33">
        <v>0</v>
      </c>
      <c r="W33">
        <v>0</v>
      </c>
      <c r="X33">
        <v>0</v>
      </c>
      <c r="Y33">
        <v>0</v>
      </c>
      <c r="Z33" s="3">
        <f>SUM(SanDiego[[#This Row],[American Sign Language Total]:[Other Total]])</f>
        <v>25</v>
      </c>
    </row>
    <row r="34" spans="1:26" x14ac:dyDescent="0.35">
      <c r="A34" s="14" t="s">
        <v>560</v>
      </c>
      <c r="B34" s="4" t="s">
        <v>932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  <c r="I34">
        <v>7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116</v>
      </c>
      <c r="V34">
        <v>0</v>
      </c>
      <c r="W34">
        <v>0</v>
      </c>
      <c r="X34">
        <v>0</v>
      </c>
      <c r="Y34">
        <v>0</v>
      </c>
      <c r="Z34" s="3">
        <f>SUM(SanDiego[[#This Row],[American Sign Language Total]:[Other Total]])</f>
        <v>127</v>
      </c>
    </row>
    <row r="35" spans="1:26" x14ac:dyDescent="0.35">
      <c r="A35" s="14" t="s">
        <v>923</v>
      </c>
      <c r="B35" s="4" t="s">
        <v>923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 s="3">
        <f>SUM(SanDiego[[#This Row],[American Sign Language Total]:[Other Total]])</f>
        <v>2</v>
      </c>
    </row>
    <row r="36" spans="1:26" ht="62" x14ac:dyDescent="0.35">
      <c r="A36" s="14" t="s">
        <v>561</v>
      </c>
      <c r="B36" s="4" t="s">
        <v>933</v>
      </c>
      <c r="C36">
        <v>0</v>
      </c>
      <c r="D36">
        <v>1</v>
      </c>
      <c r="E36">
        <v>0</v>
      </c>
      <c r="F36">
        <v>0</v>
      </c>
      <c r="G36">
        <v>88</v>
      </c>
      <c r="H36">
        <v>2</v>
      </c>
      <c r="I36">
        <v>29</v>
      </c>
      <c r="J36">
        <v>17</v>
      </c>
      <c r="K36">
        <v>0</v>
      </c>
      <c r="L36">
        <v>0</v>
      </c>
      <c r="M36">
        <v>0</v>
      </c>
      <c r="N36">
        <v>2</v>
      </c>
      <c r="O36">
        <v>7</v>
      </c>
      <c r="P36">
        <v>4</v>
      </c>
      <c r="Q36">
        <v>0</v>
      </c>
      <c r="R36">
        <v>1</v>
      </c>
      <c r="S36">
        <v>0</v>
      </c>
      <c r="T36">
        <v>6</v>
      </c>
      <c r="U36">
        <v>276</v>
      </c>
      <c r="V36">
        <v>17</v>
      </c>
      <c r="W36">
        <v>0</v>
      </c>
      <c r="X36">
        <v>0</v>
      </c>
      <c r="Y36">
        <v>1</v>
      </c>
      <c r="Z36" s="3">
        <f>SUM(SanDiego[[#This Row],[American Sign Language Total]:[Other Total]])</f>
        <v>451</v>
      </c>
    </row>
    <row r="37" spans="1:26" x14ac:dyDescent="0.35">
      <c r="A37" s="14" t="s">
        <v>704</v>
      </c>
      <c r="B37" s="4" t="s">
        <v>704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74</v>
      </c>
      <c r="V37">
        <v>0</v>
      </c>
      <c r="W37">
        <v>0</v>
      </c>
      <c r="X37">
        <v>0</v>
      </c>
      <c r="Y37">
        <v>0</v>
      </c>
      <c r="Z37" s="3">
        <f>SUM(SanDiego[[#This Row],[American Sign Language Total]:[Other Total]])</f>
        <v>74</v>
      </c>
    </row>
    <row r="38" spans="1:26" x14ac:dyDescent="0.35">
      <c r="A38" s="14" t="s">
        <v>562</v>
      </c>
      <c r="B38" s="4" t="s">
        <v>934</v>
      </c>
      <c r="C38">
        <v>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20</v>
      </c>
      <c r="V38">
        <v>0</v>
      </c>
      <c r="W38">
        <v>0</v>
      </c>
      <c r="X38">
        <v>0</v>
      </c>
      <c r="Y38">
        <v>0</v>
      </c>
      <c r="Z38" s="6">
        <f>SUM(SanDiego[[#This Row],[American Sign Language Total]:[Other Total]])</f>
        <v>22</v>
      </c>
    </row>
    <row r="39" spans="1:26" x14ac:dyDescent="0.35">
      <c r="A39" s="14" t="s">
        <v>924</v>
      </c>
      <c r="B39" s="4" t="s">
        <v>924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12</v>
      </c>
      <c r="V39">
        <v>0</v>
      </c>
      <c r="W39">
        <v>0</v>
      </c>
      <c r="X39">
        <v>0</v>
      </c>
      <c r="Y39">
        <v>0</v>
      </c>
      <c r="Z39" s="6">
        <f>SUM(SanDiego[[#This Row],[American Sign Language Total]:[Other Total]])</f>
        <v>12</v>
      </c>
    </row>
    <row r="40" spans="1:26" ht="207" customHeight="1" x14ac:dyDescent="0.35">
      <c r="A40" s="14" t="s">
        <v>925</v>
      </c>
      <c r="B40" s="4" t="s">
        <v>935</v>
      </c>
      <c r="C40">
        <v>83</v>
      </c>
      <c r="D40">
        <v>0</v>
      </c>
      <c r="E40">
        <v>0</v>
      </c>
      <c r="F40">
        <v>0</v>
      </c>
      <c r="G40">
        <v>41</v>
      </c>
      <c r="H40">
        <v>0</v>
      </c>
      <c r="I40">
        <v>47</v>
      </c>
      <c r="J40">
        <v>10</v>
      </c>
      <c r="K40">
        <v>2</v>
      </c>
      <c r="L40">
        <v>0</v>
      </c>
      <c r="M40">
        <v>0</v>
      </c>
      <c r="N40">
        <v>5</v>
      </c>
      <c r="O40">
        <v>24</v>
      </c>
      <c r="P40">
        <v>0</v>
      </c>
      <c r="Q40">
        <v>28</v>
      </c>
      <c r="R40">
        <v>6</v>
      </c>
      <c r="S40">
        <v>0</v>
      </c>
      <c r="T40">
        <v>3</v>
      </c>
      <c r="U40">
        <v>781</v>
      </c>
      <c r="V40">
        <v>39</v>
      </c>
      <c r="W40">
        <v>0</v>
      </c>
      <c r="X40">
        <v>1</v>
      </c>
      <c r="Y40">
        <v>4</v>
      </c>
      <c r="Z40" s="6">
        <f>SUM(SanDiego[[#This Row],[American Sign Language Total]:[Other Total]])</f>
        <v>1074</v>
      </c>
    </row>
    <row r="41" spans="1:26" ht="46.5" x14ac:dyDescent="0.35">
      <c r="A41" s="14" t="s">
        <v>926</v>
      </c>
      <c r="B41" s="4" t="s">
        <v>563</v>
      </c>
      <c r="C41">
        <v>57</v>
      </c>
      <c r="D41">
        <v>1</v>
      </c>
      <c r="E41">
        <v>0</v>
      </c>
      <c r="F41">
        <v>0</v>
      </c>
      <c r="G41">
        <v>124</v>
      </c>
      <c r="H41">
        <v>0</v>
      </c>
      <c r="I41">
        <v>73</v>
      </c>
      <c r="J41">
        <v>2</v>
      </c>
      <c r="K41">
        <v>9</v>
      </c>
      <c r="L41">
        <v>0</v>
      </c>
      <c r="M41">
        <v>0</v>
      </c>
      <c r="N41">
        <v>1</v>
      </c>
      <c r="O41">
        <v>49</v>
      </c>
      <c r="P41">
        <v>6</v>
      </c>
      <c r="Q41">
        <v>0</v>
      </c>
      <c r="R41">
        <v>0</v>
      </c>
      <c r="S41">
        <v>0</v>
      </c>
      <c r="T41">
        <v>1</v>
      </c>
      <c r="U41">
        <v>453</v>
      </c>
      <c r="V41">
        <v>0</v>
      </c>
      <c r="W41">
        <v>0</v>
      </c>
      <c r="X41">
        <v>0</v>
      </c>
      <c r="Y41">
        <v>1</v>
      </c>
      <c r="Z41" s="6">
        <f>SUM(SanDiego[[#This Row],[American Sign Language Total]:[Other Total]])</f>
        <v>777</v>
      </c>
    </row>
    <row r="42" spans="1:26" x14ac:dyDescent="0.35">
      <c r="A42" s="14" t="s">
        <v>927</v>
      </c>
      <c r="B42" s="4" t="s">
        <v>564</v>
      </c>
      <c r="C42">
        <v>0</v>
      </c>
      <c r="D42">
        <v>0</v>
      </c>
      <c r="E42">
        <v>0</v>
      </c>
      <c r="F42">
        <v>0</v>
      </c>
      <c r="G42">
        <v>4</v>
      </c>
      <c r="H42">
        <v>0</v>
      </c>
      <c r="I42">
        <v>10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121</v>
      </c>
      <c r="V42">
        <v>0</v>
      </c>
      <c r="W42">
        <v>0</v>
      </c>
      <c r="X42">
        <v>0</v>
      </c>
      <c r="Y42">
        <v>0</v>
      </c>
      <c r="Z42" s="6">
        <f>SUM(SanDiego[[#This Row],[American Sign Language Total]:[Other Total]])</f>
        <v>135</v>
      </c>
    </row>
    <row r="43" spans="1:26" x14ac:dyDescent="0.35">
      <c r="A43" s="14" t="s">
        <v>565</v>
      </c>
      <c r="B43" t="s">
        <v>565</v>
      </c>
      <c r="C43">
        <v>84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 s="3">
        <f>SUM(SanDiego[[#This Row],[American Sign Language Total]:[Other Total]])</f>
        <v>85</v>
      </c>
    </row>
    <row r="44" spans="1:26" ht="115.5" customHeight="1" x14ac:dyDescent="0.35">
      <c r="A44" s="14" t="s">
        <v>566</v>
      </c>
      <c r="B44" s="4" t="s">
        <v>936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15</v>
      </c>
      <c r="J44">
        <v>1</v>
      </c>
      <c r="K44">
        <v>0</v>
      </c>
      <c r="L44">
        <v>0</v>
      </c>
      <c r="M44">
        <v>0</v>
      </c>
      <c r="N44">
        <v>7</v>
      </c>
      <c r="O44">
        <v>10</v>
      </c>
      <c r="P44">
        <v>0</v>
      </c>
      <c r="Q44">
        <v>0</v>
      </c>
      <c r="R44">
        <v>0</v>
      </c>
      <c r="S44">
        <v>0</v>
      </c>
      <c r="T44">
        <v>0</v>
      </c>
      <c r="U44">
        <v>840</v>
      </c>
      <c r="V44">
        <v>40</v>
      </c>
      <c r="W44">
        <v>0</v>
      </c>
      <c r="X44">
        <v>0</v>
      </c>
      <c r="Y44">
        <v>0</v>
      </c>
      <c r="Z44" s="6">
        <f>SUM(SanDiego[[#This Row],[American Sign Language Total]:[Other Total]])</f>
        <v>914</v>
      </c>
    </row>
    <row r="45" spans="1:26" x14ac:dyDescent="0.35">
      <c r="A45" s="14" t="s">
        <v>567</v>
      </c>
      <c r="B45" s="4" t="s">
        <v>567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25</v>
      </c>
      <c r="V45">
        <v>0</v>
      </c>
      <c r="W45">
        <v>0</v>
      </c>
      <c r="X45">
        <v>0</v>
      </c>
      <c r="Y45">
        <v>0</v>
      </c>
      <c r="Z45" s="6">
        <f>SUM(SanDiego[[#This Row],[American Sign Language Total]:[Other Total]])</f>
        <v>25</v>
      </c>
    </row>
    <row r="46" spans="1:26" x14ac:dyDescent="0.35">
      <c r="A46" s="14" t="s">
        <v>928</v>
      </c>
      <c r="B46" s="4" t="s">
        <v>928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 s="6">
        <f>SUM(SanDiego[[#This Row],[American Sign Language Total]:[Other Total]])</f>
        <v>1</v>
      </c>
    </row>
    <row r="47" spans="1:26" x14ac:dyDescent="0.35">
      <c r="A47" s="14" t="s">
        <v>568</v>
      </c>
      <c r="B47" s="4" t="s">
        <v>569</v>
      </c>
      <c r="C47">
        <v>15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22</v>
      </c>
      <c r="V47">
        <v>0</v>
      </c>
      <c r="W47">
        <v>0</v>
      </c>
      <c r="X47">
        <v>0</v>
      </c>
      <c r="Y47">
        <v>0</v>
      </c>
      <c r="Z47" s="6">
        <f>SUM(SanDiego[[#This Row],[American Sign Language Total]:[Other Total]])</f>
        <v>37</v>
      </c>
    </row>
    <row r="48" spans="1:26" ht="31" x14ac:dyDescent="0.35">
      <c r="A48" s="14" t="s">
        <v>570</v>
      </c>
      <c r="B48" s="4" t="s">
        <v>937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10</v>
      </c>
      <c r="J48">
        <v>8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220</v>
      </c>
      <c r="V48">
        <v>0</v>
      </c>
      <c r="W48">
        <v>0</v>
      </c>
      <c r="X48">
        <v>0</v>
      </c>
      <c r="Y48">
        <v>0</v>
      </c>
      <c r="Z48" s="6">
        <f>SUM(SanDiego[[#This Row],[American Sign Language Total]:[Other Total]])</f>
        <v>238</v>
      </c>
    </row>
    <row r="49" spans="1:26" x14ac:dyDescent="0.35">
      <c r="A49" s="9" t="s">
        <v>1231</v>
      </c>
      <c r="B49" s="8" t="s">
        <v>1232</v>
      </c>
      <c r="C49" s="3">
        <f>SUBTOTAL(109,SanDiego[American Sign Language Total])</f>
        <v>329</v>
      </c>
      <c r="D49" s="3">
        <f>SUBTOTAL(109,SanDiego[Arabic Total])</f>
        <v>14</v>
      </c>
      <c r="E49" s="3">
        <f>SUBTOTAL(109,SanDiego[Armenian Total])</f>
        <v>0</v>
      </c>
      <c r="F49" s="3">
        <f>SUBTOTAL(109,SanDiego[Bengali Total])</f>
        <v>0</v>
      </c>
      <c r="G49" s="3">
        <f>SUBTOTAL(109,SanDiego[Chinese (Mandarin or Cantonese) Total])</f>
        <v>271</v>
      </c>
      <c r="H49" s="3">
        <f>SUBTOTAL(109,SanDiego[Farsi (Persian) Total])</f>
        <v>9</v>
      </c>
      <c r="I49" s="3">
        <f>SUBTOTAL(109,SanDiego[French Total])</f>
        <v>300</v>
      </c>
      <c r="J49" s="3">
        <f>SUBTOTAL(109,SanDiego[German Total])</f>
        <v>54</v>
      </c>
      <c r="K49" s="3">
        <f>SUBTOTAL(109,SanDiego[Hebrew Total])</f>
        <v>12</v>
      </c>
      <c r="L49" s="3">
        <f>SUBTOTAL(109,SanDiego[Hindi Total])</f>
        <v>0</v>
      </c>
      <c r="M49" s="3">
        <f>SUBTOTAL(109,SanDiego[Hmong Total])</f>
        <v>0</v>
      </c>
      <c r="N49" s="3">
        <f>SUBTOTAL(109,SanDiego[Italian Total])</f>
        <v>17</v>
      </c>
      <c r="O49" s="3">
        <f>SUBTOTAL(109,SanDiego[Japanese Total])</f>
        <v>105</v>
      </c>
      <c r="P49" s="3">
        <f>SUBTOTAL(109,SanDiego[Korean Total])</f>
        <v>11</v>
      </c>
      <c r="Q49" s="3">
        <f>SUBTOTAL(109,SanDiego[Latin Total])</f>
        <v>46</v>
      </c>
      <c r="R49" s="3">
        <f>SUBTOTAL(109,SanDiego[Portuguese Total])</f>
        <v>8</v>
      </c>
      <c r="S49" s="3">
        <f>SUBTOTAL(109,SanDiego[Punjabi Total])</f>
        <v>0</v>
      </c>
      <c r="T49" s="3">
        <f>SUBTOTAL(109,SanDiego[Russian Total])</f>
        <v>15</v>
      </c>
      <c r="U49" s="3">
        <f>SUBTOTAL(109,SanDiego[Spanish Total])</f>
        <v>4475</v>
      </c>
      <c r="V49" s="3">
        <f>SUBTOTAL(109,SanDiego[Tagalog (Filipino) Total])</f>
        <v>100</v>
      </c>
      <c r="W49" s="3">
        <f>SUBTOTAL(109,SanDiego[Urdu Total])</f>
        <v>1</v>
      </c>
      <c r="X49" s="3">
        <f>SUBTOTAL(109,SanDiego[Vietnamese Total])</f>
        <v>2</v>
      </c>
      <c r="Y49" s="3">
        <f>SUBTOTAL(109,SanDiego[Other Total])</f>
        <v>29</v>
      </c>
      <c r="Z49" s="3">
        <f>SUBTOTAL(109,SanDiego[Total Seals per Local Educational Agency])</f>
        <v>5798</v>
      </c>
    </row>
  </sheetData>
  <conditionalFormatting sqref="A1:B2">
    <cfRule type="duplicateValues" dxfId="19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E8F63-D93A-4BD5-8EC1-2D8D22E5E39B}">
  <dimension ref="A1:Z7"/>
  <sheetViews>
    <sheetView showGridLines="0" zoomScaleNormal="100" workbookViewId="0">
      <pane xSplit="1" ySplit="2" topLeftCell="B3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defaultRowHeight="15.5" x14ac:dyDescent="0.35"/>
  <cols>
    <col min="1" max="1" width="37" bestFit="1" customWidth="1"/>
    <col min="2" max="2" width="42.5351562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7" t="s">
        <v>34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571</v>
      </c>
      <c r="B3" s="4" t="s">
        <v>571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10</v>
      </c>
      <c r="V3">
        <v>0</v>
      </c>
      <c r="W3">
        <v>0</v>
      </c>
      <c r="X3">
        <v>0</v>
      </c>
      <c r="Y3">
        <v>0</v>
      </c>
      <c r="Z3">
        <f>SUM(SanFrancisco[[#This Row],[American Sign Language Total]:[Other Total]])</f>
        <v>10</v>
      </c>
    </row>
    <row r="4" spans="1:26" x14ac:dyDescent="0.35">
      <c r="A4" s="14" t="s">
        <v>572</v>
      </c>
      <c r="B4" s="4" t="s">
        <v>572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55</v>
      </c>
      <c r="V4">
        <v>0</v>
      </c>
      <c r="W4">
        <v>0</v>
      </c>
      <c r="X4">
        <v>0</v>
      </c>
      <c r="Y4">
        <v>0</v>
      </c>
      <c r="Z4" s="6">
        <f>SUM(SanFrancisco[[#This Row],[American Sign Language Total]:[Other Total]])</f>
        <v>55</v>
      </c>
    </row>
    <row r="5" spans="1:26" x14ac:dyDescent="0.35">
      <c r="A5" s="14" t="s">
        <v>155</v>
      </c>
      <c r="B5" s="4" t="s">
        <v>155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9</v>
      </c>
      <c r="V5">
        <v>0</v>
      </c>
      <c r="W5">
        <v>0</v>
      </c>
      <c r="X5">
        <v>0</v>
      </c>
      <c r="Y5">
        <v>0</v>
      </c>
      <c r="Z5" s="6">
        <f>SUM(SanFrancisco[[#This Row],[American Sign Language Total]:[Other Total]])</f>
        <v>9</v>
      </c>
    </row>
    <row r="6" spans="1:26" ht="125.25" customHeight="1" x14ac:dyDescent="0.35">
      <c r="A6" s="14" t="s">
        <v>573</v>
      </c>
      <c r="B6" s="4" t="s">
        <v>938</v>
      </c>
      <c r="C6">
        <v>0</v>
      </c>
      <c r="D6">
        <v>5</v>
      </c>
      <c r="E6">
        <v>0</v>
      </c>
      <c r="F6">
        <v>0</v>
      </c>
      <c r="G6">
        <v>290</v>
      </c>
      <c r="H6">
        <v>0</v>
      </c>
      <c r="I6">
        <v>2</v>
      </c>
      <c r="J6">
        <v>0</v>
      </c>
      <c r="K6">
        <v>0</v>
      </c>
      <c r="L6">
        <v>0</v>
      </c>
      <c r="M6">
        <v>0</v>
      </c>
      <c r="N6">
        <v>12</v>
      </c>
      <c r="O6">
        <v>69</v>
      </c>
      <c r="P6">
        <v>20</v>
      </c>
      <c r="Q6">
        <v>5</v>
      </c>
      <c r="R6">
        <v>1</v>
      </c>
      <c r="S6">
        <v>0</v>
      </c>
      <c r="T6">
        <v>10</v>
      </c>
      <c r="U6">
        <v>290</v>
      </c>
      <c r="V6">
        <v>10</v>
      </c>
      <c r="W6">
        <v>0</v>
      </c>
      <c r="X6">
        <v>6</v>
      </c>
      <c r="Y6">
        <v>0</v>
      </c>
      <c r="Z6" s="6">
        <f>SUM(SanFrancisco[[#This Row],[American Sign Language Total]:[Other Total]])</f>
        <v>720</v>
      </c>
    </row>
    <row r="7" spans="1:26" x14ac:dyDescent="0.35">
      <c r="A7" s="9" t="s">
        <v>196</v>
      </c>
      <c r="B7" s="8" t="s">
        <v>939</v>
      </c>
      <c r="C7" s="3">
        <f>SUBTOTAL(109,SanFrancisco[American Sign Language Total])</f>
        <v>0</v>
      </c>
      <c r="D7" s="3">
        <f>SUBTOTAL(109,SanFrancisco[Arabic Total])</f>
        <v>5</v>
      </c>
      <c r="E7" s="3">
        <f>SUBTOTAL(109,SanFrancisco[Armenian Total])</f>
        <v>0</v>
      </c>
      <c r="F7" s="3">
        <f>SUBTOTAL(109,SanFrancisco[Bengali Total])</f>
        <v>0</v>
      </c>
      <c r="G7" s="3">
        <f>SUBTOTAL(109,SanFrancisco[Chinese (Mandarin or Cantonese) Total])</f>
        <v>290</v>
      </c>
      <c r="H7" s="3">
        <f>SUBTOTAL(109,SanFrancisco[Farsi (Persian) Total])</f>
        <v>0</v>
      </c>
      <c r="I7" s="3">
        <f>SUBTOTAL(109,SanFrancisco[French Total])</f>
        <v>2</v>
      </c>
      <c r="J7" s="3">
        <f>SUBTOTAL(109,SanFrancisco[German Total])</f>
        <v>0</v>
      </c>
      <c r="K7" s="3">
        <f>SUBTOTAL(109,SanFrancisco[Hebrew Total])</f>
        <v>0</v>
      </c>
      <c r="L7" s="3">
        <f>SUBTOTAL(109,SanFrancisco[Hindi Total])</f>
        <v>0</v>
      </c>
      <c r="M7" s="3">
        <f>SUBTOTAL(109,SanFrancisco[Hmong Total])</f>
        <v>0</v>
      </c>
      <c r="N7" s="3">
        <f>SUBTOTAL(109,SanFrancisco[Italian Total])</f>
        <v>12</v>
      </c>
      <c r="O7" s="3">
        <f>SUBTOTAL(109,SanFrancisco[Japanese Total])</f>
        <v>69</v>
      </c>
      <c r="P7" s="3">
        <f>SUBTOTAL(109,SanFrancisco[Korean Total])</f>
        <v>20</v>
      </c>
      <c r="Q7" s="3">
        <f>SUBTOTAL(109,SanFrancisco[Latin Total])</f>
        <v>5</v>
      </c>
      <c r="R7" s="3">
        <f>SUBTOTAL(109,SanFrancisco[Portuguese Total])</f>
        <v>1</v>
      </c>
      <c r="S7" s="3">
        <f>SUBTOTAL(109,SanFrancisco[Punjabi Total])</f>
        <v>0</v>
      </c>
      <c r="T7" s="3">
        <f>SUBTOTAL(109,SanFrancisco[Russian Total])</f>
        <v>10</v>
      </c>
      <c r="U7" s="3">
        <f>SUBTOTAL(109,SanFrancisco[Spanish Total])</f>
        <v>364</v>
      </c>
      <c r="V7" s="3">
        <f>SUBTOTAL(109,SanFrancisco[Tagalog (Filipino) Total])</f>
        <v>10</v>
      </c>
      <c r="W7" s="3">
        <f>SUBTOTAL(109,SanFrancisco[Urdu Total])</f>
        <v>0</v>
      </c>
      <c r="X7" s="3">
        <f>SUBTOTAL(109,SanFrancisco[Vietnamese Total])</f>
        <v>6</v>
      </c>
      <c r="Y7" s="3">
        <f>SUBTOTAL(109,SanFrancisco[Other Total])</f>
        <v>0</v>
      </c>
      <c r="Z7" s="3">
        <f>SUBTOTAL(109,SanFrancisco[Total Seals per Local Educational Agency])</f>
        <v>794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9E1C0-78CC-4495-90D0-D1355C776A7E}">
  <dimension ref="A1:Z18"/>
  <sheetViews>
    <sheetView showGridLines="0" zoomScaleNormal="100" workbookViewId="0">
      <pane xSplit="1" ySplit="2" topLeftCell="B3" activePane="bottomRight" state="frozen"/>
      <selection activeCell="A18" sqref="A18"/>
      <selection pane="topRight" activeCell="A18" sqref="A18"/>
      <selection pane="bottomLeft" activeCell="A18" sqref="A18"/>
      <selection pane="bottomRight"/>
    </sheetView>
  </sheetViews>
  <sheetFormatPr defaultRowHeight="15.5" x14ac:dyDescent="0.35"/>
  <cols>
    <col min="1" max="1" width="30.69140625" customWidth="1"/>
    <col min="2" max="2" width="39.69140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8" t="s">
        <v>12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6" t="s">
        <v>940</v>
      </c>
      <c r="B3" s="4" t="s">
        <v>940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9</v>
      </c>
      <c r="V3">
        <v>0</v>
      </c>
      <c r="W3">
        <v>0</v>
      </c>
      <c r="X3">
        <v>0</v>
      </c>
      <c r="Y3">
        <v>0</v>
      </c>
      <c r="Z3">
        <f>SUM(SanJoaquin[[#This Row],[American Sign Language Total]:[Other Total]])</f>
        <v>9</v>
      </c>
    </row>
    <row r="4" spans="1:26" x14ac:dyDescent="0.35">
      <c r="A4" s="14" t="s">
        <v>941</v>
      </c>
      <c r="B4" s="4" t="s">
        <v>944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0</v>
      </c>
      <c r="Z4">
        <f>SUM(SanJoaquin[[#This Row],[American Sign Language Total]:[Other Total]])</f>
        <v>10</v>
      </c>
    </row>
    <row r="5" spans="1:26" x14ac:dyDescent="0.35">
      <c r="A5" s="14" t="s">
        <v>575</v>
      </c>
      <c r="B5" s="4" t="s">
        <v>575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27</v>
      </c>
      <c r="V5">
        <v>0</v>
      </c>
      <c r="W5">
        <v>0</v>
      </c>
      <c r="X5">
        <v>0</v>
      </c>
      <c r="Y5">
        <v>0</v>
      </c>
      <c r="Z5">
        <f>SUM(SanJoaquin[[#This Row],[American Sign Language Total]:[Other Total]])</f>
        <v>27</v>
      </c>
    </row>
    <row r="6" spans="1:26" x14ac:dyDescent="0.35">
      <c r="A6" s="14" t="s">
        <v>576</v>
      </c>
      <c r="B6" s="4" t="s">
        <v>945</v>
      </c>
      <c r="C6">
        <v>0</v>
      </c>
      <c r="D6">
        <v>0</v>
      </c>
      <c r="E6">
        <v>0</v>
      </c>
      <c r="F6">
        <v>0</v>
      </c>
      <c r="G6">
        <v>9</v>
      </c>
      <c r="H6">
        <v>0</v>
      </c>
      <c r="I6">
        <v>9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49</v>
      </c>
      <c r="V6">
        <v>0</v>
      </c>
      <c r="W6">
        <v>0</v>
      </c>
      <c r="X6">
        <v>0</v>
      </c>
      <c r="Y6">
        <v>20</v>
      </c>
      <c r="Z6">
        <f>SUM(SanJoaquin[[#This Row],[American Sign Language Total]:[Other Total]])</f>
        <v>87</v>
      </c>
    </row>
    <row r="7" spans="1:26" x14ac:dyDescent="0.35">
      <c r="A7" s="14" t="s">
        <v>156</v>
      </c>
      <c r="B7" s="4" t="s">
        <v>577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4</v>
      </c>
      <c r="J7">
        <v>0</v>
      </c>
      <c r="K7">
        <v>0</v>
      </c>
      <c r="L7">
        <v>0</v>
      </c>
      <c r="M7">
        <v>0</v>
      </c>
      <c r="N7">
        <v>42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141</v>
      </c>
      <c r="V7">
        <v>0</v>
      </c>
      <c r="W7">
        <v>0</v>
      </c>
      <c r="X7">
        <v>0</v>
      </c>
      <c r="Y7">
        <v>0</v>
      </c>
      <c r="Z7">
        <f>SUM(SanJoaquin[[#This Row],[American Sign Language Total]:[Other Total]])</f>
        <v>187</v>
      </c>
    </row>
    <row r="8" spans="1:26" x14ac:dyDescent="0.35">
      <c r="A8" s="14" t="s">
        <v>578</v>
      </c>
      <c r="B8" s="4" t="s">
        <v>579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27</v>
      </c>
      <c r="V8">
        <v>0</v>
      </c>
      <c r="W8">
        <v>0</v>
      </c>
      <c r="X8">
        <v>0</v>
      </c>
      <c r="Y8">
        <v>0</v>
      </c>
      <c r="Z8">
        <f>SUM(SanJoaquin[[#This Row],[American Sign Language Total]:[Other Total]])</f>
        <v>27</v>
      </c>
    </row>
    <row r="9" spans="1:26" ht="31" x14ac:dyDescent="0.35">
      <c r="A9" s="14" t="s">
        <v>157</v>
      </c>
      <c r="B9" s="4" t="s">
        <v>946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  <c r="I9">
        <v>25</v>
      </c>
      <c r="J9">
        <v>0</v>
      </c>
      <c r="K9">
        <v>0</v>
      </c>
      <c r="L9">
        <v>0</v>
      </c>
      <c r="M9">
        <v>0</v>
      </c>
      <c r="N9">
        <v>0</v>
      </c>
      <c r="O9">
        <v>5</v>
      </c>
      <c r="P9">
        <v>0</v>
      </c>
      <c r="Q9">
        <v>0</v>
      </c>
      <c r="R9">
        <v>0</v>
      </c>
      <c r="S9">
        <v>1</v>
      </c>
      <c r="T9">
        <v>0</v>
      </c>
      <c r="U9">
        <v>181</v>
      </c>
      <c r="V9">
        <v>2</v>
      </c>
      <c r="W9">
        <v>0</v>
      </c>
      <c r="X9">
        <v>1</v>
      </c>
      <c r="Y9">
        <v>0</v>
      </c>
      <c r="Z9">
        <f>SUM(SanJoaquin[[#This Row],[American Sign Language Total]:[Other Total]])</f>
        <v>216</v>
      </c>
    </row>
    <row r="10" spans="1:26" ht="31" x14ac:dyDescent="0.35">
      <c r="A10" s="14" t="s">
        <v>580</v>
      </c>
      <c r="B10" s="4" t="s">
        <v>581</v>
      </c>
      <c r="C10">
        <v>2</v>
      </c>
      <c r="D10">
        <v>0</v>
      </c>
      <c r="E10">
        <v>0</v>
      </c>
      <c r="F10">
        <v>0</v>
      </c>
      <c r="G10">
        <v>0</v>
      </c>
      <c r="H10">
        <v>1</v>
      </c>
      <c r="I10">
        <v>12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229</v>
      </c>
      <c r="V10">
        <v>0</v>
      </c>
      <c r="W10">
        <v>0</v>
      </c>
      <c r="X10">
        <v>0</v>
      </c>
      <c r="Y10">
        <v>0</v>
      </c>
      <c r="Z10">
        <f>SUM(SanJoaquin[[#This Row],[American Sign Language Total]:[Other Total]])</f>
        <v>245</v>
      </c>
    </row>
    <row r="11" spans="1:26" x14ac:dyDescent="0.35">
      <c r="A11" s="14" t="s">
        <v>942</v>
      </c>
      <c r="B11" s="4" t="s">
        <v>942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7</v>
      </c>
      <c r="V11">
        <v>0</v>
      </c>
      <c r="W11">
        <v>0</v>
      </c>
      <c r="X11">
        <v>0</v>
      </c>
      <c r="Y11">
        <v>0</v>
      </c>
      <c r="Z11">
        <f>SUM(SanJoaquin[[#This Row],[American Sign Language Total]:[Other Total]])</f>
        <v>7</v>
      </c>
    </row>
    <row r="12" spans="1:26" x14ac:dyDescent="0.35">
      <c r="A12" s="14" t="s">
        <v>582</v>
      </c>
      <c r="B12" s="2" t="s">
        <v>582</v>
      </c>
      <c r="C12">
        <v>0</v>
      </c>
      <c r="D12">
        <v>4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 s="6">
        <f>SUM(SanJoaquin[[#This Row],[American Sign Language Total]:[Other Total]])</f>
        <v>6</v>
      </c>
    </row>
    <row r="13" spans="1:26" x14ac:dyDescent="0.35">
      <c r="A13" s="14" t="s">
        <v>158</v>
      </c>
      <c r="B13" s="4" t="s">
        <v>583</v>
      </c>
      <c r="C13">
        <v>0</v>
      </c>
      <c r="D13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1</v>
      </c>
      <c r="T13">
        <v>0</v>
      </c>
      <c r="U13">
        <v>37</v>
      </c>
      <c r="V13">
        <v>1</v>
      </c>
      <c r="W13">
        <v>0</v>
      </c>
      <c r="X13">
        <v>0</v>
      </c>
      <c r="Y13">
        <v>0</v>
      </c>
      <c r="Z13" s="6">
        <f>SUM(SanJoaquin[[#This Row],[American Sign Language Total]:[Other Total]])</f>
        <v>40</v>
      </c>
    </row>
    <row r="14" spans="1:26" ht="31" x14ac:dyDescent="0.35">
      <c r="A14" s="16" t="s">
        <v>705</v>
      </c>
      <c r="B14" s="4" t="s">
        <v>584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33</v>
      </c>
      <c r="V14">
        <v>0</v>
      </c>
      <c r="W14">
        <v>0</v>
      </c>
      <c r="X14">
        <v>0</v>
      </c>
      <c r="Y14">
        <v>0</v>
      </c>
      <c r="Z14" s="6">
        <f>SUM(SanJoaquin[[#This Row],[American Sign Language Total]:[Other Total]])</f>
        <v>33</v>
      </c>
    </row>
    <row r="15" spans="1:26" ht="93" x14ac:dyDescent="0.35">
      <c r="A15" s="14" t="s">
        <v>585</v>
      </c>
      <c r="B15" s="4" t="s">
        <v>947</v>
      </c>
      <c r="C15">
        <v>0</v>
      </c>
      <c r="D15">
        <v>2</v>
      </c>
      <c r="E15">
        <v>0</v>
      </c>
      <c r="F15">
        <v>0</v>
      </c>
      <c r="G15">
        <v>1</v>
      </c>
      <c r="H15">
        <v>0</v>
      </c>
      <c r="I15">
        <v>34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491</v>
      </c>
      <c r="V15">
        <v>9</v>
      </c>
      <c r="W15">
        <v>2</v>
      </c>
      <c r="X15">
        <v>0</v>
      </c>
      <c r="Y15">
        <v>4</v>
      </c>
      <c r="Z15" s="6">
        <f>SUM(SanJoaquin[[#This Row],[American Sign Language Total]:[Other Total]])</f>
        <v>543</v>
      </c>
    </row>
    <row r="16" spans="1:26" ht="31" x14ac:dyDescent="0.35">
      <c r="A16" s="14" t="s">
        <v>586</v>
      </c>
      <c r="B16" s="4" t="s">
        <v>587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16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131</v>
      </c>
      <c r="V16">
        <v>0</v>
      </c>
      <c r="W16">
        <v>0</v>
      </c>
      <c r="X16">
        <v>0</v>
      </c>
      <c r="Y16">
        <v>1</v>
      </c>
      <c r="Z16" s="6">
        <f>SUM(SanJoaquin[[#This Row],[American Sign Language Total]:[Other Total]])</f>
        <v>148</v>
      </c>
    </row>
    <row r="17" spans="1:26" x14ac:dyDescent="0.35">
      <c r="A17" s="14" t="s">
        <v>588</v>
      </c>
      <c r="B17" s="4" t="s">
        <v>588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35</v>
      </c>
      <c r="V17">
        <v>0</v>
      </c>
      <c r="W17">
        <v>0</v>
      </c>
      <c r="X17">
        <v>0</v>
      </c>
      <c r="Y17">
        <v>0</v>
      </c>
      <c r="Z17" s="6">
        <f>SUM(SanJoaquin[[#This Row],[American Sign Language Total]:[Other Total]])</f>
        <v>35</v>
      </c>
    </row>
    <row r="18" spans="1:26" x14ac:dyDescent="0.35">
      <c r="A18" s="9" t="s">
        <v>943</v>
      </c>
      <c r="B18" s="8" t="s">
        <v>948</v>
      </c>
      <c r="C18" s="3">
        <f>SUBTOTAL(109,SanJoaquin[American Sign Language Total])</f>
        <v>3</v>
      </c>
      <c r="D18" s="3">
        <f>SUBTOTAL(109,SanJoaquin[Arabic Total])</f>
        <v>7</v>
      </c>
      <c r="E18" s="3">
        <f>SUBTOTAL(109,SanJoaquin[Armenian Total])</f>
        <v>0</v>
      </c>
      <c r="F18" s="3">
        <f>SUBTOTAL(109,SanJoaquin[Bengali Total])</f>
        <v>0</v>
      </c>
      <c r="G18" s="3">
        <f>SUBTOTAL(109,SanJoaquin[Chinese (Mandarin or Cantonese) Total])</f>
        <v>10</v>
      </c>
      <c r="H18" s="3">
        <f>SUBTOTAL(109,SanJoaquin[Farsi (Persian) Total])</f>
        <v>1</v>
      </c>
      <c r="I18" s="3">
        <f>SUBTOTAL(109,SanJoaquin[French Total])</f>
        <v>100</v>
      </c>
      <c r="J18" s="3">
        <f>SUBTOTAL(109,SanJoaquin[German Total])</f>
        <v>0</v>
      </c>
      <c r="K18" s="3">
        <f>SUBTOTAL(109,SanJoaquin[Hebrew Total])</f>
        <v>0</v>
      </c>
      <c r="L18" s="3">
        <f>SUBTOTAL(109,SanJoaquin[Hindi Total])</f>
        <v>1</v>
      </c>
      <c r="M18" s="3">
        <f>SUBTOTAL(109,SanJoaquin[Hmong Total])</f>
        <v>0</v>
      </c>
      <c r="N18" s="3">
        <f>SUBTOTAL(109,SanJoaquin[Italian Total])</f>
        <v>42</v>
      </c>
      <c r="O18" s="3">
        <f>SUBTOTAL(109,SanJoaquin[Japanese Total])</f>
        <v>6</v>
      </c>
      <c r="P18" s="3">
        <f>SUBTOTAL(109,SanJoaquin[Korean Total])</f>
        <v>0</v>
      </c>
      <c r="Q18" s="3">
        <f>SUBTOTAL(109,SanJoaquin[Latin Total])</f>
        <v>0</v>
      </c>
      <c r="R18" s="3">
        <f>SUBTOTAL(109,SanJoaquin[Portuguese Total])</f>
        <v>0</v>
      </c>
      <c r="S18" s="3">
        <f>SUBTOTAL(109,SanJoaquin[Punjabi Total])</f>
        <v>2</v>
      </c>
      <c r="T18" s="3">
        <f>SUBTOTAL(109,SanJoaquin[Russian Total])</f>
        <v>0</v>
      </c>
      <c r="U18" s="3">
        <f>SUBTOTAL(109,SanJoaquin[Spanish Total])</f>
        <v>1408</v>
      </c>
      <c r="V18" s="3">
        <f>SUBTOTAL(109,SanJoaquin[Tagalog (Filipino) Total])</f>
        <v>12</v>
      </c>
      <c r="W18" s="3">
        <f>SUBTOTAL(109,SanJoaquin[Urdu Total])</f>
        <v>2</v>
      </c>
      <c r="X18" s="3">
        <f>SUBTOTAL(109,SanJoaquin[Vietnamese Total])</f>
        <v>1</v>
      </c>
      <c r="Y18" s="3">
        <f>SUBTOTAL(109,SanJoaquin[Other Total])</f>
        <v>25</v>
      </c>
      <c r="Z18" s="3">
        <f>SUBTOTAL(109,SanJoaquin[Total Seals per Local Educational Agency])</f>
        <v>1620</v>
      </c>
    </row>
  </sheetData>
  <conditionalFormatting sqref="A1:B2">
    <cfRule type="duplicateValues" dxfId="18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6B96-E38A-4E66-BB9F-4DFB55303480}">
  <dimension ref="A1:Z7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24.53515625" bestFit="1" customWidth="1"/>
    <col min="2" max="2" width="37.23046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25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4" t="s">
        <v>949</v>
      </c>
      <c r="B3" s="4" t="s">
        <v>589</v>
      </c>
      <c r="C3">
        <v>12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58</v>
      </c>
      <c r="V3">
        <v>0</v>
      </c>
      <c r="W3">
        <v>0</v>
      </c>
      <c r="X3">
        <v>0</v>
      </c>
      <c r="Y3">
        <v>0</v>
      </c>
      <c r="Z3">
        <f>SUM(SanLuisObispo[[#This Row],[American Sign Language Total]:[Other Total]])</f>
        <v>70</v>
      </c>
    </row>
    <row r="4" spans="1:26" ht="31" x14ac:dyDescent="0.35">
      <c r="A4" s="14" t="s">
        <v>590</v>
      </c>
      <c r="B4" s="4" t="s">
        <v>950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54</v>
      </c>
      <c r="V4">
        <v>0</v>
      </c>
      <c r="W4">
        <v>0</v>
      </c>
      <c r="X4">
        <v>0</v>
      </c>
      <c r="Y4">
        <v>0</v>
      </c>
      <c r="Z4">
        <f>SUM(SanLuisObispo[[#This Row],[American Sign Language Total]:[Other Total]])</f>
        <v>54</v>
      </c>
    </row>
    <row r="5" spans="1:26" x14ac:dyDescent="0.35">
      <c r="A5" s="14" t="s">
        <v>159</v>
      </c>
      <c r="B5" s="4" t="s">
        <v>591</v>
      </c>
      <c r="C5">
        <v>41</v>
      </c>
      <c r="D5">
        <v>1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2</v>
      </c>
      <c r="P5">
        <v>0</v>
      </c>
      <c r="Q5">
        <v>13</v>
      </c>
      <c r="R5">
        <v>0</v>
      </c>
      <c r="S5">
        <v>0</v>
      </c>
      <c r="T5">
        <v>0</v>
      </c>
      <c r="U5">
        <v>69</v>
      </c>
      <c r="V5">
        <v>0</v>
      </c>
      <c r="W5">
        <v>0</v>
      </c>
      <c r="X5">
        <v>0</v>
      </c>
      <c r="Y5">
        <v>1</v>
      </c>
      <c r="Z5">
        <f>SUM(SanLuisObispo[[#This Row],[American Sign Language Total]:[Other Total]])</f>
        <v>128</v>
      </c>
    </row>
    <row r="6" spans="1:26" x14ac:dyDescent="0.35">
      <c r="A6" s="14" t="s">
        <v>592</v>
      </c>
      <c r="B6" s="4" t="s">
        <v>593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26</v>
      </c>
      <c r="V6">
        <v>0</v>
      </c>
      <c r="W6">
        <v>0</v>
      </c>
      <c r="X6">
        <v>0</v>
      </c>
      <c r="Y6">
        <v>0</v>
      </c>
      <c r="Z6">
        <f>SUM(SanLuisObispo[[#This Row],[American Sign Language Total]:[Other Total]])</f>
        <v>26</v>
      </c>
    </row>
    <row r="7" spans="1:26" x14ac:dyDescent="0.35">
      <c r="A7" s="9" t="s">
        <v>196</v>
      </c>
      <c r="B7" s="8" t="s">
        <v>628</v>
      </c>
      <c r="C7" s="3">
        <f>SUBTOTAL(109,SanLuisObispo[American Sign Language Total])</f>
        <v>53</v>
      </c>
      <c r="D7" s="3">
        <f>SUBTOTAL(109,SanLuisObispo[Arabic Total])</f>
        <v>1</v>
      </c>
      <c r="E7" s="3">
        <f>SUBTOTAL(109,SanLuisObispo[Armenian Total])</f>
        <v>0</v>
      </c>
      <c r="F7" s="3">
        <f>SUBTOTAL(109,SanLuisObispo[Bengali Total])</f>
        <v>0</v>
      </c>
      <c r="G7" s="3">
        <f>SUBTOTAL(109,SanLuisObispo[Chinese (Mandarin or Cantonese) Total])</f>
        <v>0</v>
      </c>
      <c r="H7" s="3">
        <f>SUBTOTAL(109,SanLuisObispo[Farsi (Persian) Total])</f>
        <v>0</v>
      </c>
      <c r="I7" s="3">
        <f>SUBTOTAL(109,SanLuisObispo[French Total])</f>
        <v>1</v>
      </c>
      <c r="J7" s="3">
        <f>SUBTOTAL(109,SanLuisObispo[German Total])</f>
        <v>0</v>
      </c>
      <c r="K7" s="3">
        <f>SUBTOTAL(109,SanLuisObispo[Hebrew Total])</f>
        <v>0</v>
      </c>
      <c r="L7" s="3">
        <f>SUBTOTAL(109,SanLuisObispo[Hindi Total])</f>
        <v>0</v>
      </c>
      <c r="M7" s="3">
        <f>SUBTOTAL(109,SanLuisObispo[Hmong Total])</f>
        <v>0</v>
      </c>
      <c r="N7" s="3">
        <f>SUBTOTAL(109,SanLuisObispo[Italian Total])</f>
        <v>0</v>
      </c>
      <c r="O7" s="3">
        <f>SUBTOTAL(109,SanLuisObispo[Japanese Total])</f>
        <v>2</v>
      </c>
      <c r="P7" s="3">
        <f>SUBTOTAL(109,SanLuisObispo[Korean Total])</f>
        <v>0</v>
      </c>
      <c r="Q7" s="3">
        <f>SUBTOTAL(109,SanLuisObispo[Latin Total])</f>
        <v>13</v>
      </c>
      <c r="R7" s="3">
        <f>SUBTOTAL(109,SanLuisObispo[Portuguese Total])</f>
        <v>0</v>
      </c>
      <c r="S7" s="3">
        <f>SUBTOTAL(109,SanLuisObispo[Punjabi Total])</f>
        <v>0</v>
      </c>
      <c r="T7" s="3">
        <f>SUBTOTAL(109,SanLuisObispo[Russian Total])</f>
        <v>0</v>
      </c>
      <c r="U7" s="3">
        <f>SUBTOTAL(109,SanLuisObispo[Spanish Total])</f>
        <v>207</v>
      </c>
      <c r="V7" s="3">
        <f>SUBTOTAL(109,SanLuisObispo[Tagalog (Filipino) Total])</f>
        <v>0</v>
      </c>
      <c r="W7" s="3">
        <f>SUBTOTAL(109,SanLuisObispo[Urdu Total])</f>
        <v>0</v>
      </c>
      <c r="X7" s="3">
        <f>SUBTOTAL(109,SanLuisObispo[Vietnamese Total])</f>
        <v>0</v>
      </c>
      <c r="Y7" s="3">
        <f>SUBTOTAL(109,SanLuisObispo[Other Total])</f>
        <v>1</v>
      </c>
      <c r="Z7" s="3">
        <f>SUBTOTAL(109,SanLuisObispo[Total Seals per Local Educational Agency])</f>
        <v>278</v>
      </c>
    </row>
  </sheetData>
  <conditionalFormatting sqref="A1:B2">
    <cfRule type="duplicateValues" dxfId="17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4B6DF-20BD-42BE-BFE3-4D51528221F8}">
  <dimension ref="A1:Z10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34.15234375" bestFit="1" customWidth="1"/>
    <col min="2" max="2" width="37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23046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" customWidth="1"/>
  </cols>
  <sheetData>
    <row r="1" spans="1:26" ht="18" x14ac:dyDescent="0.4">
      <c r="A1" s="27" t="s">
        <v>17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595</v>
      </c>
      <c r="B3" s="4" t="s">
        <v>596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6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32</v>
      </c>
      <c r="V3">
        <v>0</v>
      </c>
      <c r="W3">
        <v>0</v>
      </c>
      <c r="X3">
        <v>0</v>
      </c>
      <c r="Y3">
        <v>0</v>
      </c>
      <c r="Z3">
        <f>SUM(SanMateo[[#This Row],[American Sign Language Total]:[Other Total]])</f>
        <v>38</v>
      </c>
    </row>
    <row r="4" spans="1:26" ht="31" x14ac:dyDescent="0.35">
      <c r="A4" s="14" t="s">
        <v>597</v>
      </c>
      <c r="B4" s="4" t="s">
        <v>953</v>
      </c>
      <c r="C4">
        <v>0</v>
      </c>
      <c r="D4">
        <v>1</v>
      </c>
      <c r="E4">
        <v>0</v>
      </c>
      <c r="F4">
        <v>0</v>
      </c>
      <c r="G4">
        <v>11</v>
      </c>
      <c r="H4">
        <v>0</v>
      </c>
      <c r="I4">
        <v>5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1</v>
      </c>
      <c r="U4">
        <v>77</v>
      </c>
      <c r="V4">
        <v>25</v>
      </c>
      <c r="W4">
        <v>0</v>
      </c>
      <c r="X4">
        <v>1</v>
      </c>
      <c r="Y4">
        <v>3</v>
      </c>
      <c r="Z4" s="6">
        <f>SUM(SanMateo[[#This Row],[American Sign Language Total]:[Other Total]])</f>
        <v>125</v>
      </c>
    </row>
    <row r="5" spans="1:26" x14ac:dyDescent="0.35">
      <c r="A5" s="14" t="s">
        <v>598</v>
      </c>
      <c r="B5" s="4" t="s">
        <v>598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6</v>
      </c>
      <c r="V5">
        <v>0</v>
      </c>
      <c r="W5">
        <v>0</v>
      </c>
      <c r="X5">
        <v>0</v>
      </c>
      <c r="Y5">
        <v>0</v>
      </c>
      <c r="Z5">
        <f>SUM(SanMateo[[#This Row],[American Sign Language Total]:[Other Total]])</f>
        <v>6</v>
      </c>
    </row>
    <row r="6" spans="1:26" ht="46.5" x14ac:dyDescent="0.35">
      <c r="A6" s="14" t="s">
        <v>951</v>
      </c>
      <c r="B6" s="4" t="s">
        <v>599</v>
      </c>
      <c r="C6">
        <v>0</v>
      </c>
      <c r="D6">
        <v>0</v>
      </c>
      <c r="E6">
        <v>0</v>
      </c>
      <c r="F6">
        <v>0</v>
      </c>
      <c r="G6">
        <v>161</v>
      </c>
      <c r="H6">
        <v>0</v>
      </c>
      <c r="I6">
        <v>16</v>
      </c>
      <c r="J6">
        <v>1</v>
      </c>
      <c r="K6">
        <v>0</v>
      </c>
      <c r="L6">
        <v>0</v>
      </c>
      <c r="M6">
        <v>0</v>
      </c>
      <c r="N6">
        <v>24</v>
      </c>
      <c r="O6">
        <v>16</v>
      </c>
      <c r="P6">
        <v>0</v>
      </c>
      <c r="Q6">
        <v>0</v>
      </c>
      <c r="R6">
        <v>0</v>
      </c>
      <c r="S6">
        <v>0</v>
      </c>
      <c r="T6">
        <v>0</v>
      </c>
      <c r="U6">
        <v>363</v>
      </c>
      <c r="V6">
        <v>0</v>
      </c>
      <c r="W6">
        <v>0</v>
      </c>
      <c r="X6">
        <v>0</v>
      </c>
      <c r="Y6">
        <v>1</v>
      </c>
      <c r="Z6">
        <f>SUM(SanMateo[[#This Row],[American Sign Language Total]:[Other Total]])</f>
        <v>582</v>
      </c>
    </row>
    <row r="7" spans="1:26" x14ac:dyDescent="0.35">
      <c r="A7" s="14" t="s">
        <v>952</v>
      </c>
      <c r="B7" s="4" t="s">
        <v>600</v>
      </c>
      <c r="C7">
        <v>0</v>
      </c>
      <c r="D7">
        <v>0</v>
      </c>
      <c r="E7">
        <v>0</v>
      </c>
      <c r="F7">
        <v>0</v>
      </c>
      <c r="G7">
        <v>6</v>
      </c>
      <c r="H7">
        <v>0</v>
      </c>
      <c r="I7">
        <v>4</v>
      </c>
      <c r="J7">
        <v>0</v>
      </c>
      <c r="K7">
        <v>0</v>
      </c>
      <c r="L7">
        <v>0</v>
      </c>
      <c r="M7">
        <v>0</v>
      </c>
      <c r="N7">
        <v>5</v>
      </c>
      <c r="O7">
        <v>1</v>
      </c>
      <c r="P7">
        <v>0</v>
      </c>
      <c r="Q7">
        <v>0</v>
      </c>
      <c r="R7">
        <v>2</v>
      </c>
      <c r="S7">
        <v>0</v>
      </c>
      <c r="T7">
        <v>0</v>
      </c>
      <c r="U7">
        <v>37</v>
      </c>
      <c r="V7">
        <v>7</v>
      </c>
      <c r="W7">
        <v>0</v>
      </c>
      <c r="X7">
        <v>0</v>
      </c>
      <c r="Y7">
        <v>0</v>
      </c>
      <c r="Z7">
        <f>SUM(SanMateo[[#This Row],[American Sign Language Total]:[Other Total]])</f>
        <v>62</v>
      </c>
    </row>
    <row r="8" spans="1:26" x14ac:dyDescent="0.35">
      <c r="A8" s="14" t="s">
        <v>601</v>
      </c>
      <c r="B8" s="4" t="s">
        <v>601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55</v>
      </c>
      <c r="V8">
        <v>0</v>
      </c>
      <c r="W8">
        <v>0</v>
      </c>
      <c r="X8">
        <v>0</v>
      </c>
      <c r="Y8">
        <v>0</v>
      </c>
      <c r="Z8">
        <f>SUM(SanMateo[[#This Row],[American Sign Language Total]:[Other Total]])</f>
        <v>55</v>
      </c>
    </row>
    <row r="9" spans="1:26" x14ac:dyDescent="0.35">
      <c r="A9" s="14" t="s">
        <v>160</v>
      </c>
      <c r="B9" s="4" t="s">
        <v>160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11</v>
      </c>
      <c r="V9">
        <v>0</v>
      </c>
      <c r="W9">
        <v>0</v>
      </c>
      <c r="X9">
        <v>0</v>
      </c>
      <c r="Y9">
        <v>0</v>
      </c>
      <c r="Z9" s="6">
        <f>SUM(SanMateo[[#This Row],[American Sign Language Total]:[Other Total]])</f>
        <v>12</v>
      </c>
    </row>
    <row r="10" spans="1:26" x14ac:dyDescent="0.35">
      <c r="A10" s="9" t="s">
        <v>201</v>
      </c>
      <c r="B10" s="8" t="s">
        <v>574</v>
      </c>
      <c r="C10" s="3">
        <f>SUBTOTAL(109,SanMateo[American Sign Language Total])</f>
        <v>0</v>
      </c>
      <c r="D10" s="3">
        <f>SUBTOTAL(109,SanMateo[Arabic Total])</f>
        <v>1</v>
      </c>
      <c r="E10" s="3">
        <f>SUBTOTAL(109,SanMateo[Armenian Total])</f>
        <v>0</v>
      </c>
      <c r="F10" s="3">
        <f>SUBTOTAL(109,SanMateo[Bengali Total])</f>
        <v>0</v>
      </c>
      <c r="G10" s="3">
        <f>SUBTOTAL(109,SanMateo[Chinese (Mandarin or Cantonese) Total])</f>
        <v>179</v>
      </c>
      <c r="H10" s="3">
        <f>SUBTOTAL(109,SanMateo[Farsi (Persian) Total])</f>
        <v>0</v>
      </c>
      <c r="I10" s="3">
        <f>SUBTOTAL(109,SanMateo[French Total])</f>
        <v>31</v>
      </c>
      <c r="J10" s="3">
        <f>SUBTOTAL(109,SanMateo[German Total])</f>
        <v>1</v>
      </c>
      <c r="K10" s="3">
        <f>SUBTOTAL(109,SanMateo[Hebrew Total])</f>
        <v>0</v>
      </c>
      <c r="L10" s="3">
        <f>SUBTOTAL(109,SanMateo[Hindi Total])</f>
        <v>0</v>
      </c>
      <c r="M10" s="3">
        <f>SUBTOTAL(109,SanMateo[Hmong Total])</f>
        <v>0</v>
      </c>
      <c r="N10" s="3">
        <f>SUBTOTAL(109,SanMateo[Italian Total])</f>
        <v>29</v>
      </c>
      <c r="O10" s="3">
        <f>SUBTOTAL(109,SanMateo[Japanese Total])</f>
        <v>18</v>
      </c>
      <c r="P10" s="3">
        <f>SUBTOTAL(109,SanMateo[Korean Total])</f>
        <v>0</v>
      </c>
      <c r="Q10" s="3">
        <f>SUBTOTAL(109,SanMateo[Latin Total])</f>
        <v>0</v>
      </c>
      <c r="R10" s="3">
        <f>SUBTOTAL(109,SanMateo[Portuguese Total])</f>
        <v>2</v>
      </c>
      <c r="S10" s="3">
        <f>SUBTOTAL(109,SanMateo[Punjabi Total])</f>
        <v>0</v>
      </c>
      <c r="T10" s="3">
        <f>SUBTOTAL(109,SanMateo[Russian Total])</f>
        <v>1</v>
      </c>
      <c r="U10" s="3">
        <f>SUBTOTAL(109,SanMateo[Spanish Total])</f>
        <v>581</v>
      </c>
      <c r="V10" s="3">
        <f>SUBTOTAL(109,SanMateo[Tagalog (Filipino) Total])</f>
        <v>32</v>
      </c>
      <c r="W10" s="3">
        <f>SUBTOTAL(109,SanMateo[Urdu Total])</f>
        <v>0</v>
      </c>
      <c r="X10" s="3">
        <f>SUBTOTAL(109,SanMateo[Vietnamese Total])</f>
        <v>1</v>
      </c>
      <c r="Y10" s="3">
        <f>SUBTOTAL(109,SanMateo[Other Total])</f>
        <v>4</v>
      </c>
      <c r="Z10" s="3">
        <f>SUBTOTAL(109,SanMateo[Total Seals per Local Educational Agency])</f>
        <v>880</v>
      </c>
    </row>
  </sheetData>
  <conditionalFormatting sqref="A1:B2">
    <cfRule type="duplicateValues" dxfId="1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8F70-060C-4B36-AD8B-7BCE33788996}">
  <dimension ref="A1:Z10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35.765625" bestFit="1" customWidth="1"/>
    <col min="2" max="2" width="35.074218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5351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61328125" customWidth="1"/>
  </cols>
  <sheetData>
    <row r="1" spans="1:26" ht="18" x14ac:dyDescent="0.4">
      <c r="A1" s="27" t="s">
        <v>30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954</v>
      </c>
      <c r="B3" s="4" t="s">
        <v>954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25</v>
      </c>
      <c r="V3">
        <v>0</v>
      </c>
      <c r="W3">
        <v>0</v>
      </c>
      <c r="X3">
        <v>0</v>
      </c>
      <c r="Y3">
        <v>0</v>
      </c>
      <c r="Z3">
        <f>SUM(SantaBarbara[[#This Row],[American Sign Language Total]:[Other Total]])</f>
        <v>25</v>
      </c>
    </row>
    <row r="4" spans="1:26" x14ac:dyDescent="0.35">
      <c r="A4" s="14" t="s">
        <v>602</v>
      </c>
      <c r="B4" s="4" t="s">
        <v>603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44</v>
      </c>
      <c r="V4">
        <v>0</v>
      </c>
      <c r="W4">
        <v>0</v>
      </c>
      <c r="X4">
        <v>0</v>
      </c>
      <c r="Y4">
        <v>0</v>
      </c>
      <c r="Z4">
        <f>SUM(SantaBarbara[[#This Row],[American Sign Language Total]:[Other Total]])</f>
        <v>44</v>
      </c>
    </row>
    <row r="5" spans="1:26" x14ac:dyDescent="0.35">
      <c r="A5" s="14" t="s">
        <v>955</v>
      </c>
      <c r="B5" s="4" t="s">
        <v>957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50</v>
      </c>
      <c r="V5">
        <v>0</v>
      </c>
      <c r="W5">
        <v>0</v>
      </c>
      <c r="X5">
        <v>0</v>
      </c>
      <c r="Y5">
        <v>0</v>
      </c>
      <c r="Z5">
        <f>SUM(SantaBarbara[[#This Row],[American Sign Language Total]:[Other Total]])</f>
        <v>50</v>
      </c>
    </row>
    <row r="6" spans="1:26" x14ac:dyDescent="0.35">
      <c r="A6" s="14" t="s">
        <v>604</v>
      </c>
      <c r="B6" s="4" t="s">
        <v>604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4</v>
      </c>
      <c r="V6">
        <v>0</v>
      </c>
      <c r="W6">
        <v>0</v>
      </c>
      <c r="X6">
        <v>0</v>
      </c>
      <c r="Y6">
        <v>0</v>
      </c>
      <c r="Z6">
        <f>SUM(SantaBarbara[[#This Row],[American Sign Language Total]:[Other Total]])</f>
        <v>4</v>
      </c>
    </row>
    <row r="7" spans="1:26" ht="46.5" x14ac:dyDescent="0.35">
      <c r="A7" s="14" t="s">
        <v>605</v>
      </c>
      <c r="B7" s="4" t="s">
        <v>958</v>
      </c>
      <c r="C7">
        <v>5</v>
      </c>
      <c r="D7">
        <v>0</v>
      </c>
      <c r="E7">
        <v>0</v>
      </c>
      <c r="F7">
        <v>0</v>
      </c>
      <c r="G7">
        <v>5</v>
      </c>
      <c r="H7">
        <v>0</v>
      </c>
      <c r="I7">
        <v>41</v>
      </c>
      <c r="J7">
        <v>3</v>
      </c>
      <c r="K7">
        <v>0</v>
      </c>
      <c r="L7">
        <v>0</v>
      </c>
      <c r="M7">
        <v>0</v>
      </c>
      <c r="N7">
        <v>0</v>
      </c>
      <c r="O7">
        <v>4</v>
      </c>
      <c r="P7">
        <v>0</v>
      </c>
      <c r="Q7">
        <v>0</v>
      </c>
      <c r="R7">
        <v>0</v>
      </c>
      <c r="S7">
        <v>0</v>
      </c>
      <c r="T7">
        <v>0</v>
      </c>
      <c r="U7">
        <v>293</v>
      </c>
      <c r="V7">
        <v>0</v>
      </c>
      <c r="W7">
        <v>0</v>
      </c>
      <c r="X7">
        <v>0</v>
      </c>
      <c r="Y7">
        <v>0</v>
      </c>
      <c r="Z7" s="6">
        <f>SUM(SantaBarbara[[#This Row],[American Sign Language Total]:[Other Total]])</f>
        <v>351</v>
      </c>
    </row>
    <row r="8" spans="1:26" ht="31" x14ac:dyDescent="0.35">
      <c r="A8" s="14" t="s">
        <v>956</v>
      </c>
      <c r="B8" s="4" t="s">
        <v>959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2</v>
      </c>
      <c r="Q8">
        <v>0</v>
      </c>
      <c r="R8">
        <v>0</v>
      </c>
      <c r="S8">
        <v>0</v>
      </c>
      <c r="T8">
        <v>0</v>
      </c>
      <c r="U8">
        <v>371</v>
      </c>
      <c r="V8">
        <v>1</v>
      </c>
      <c r="W8">
        <v>0</v>
      </c>
      <c r="X8">
        <v>0</v>
      </c>
      <c r="Y8">
        <v>9</v>
      </c>
      <c r="Z8" s="6">
        <f>SUM(SantaBarbara[[#This Row],[American Sign Language Total]:[Other Total]])</f>
        <v>393</v>
      </c>
    </row>
    <row r="9" spans="1:26" x14ac:dyDescent="0.35">
      <c r="A9" s="14" t="s">
        <v>928</v>
      </c>
      <c r="B9" s="4" t="s">
        <v>928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 s="6">
        <f>SUM(SantaBarbara[[#This Row],[American Sign Language Total]:[Other Total]])</f>
        <v>1</v>
      </c>
    </row>
    <row r="10" spans="1:26" x14ac:dyDescent="0.35">
      <c r="A10" s="9" t="s">
        <v>201</v>
      </c>
      <c r="B10" s="8" t="s">
        <v>960</v>
      </c>
      <c r="C10" s="3">
        <f>SUBTOTAL(109,SantaBarbara[American Sign Language Total])</f>
        <v>6</v>
      </c>
      <c r="D10" s="3">
        <f>SUBTOTAL(109,SantaBarbara[Arabic Total])</f>
        <v>0</v>
      </c>
      <c r="E10" s="3">
        <f>SUBTOTAL(109,SantaBarbara[Armenian Total])</f>
        <v>0</v>
      </c>
      <c r="F10" s="3">
        <f>SUBTOTAL(109,SantaBarbara[Bengali Total])</f>
        <v>0</v>
      </c>
      <c r="G10" s="3">
        <f>SUBTOTAL(109,SantaBarbara[Chinese (Mandarin or Cantonese) Total])</f>
        <v>5</v>
      </c>
      <c r="H10" s="3">
        <f>SUBTOTAL(109,SantaBarbara[Farsi (Persian) Total])</f>
        <v>0</v>
      </c>
      <c r="I10" s="3">
        <f>SUBTOTAL(109,SantaBarbara[French Total])</f>
        <v>50</v>
      </c>
      <c r="J10" s="3">
        <f>SUBTOTAL(109,SantaBarbara[German Total])</f>
        <v>3</v>
      </c>
      <c r="K10" s="3">
        <f>SUBTOTAL(109,SantaBarbara[Hebrew Total])</f>
        <v>0</v>
      </c>
      <c r="L10" s="3">
        <f>SUBTOTAL(109,SantaBarbara[Hindi Total])</f>
        <v>0</v>
      </c>
      <c r="M10" s="3">
        <f>SUBTOTAL(109,SantaBarbara[Hmong Total])</f>
        <v>0</v>
      </c>
      <c r="N10" s="3">
        <f>SUBTOTAL(109,SantaBarbara[Italian Total])</f>
        <v>0</v>
      </c>
      <c r="O10" s="3">
        <f>SUBTOTAL(109,SantaBarbara[Japanese Total])</f>
        <v>4</v>
      </c>
      <c r="P10" s="3">
        <f>SUBTOTAL(109,SantaBarbara[Korean Total])</f>
        <v>2</v>
      </c>
      <c r="Q10" s="3">
        <f>SUBTOTAL(109,SantaBarbara[Latin Total])</f>
        <v>1</v>
      </c>
      <c r="R10" s="3">
        <f>SUBTOTAL(109,SantaBarbara[Portuguese Total])</f>
        <v>0</v>
      </c>
      <c r="S10" s="3">
        <f>SUBTOTAL(109,SantaBarbara[Punjabi Total])</f>
        <v>0</v>
      </c>
      <c r="T10" s="3">
        <f>SUBTOTAL(109,SantaBarbara[Russian Total])</f>
        <v>0</v>
      </c>
      <c r="U10" s="3">
        <f>SUBTOTAL(109,SantaBarbara[Spanish Total])</f>
        <v>787</v>
      </c>
      <c r="V10" s="3">
        <f>SUBTOTAL(109,SantaBarbara[Tagalog (Filipino) Total])</f>
        <v>1</v>
      </c>
      <c r="W10" s="3">
        <f>SUBTOTAL(109,SantaBarbara[Urdu Total])</f>
        <v>0</v>
      </c>
      <c r="X10" s="3">
        <f>SUBTOTAL(109,SantaBarbara[Vietnamese Total])</f>
        <v>0</v>
      </c>
      <c r="Y10" s="3">
        <f>SUBTOTAL(109,SantaBarbara[Other Total])</f>
        <v>9</v>
      </c>
      <c r="Z10" s="3">
        <f>SUBTOTAL(109,SantaBarbara[Total Seals per Local Educational Agency])</f>
        <v>868</v>
      </c>
    </row>
  </sheetData>
  <conditionalFormatting sqref="A1:B2">
    <cfRule type="duplicateValues" dxfId="15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1009-5814-4DFC-B065-D0C830E2F1DE}">
  <dimension ref="A1:Z21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36.3046875" style="4" bestFit="1" customWidth="1"/>
    <col min="2" max="2" width="37.5351562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26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161</v>
      </c>
      <c r="B3" s="4" t="s">
        <v>161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12</v>
      </c>
      <c r="V3">
        <v>0</v>
      </c>
      <c r="W3">
        <v>0</v>
      </c>
      <c r="X3">
        <v>0</v>
      </c>
      <c r="Y3">
        <v>0</v>
      </c>
      <c r="Z3">
        <f>SUM(SantaClara[[#This Row],[American Sign Language Total]:[Other Total]])</f>
        <v>12</v>
      </c>
    </row>
    <row r="4" spans="1:26" ht="46.5" x14ac:dyDescent="0.35">
      <c r="A4" s="14" t="s">
        <v>606</v>
      </c>
      <c r="B4" s="4" t="s">
        <v>963</v>
      </c>
      <c r="C4">
        <v>0</v>
      </c>
      <c r="D4">
        <v>2</v>
      </c>
      <c r="E4">
        <v>0</v>
      </c>
      <c r="F4">
        <v>0</v>
      </c>
      <c r="G4">
        <v>71</v>
      </c>
      <c r="H4">
        <v>1</v>
      </c>
      <c r="I4">
        <v>50</v>
      </c>
      <c r="J4">
        <v>4</v>
      </c>
      <c r="K4">
        <v>3</v>
      </c>
      <c r="L4">
        <v>1</v>
      </c>
      <c r="M4">
        <v>0</v>
      </c>
      <c r="N4">
        <v>1</v>
      </c>
      <c r="O4">
        <v>22</v>
      </c>
      <c r="P4">
        <v>41</v>
      </c>
      <c r="Q4">
        <v>0</v>
      </c>
      <c r="R4">
        <v>1</v>
      </c>
      <c r="S4">
        <v>0</v>
      </c>
      <c r="T4">
        <v>15</v>
      </c>
      <c r="U4">
        <v>390</v>
      </c>
      <c r="V4">
        <v>1</v>
      </c>
      <c r="W4">
        <v>0</v>
      </c>
      <c r="X4">
        <v>2</v>
      </c>
      <c r="Y4">
        <v>5</v>
      </c>
      <c r="Z4">
        <f>SUM(SantaClara[[#This Row],[American Sign Language Total]:[Other Total]])</f>
        <v>610</v>
      </c>
    </row>
    <row r="5" spans="1:26" ht="124" x14ac:dyDescent="0.35">
      <c r="A5" s="14" t="s">
        <v>961</v>
      </c>
      <c r="B5" s="4" t="s">
        <v>964</v>
      </c>
      <c r="C5">
        <v>28</v>
      </c>
      <c r="D5">
        <v>0</v>
      </c>
      <c r="E5">
        <v>0</v>
      </c>
      <c r="F5">
        <v>0</v>
      </c>
      <c r="G5">
        <v>86</v>
      </c>
      <c r="H5">
        <v>0</v>
      </c>
      <c r="I5">
        <v>61</v>
      </c>
      <c r="J5">
        <v>11</v>
      </c>
      <c r="K5">
        <v>0</v>
      </c>
      <c r="L5">
        <v>1</v>
      </c>
      <c r="M5">
        <v>0</v>
      </c>
      <c r="N5">
        <v>1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372</v>
      </c>
      <c r="V5">
        <v>0</v>
      </c>
      <c r="W5">
        <v>0</v>
      </c>
      <c r="X5">
        <v>122</v>
      </c>
      <c r="Y5">
        <v>0</v>
      </c>
      <c r="Z5">
        <f>SUM(SantaClara[[#This Row],[American Sign Language Total]:[Other Total]])</f>
        <v>685</v>
      </c>
    </row>
    <row r="6" spans="1:26" ht="31" x14ac:dyDescent="0.35">
      <c r="A6" s="14" t="s">
        <v>607</v>
      </c>
      <c r="B6" s="4" t="s">
        <v>608</v>
      </c>
      <c r="C6">
        <v>0</v>
      </c>
      <c r="D6">
        <v>0</v>
      </c>
      <c r="E6">
        <v>0</v>
      </c>
      <c r="F6">
        <v>0</v>
      </c>
      <c r="G6">
        <v>383</v>
      </c>
      <c r="H6">
        <v>0</v>
      </c>
      <c r="I6">
        <v>145</v>
      </c>
      <c r="J6">
        <v>7</v>
      </c>
      <c r="K6">
        <v>19</v>
      </c>
      <c r="L6">
        <v>0</v>
      </c>
      <c r="M6">
        <v>0</v>
      </c>
      <c r="N6">
        <v>0</v>
      </c>
      <c r="O6">
        <v>119</v>
      </c>
      <c r="P6">
        <v>0</v>
      </c>
      <c r="Q6">
        <v>0</v>
      </c>
      <c r="R6">
        <v>0</v>
      </c>
      <c r="S6">
        <v>0</v>
      </c>
      <c r="T6">
        <v>0</v>
      </c>
      <c r="U6">
        <v>389</v>
      </c>
      <c r="V6">
        <v>0</v>
      </c>
      <c r="W6">
        <v>0</v>
      </c>
      <c r="X6">
        <v>0</v>
      </c>
      <c r="Y6">
        <v>0</v>
      </c>
      <c r="Z6">
        <f>SUM(SantaClara[[#This Row],[American Sign Language Total]:[Other Total]])</f>
        <v>1062</v>
      </c>
    </row>
    <row r="7" spans="1:26" ht="31" x14ac:dyDescent="0.35">
      <c r="A7" s="14" t="s">
        <v>609</v>
      </c>
      <c r="B7" s="4" t="s">
        <v>610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115</v>
      </c>
      <c r="V7">
        <v>0</v>
      </c>
      <c r="W7">
        <v>0</v>
      </c>
      <c r="X7">
        <v>0</v>
      </c>
      <c r="Y7">
        <v>0</v>
      </c>
      <c r="Z7">
        <f>SUM(SantaClara[[#This Row],[American Sign Language Total]:[Other Total]])</f>
        <v>115</v>
      </c>
    </row>
    <row r="8" spans="1:26" x14ac:dyDescent="0.35">
      <c r="A8" s="14" t="s">
        <v>706</v>
      </c>
      <c r="B8" s="4" t="s">
        <v>706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11</v>
      </c>
      <c r="V8">
        <v>0</v>
      </c>
      <c r="W8">
        <v>0</v>
      </c>
      <c r="X8">
        <v>0</v>
      </c>
      <c r="Y8">
        <v>0</v>
      </c>
      <c r="Z8">
        <f>SUM(SantaClara[[#This Row],[American Sign Language Total]:[Other Total]])</f>
        <v>11</v>
      </c>
    </row>
    <row r="9" spans="1:26" x14ac:dyDescent="0.35">
      <c r="A9" s="14" t="s">
        <v>162</v>
      </c>
      <c r="B9" s="4" t="s">
        <v>162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50</v>
      </c>
      <c r="V9">
        <v>0</v>
      </c>
      <c r="W9">
        <v>0</v>
      </c>
      <c r="X9">
        <v>0</v>
      </c>
      <c r="Y9">
        <v>0</v>
      </c>
      <c r="Z9">
        <f>SUM(SantaClara[[#This Row],[American Sign Language Total]:[Other Total]])</f>
        <v>50</v>
      </c>
    </row>
    <row r="10" spans="1:26" x14ac:dyDescent="0.35">
      <c r="A10" s="14" t="s">
        <v>163</v>
      </c>
      <c r="B10" s="4" t="s">
        <v>163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25</v>
      </c>
      <c r="V10">
        <v>0</v>
      </c>
      <c r="W10">
        <v>0</v>
      </c>
      <c r="X10">
        <v>0</v>
      </c>
      <c r="Y10">
        <v>0</v>
      </c>
      <c r="Z10">
        <f>SUM(SantaClara[[#This Row],[American Sign Language Total]:[Other Total]])</f>
        <v>25</v>
      </c>
    </row>
    <row r="11" spans="1:26" x14ac:dyDescent="0.35">
      <c r="A11" s="14" t="s">
        <v>707</v>
      </c>
      <c r="B11" s="4" t="s">
        <v>611</v>
      </c>
      <c r="C11">
        <v>0</v>
      </c>
      <c r="D11">
        <v>0</v>
      </c>
      <c r="E11">
        <v>0</v>
      </c>
      <c r="F11">
        <v>25</v>
      </c>
      <c r="G11">
        <v>76</v>
      </c>
      <c r="H11">
        <v>26</v>
      </c>
      <c r="I11">
        <v>48</v>
      </c>
      <c r="J11">
        <v>2</v>
      </c>
      <c r="K11">
        <v>3</v>
      </c>
      <c r="L11">
        <v>0</v>
      </c>
      <c r="M11">
        <v>0</v>
      </c>
      <c r="N11">
        <v>0</v>
      </c>
      <c r="O11">
        <v>15</v>
      </c>
      <c r="P11">
        <v>3</v>
      </c>
      <c r="Q11">
        <v>0</v>
      </c>
      <c r="R11">
        <v>0</v>
      </c>
      <c r="S11">
        <v>0</v>
      </c>
      <c r="T11">
        <v>0</v>
      </c>
      <c r="U11">
        <v>183</v>
      </c>
      <c r="V11">
        <v>0</v>
      </c>
      <c r="W11">
        <v>0</v>
      </c>
      <c r="X11">
        <v>0</v>
      </c>
      <c r="Y11">
        <v>0</v>
      </c>
      <c r="Z11">
        <f>SUM(SantaClara[[#This Row],[American Sign Language Total]:[Other Total]])</f>
        <v>381</v>
      </c>
    </row>
    <row r="12" spans="1:26" x14ac:dyDescent="0.35">
      <c r="A12" s="14" t="s">
        <v>164</v>
      </c>
      <c r="B12" s="4" t="s">
        <v>164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40</v>
      </c>
      <c r="V12">
        <v>0</v>
      </c>
      <c r="W12">
        <v>0</v>
      </c>
      <c r="X12">
        <v>0</v>
      </c>
      <c r="Y12">
        <v>0</v>
      </c>
      <c r="Z12">
        <f>SUM(SantaClara[[#This Row],[American Sign Language Total]:[Other Total]])</f>
        <v>40</v>
      </c>
    </row>
    <row r="13" spans="1:26" x14ac:dyDescent="0.35">
      <c r="A13" s="14" t="s">
        <v>165</v>
      </c>
      <c r="B13" s="4" t="s">
        <v>1213</v>
      </c>
      <c r="C13">
        <v>0</v>
      </c>
      <c r="D13">
        <v>0</v>
      </c>
      <c r="E13">
        <v>0</v>
      </c>
      <c r="F13">
        <v>0</v>
      </c>
      <c r="G13">
        <v>30</v>
      </c>
      <c r="H13">
        <v>0</v>
      </c>
      <c r="I13">
        <v>0</v>
      </c>
      <c r="J13">
        <v>0</v>
      </c>
      <c r="K13">
        <v>0</v>
      </c>
      <c r="L13">
        <v>5</v>
      </c>
      <c r="M13">
        <v>0</v>
      </c>
      <c r="N13">
        <v>0</v>
      </c>
      <c r="O13">
        <v>2</v>
      </c>
      <c r="P13">
        <v>1</v>
      </c>
      <c r="Q13">
        <v>0</v>
      </c>
      <c r="R13">
        <v>0</v>
      </c>
      <c r="S13">
        <v>0</v>
      </c>
      <c r="T13">
        <v>0</v>
      </c>
      <c r="U13">
        <v>42</v>
      </c>
      <c r="V13">
        <v>3</v>
      </c>
      <c r="W13">
        <v>0</v>
      </c>
      <c r="X13">
        <v>12</v>
      </c>
      <c r="Y13">
        <v>9</v>
      </c>
      <c r="Z13">
        <f>SUM(SantaClara[[#This Row],[American Sign Language Total]:[Other Total]])</f>
        <v>104</v>
      </c>
    </row>
    <row r="14" spans="1:26" ht="31" x14ac:dyDescent="0.35">
      <c r="A14" s="14" t="s">
        <v>962</v>
      </c>
      <c r="B14" s="4" t="s">
        <v>965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88</v>
      </c>
      <c r="V14">
        <v>0</v>
      </c>
      <c r="W14">
        <v>0</v>
      </c>
      <c r="X14">
        <v>0</v>
      </c>
      <c r="Y14">
        <v>0</v>
      </c>
      <c r="Z14" s="6">
        <f>SUM(SantaClara[[#This Row],[American Sign Language Total]:[Other Total]])</f>
        <v>90</v>
      </c>
    </row>
    <row r="15" spans="1:26" x14ac:dyDescent="0.35">
      <c r="A15" s="14" t="s">
        <v>612</v>
      </c>
      <c r="B15" s="4" t="s">
        <v>966</v>
      </c>
      <c r="C15">
        <v>1</v>
      </c>
      <c r="D15">
        <v>0</v>
      </c>
      <c r="E15">
        <v>0</v>
      </c>
      <c r="F15">
        <v>0</v>
      </c>
      <c r="G15">
        <v>146</v>
      </c>
      <c r="H15">
        <v>0</v>
      </c>
      <c r="I15">
        <v>92</v>
      </c>
      <c r="J15">
        <v>3</v>
      </c>
      <c r="K15">
        <v>6</v>
      </c>
      <c r="L15">
        <v>1</v>
      </c>
      <c r="M15">
        <v>0</v>
      </c>
      <c r="N15">
        <v>1</v>
      </c>
      <c r="O15">
        <v>37</v>
      </c>
      <c r="P15">
        <v>0</v>
      </c>
      <c r="Q15">
        <v>6</v>
      </c>
      <c r="R15">
        <v>0</v>
      </c>
      <c r="S15">
        <v>0</v>
      </c>
      <c r="T15">
        <v>3</v>
      </c>
      <c r="U15">
        <v>332</v>
      </c>
      <c r="V15">
        <v>0</v>
      </c>
      <c r="W15">
        <v>0</v>
      </c>
      <c r="X15">
        <v>1</v>
      </c>
      <c r="Y15">
        <v>0</v>
      </c>
      <c r="Z15" s="6">
        <f>SUM(SantaClara[[#This Row],[American Sign Language Total]:[Other Total]])</f>
        <v>629</v>
      </c>
    </row>
    <row r="16" spans="1:26" x14ac:dyDescent="0.35">
      <c r="A16" s="14" t="s">
        <v>615</v>
      </c>
      <c r="B16" s="4" t="s">
        <v>615</v>
      </c>
      <c r="C16">
        <v>0</v>
      </c>
      <c r="D16">
        <v>2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  <c r="Q16">
        <v>0</v>
      </c>
      <c r="R16">
        <v>0</v>
      </c>
      <c r="S16">
        <v>0</v>
      </c>
      <c r="T16">
        <v>0</v>
      </c>
      <c r="U16">
        <v>13</v>
      </c>
      <c r="V16">
        <v>0</v>
      </c>
      <c r="W16">
        <v>0</v>
      </c>
      <c r="X16">
        <v>0</v>
      </c>
      <c r="Y16">
        <v>0</v>
      </c>
      <c r="Z16" s="6">
        <f>SUM(SantaClara[[#This Row],[American Sign Language Total]:[Other Total]])</f>
        <v>17</v>
      </c>
    </row>
    <row r="17" spans="1:26" ht="31" x14ac:dyDescent="0.35">
      <c r="A17" s="14" t="s">
        <v>613</v>
      </c>
      <c r="B17" s="4" t="s">
        <v>967</v>
      </c>
      <c r="C17">
        <v>0</v>
      </c>
      <c r="D17">
        <v>0</v>
      </c>
      <c r="E17">
        <v>0</v>
      </c>
      <c r="F17">
        <v>0</v>
      </c>
      <c r="G17">
        <v>138</v>
      </c>
      <c r="H17">
        <v>0</v>
      </c>
      <c r="I17">
        <v>56</v>
      </c>
      <c r="J17">
        <v>14</v>
      </c>
      <c r="K17">
        <v>9</v>
      </c>
      <c r="L17">
        <v>0</v>
      </c>
      <c r="M17">
        <v>0</v>
      </c>
      <c r="N17">
        <v>1</v>
      </c>
      <c r="O17">
        <v>38</v>
      </c>
      <c r="P17">
        <v>0</v>
      </c>
      <c r="Q17">
        <v>0</v>
      </c>
      <c r="R17">
        <v>0</v>
      </c>
      <c r="S17">
        <v>0</v>
      </c>
      <c r="T17">
        <v>0</v>
      </c>
      <c r="U17">
        <v>166</v>
      </c>
      <c r="V17">
        <v>0</v>
      </c>
      <c r="W17">
        <v>0</v>
      </c>
      <c r="X17">
        <v>0</v>
      </c>
      <c r="Y17">
        <v>0</v>
      </c>
      <c r="Z17" s="6">
        <f>SUM(SantaClara[[#This Row],[American Sign Language Total]:[Other Total]])</f>
        <v>422</v>
      </c>
    </row>
    <row r="18" spans="1:26" ht="62" x14ac:dyDescent="0.35">
      <c r="A18" s="14" t="s">
        <v>166</v>
      </c>
      <c r="B18" s="4" t="s">
        <v>968</v>
      </c>
      <c r="C18">
        <v>0</v>
      </c>
      <c r="D18">
        <v>0</v>
      </c>
      <c r="E18">
        <v>0</v>
      </c>
      <c r="F18">
        <v>0</v>
      </c>
      <c r="G18">
        <v>28</v>
      </c>
      <c r="H18">
        <v>0</v>
      </c>
      <c r="I18">
        <v>0</v>
      </c>
      <c r="J18">
        <v>2</v>
      </c>
      <c r="K18">
        <v>0</v>
      </c>
      <c r="L18">
        <v>0</v>
      </c>
      <c r="M18">
        <v>0</v>
      </c>
      <c r="N18">
        <v>1</v>
      </c>
      <c r="O18">
        <v>6</v>
      </c>
      <c r="P18">
        <v>0</v>
      </c>
      <c r="Q18">
        <v>0</v>
      </c>
      <c r="R18">
        <v>3</v>
      </c>
      <c r="S18">
        <v>0</v>
      </c>
      <c r="T18">
        <v>0</v>
      </c>
      <c r="U18">
        <v>253</v>
      </c>
      <c r="V18">
        <v>0</v>
      </c>
      <c r="W18">
        <v>0</v>
      </c>
      <c r="X18">
        <v>0</v>
      </c>
      <c r="Y18">
        <v>0</v>
      </c>
      <c r="Z18" s="6">
        <f>SUM(SantaClara[[#This Row],[American Sign Language Total]:[Other Total]])</f>
        <v>293</v>
      </c>
    </row>
    <row r="19" spans="1:26" ht="46.5" x14ac:dyDescent="0.35">
      <c r="A19" s="14" t="s">
        <v>614</v>
      </c>
      <c r="B19" s="4" t="s">
        <v>969</v>
      </c>
      <c r="C19">
        <v>8</v>
      </c>
      <c r="D19">
        <v>4</v>
      </c>
      <c r="E19">
        <v>0</v>
      </c>
      <c r="F19">
        <v>0</v>
      </c>
      <c r="G19">
        <v>16</v>
      </c>
      <c r="H19">
        <v>0</v>
      </c>
      <c r="I19">
        <v>18</v>
      </c>
      <c r="J19">
        <v>0</v>
      </c>
      <c r="K19">
        <v>4</v>
      </c>
      <c r="L19">
        <v>6</v>
      </c>
      <c r="M19">
        <v>0</v>
      </c>
      <c r="N19">
        <v>0</v>
      </c>
      <c r="O19">
        <v>26</v>
      </c>
      <c r="P19">
        <v>6</v>
      </c>
      <c r="Q19">
        <v>0</v>
      </c>
      <c r="R19">
        <v>2</v>
      </c>
      <c r="S19">
        <v>0</v>
      </c>
      <c r="T19">
        <v>5</v>
      </c>
      <c r="U19">
        <v>164</v>
      </c>
      <c r="V19">
        <v>10</v>
      </c>
      <c r="W19">
        <v>3</v>
      </c>
      <c r="X19">
        <v>8</v>
      </c>
      <c r="Y19">
        <v>4</v>
      </c>
      <c r="Z19" s="6">
        <f>SUM(SantaClara[[#This Row],[American Sign Language Total]:[Other Total]])</f>
        <v>284</v>
      </c>
    </row>
    <row r="20" spans="1:26" x14ac:dyDescent="0.35">
      <c r="A20" s="14" t="s">
        <v>167</v>
      </c>
      <c r="B20" s="4" t="s">
        <v>167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  <c r="P20">
        <v>0</v>
      </c>
      <c r="Q20">
        <v>0</v>
      </c>
      <c r="R20">
        <v>0</v>
      </c>
      <c r="S20">
        <v>0</v>
      </c>
      <c r="T20">
        <v>0</v>
      </c>
      <c r="U20">
        <v>25</v>
      </c>
      <c r="V20">
        <v>0</v>
      </c>
      <c r="W20">
        <v>0</v>
      </c>
      <c r="X20">
        <v>0</v>
      </c>
      <c r="Y20">
        <v>0</v>
      </c>
      <c r="Z20" s="6">
        <f>SUM(SantaClara[[#This Row],[American Sign Language Total]:[Other Total]])</f>
        <v>28</v>
      </c>
    </row>
    <row r="21" spans="1:26" x14ac:dyDescent="0.35">
      <c r="A21" s="9" t="s">
        <v>1214</v>
      </c>
      <c r="B21" s="8" t="s">
        <v>520</v>
      </c>
      <c r="C21" s="3">
        <f>SUBTOTAL(109,SantaClara[American Sign Language Total])</f>
        <v>37</v>
      </c>
      <c r="D21" s="3">
        <f>SUBTOTAL(109,SantaClara[Arabic Total])</f>
        <v>8</v>
      </c>
      <c r="E21" s="3">
        <f>SUBTOTAL(109,SantaClara[Armenian Total])</f>
        <v>0</v>
      </c>
      <c r="F21" s="3">
        <f>SUBTOTAL(109,SantaClara[Bengali Total])</f>
        <v>25</v>
      </c>
      <c r="G21" s="3">
        <f>SUBTOTAL(109,SantaClara[Chinese (Mandarin or Cantonese) Total])</f>
        <v>978</v>
      </c>
      <c r="H21" s="3">
        <f>SUBTOTAL(109,SantaClara[Farsi (Persian) Total])</f>
        <v>27</v>
      </c>
      <c r="I21" s="3">
        <f>SUBTOTAL(109,SantaClara[French Total])</f>
        <v>470</v>
      </c>
      <c r="J21" s="3">
        <f>SUBTOTAL(109,SantaClara[German Total])</f>
        <v>43</v>
      </c>
      <c r="K21" s="3">
        <f>SUBTOTAL(109,SantaClara[Hebrew Total])</f>
        <v>44</v>
      </c>
      <c r="L21" s="3">
        <f>SUBTOTAL(109,SantaClara[Hindi Total])</f>
        <v>14</v>
      </c>
      <c r="M21" s="3">
        <f>SUBTOTAL(109,SantaClara[Hmong Total])</f>
        <v>0</v>
      </c>
      <c r="N21" s="3">
        <f>SUBTOTAL(109,SantaClara[Italian Total])</f>
        <v>5</v>
      </c>
      <c r="O21" s="3">
        <f>SUBTOTAL(109,SantaClara[Japanese Total])</f>
        <v>271</v>
      </c>
      <c r="P21" s="3">
        <f>SUBTOTAL(109,SantaClara[Korean Total])</f>
        <v>51</v>
      </c>
      <c r="Q21" s="3">
        <f>SUBTOTAL(109,SantaClara[Latin Total])</f>
        <v>6</v>
      </c>
      <c r="R21" s="3">
        <f>SUBTOTAL(109,SantaClara[Portuguese Total])</f>
        <v>6</v>
      </c>
      <c r="S21" s="3">
        <f>SUBTOTAL(109,SantaClara[Punjabi Total])</f>
        <v>0</v>
      </c>
      <c r="T21" s="3">
        <f>SUBTOTAL(109,SantaClara[Russian Total])</f>
        <v>23</v>
      </c>
      <c r="U21" s="3">
        <f>SUBTOTAL(109,SantaClara[Spanish Total])</f>
        <v>2670</v>
      </c>
      <c r="V21" s="3">
        <f>SUBTOTAL(109,SantaClara[Tagalog (Filipino) Total])</f>
        <v>14</v>
      </c>
      <c r="W21" s="3">
        <f>SUBTOTAL(109,SantaClara[Urdu Total])</f>
        <v>3</v>
      </c>
      <c r="X21" s="3">
        <f>SUBTOTAL(109,SantaClara[Vietnamese Total])</f>
        <v>145</v>
      </c>
      <c r="Y21" s="3">
        <f>SUBTOTAL(109,SantaClara[Other Total])</f>
        <v>18</v>
      </c>
      <c r="Z21" s="3">
        <f>SUBTOTAL(109,SantaClara[Total Seals per Local Educational Agency])</f>
        <v>4858</v>
      </c>
    </row>
  </sheetData>
  <conditionalFormatting sqref="A1:B2">
    <cfRule type="duplicateValues" dxfId="14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0163C-4883-4204-980D-18FE5086D008}">
  <dimension ref="A1:Z9"/>
  <sheetViews>
    <sheetView showGridLines="0" zoomScaleNormal="100" workbookViewId="0">
      <pane xSplit="1" ySplit="2" topLeftCell="B3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RowHeight="15.5" x14ac:dyDescent="0.35"/>
  <cols>
    <col min="1" max="1" width="33.69140625" style="4" bestFit="1" customWidth="1"/>
    <col min="2" max="2" width="36.76562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7" t="s">
        <v>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168</v>
      </c>
      <c r="B3" s="4" t="s">
        <v>168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12</v>
      </c>
      <c r="V3">
        <v>0</v>
      </c>
      <c r="W3">
        <v>0</v>
      </c>
      <c r="X3">
        <v>0</v>
      </c>
      <c r="Y3">
        <v>0</v>
      </c>
      <c r="Z3">
        <f>SUM(SantaCruz[[#This Row],[American Sign Language Total]:[Other Total]])</f>
        <v>12</v>
      </c>
    </row>
    <row r="4" spans="1:26" x14ac:dyDescent="0.35">
      <c r="A4" s="14" t="s">
        <v>616</v>
      </c>
      <c r="B4" s="4" t="s">
        <v>616</v>
      </c>
      <c r="C4">
        <v>0</v>
      </c>
      <c r="D4">
        <v>0</v>
      </c>
      <c r="E4">
        <v>0</v>
      </c>
      <c r="F4">
        <v>0</v>
      </c>
      <c r="G4">
        <v>4</v>
      </c>
      <c r="H4">
        <v>0</v>
      </c>
      <c r="I4">
        <v>7</v>
      </c>
      <c r="J4">
        <v>1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0</v>
      </c>
      <c r="T4">
        <v>0</v>
      </c>
      <c r="U4">
        <v>23</v>
      </c>
      <c r="V4">
        <v>0</v>
      </c>
      <c r="W4">
        <v>0</v>
      </c>
      <c r="X4">
        <v>0</v>
      </c>
      <c r="Y4">
        <v>0</v>
      </c>
      <c r="Z4">
        <f>SUM(SantaCruz[[#This Row],[American Sign Language Total]:[Other Total]])</f>
        <v>36</v>
      </c>
    </row>
    <row r="5" spans="1:26" ht="31" x14ac:dyDescent="0.35">
      <c r="A5" s="14" t="s">
        <v>617</v>
      </c>
      <c r="B5" s="4" t="s">
        <v>970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210</v>
      </c>
      <c r="V5">
        <v>0</v>
      </c>
      <c r="W5">
        <v>0</v>
      </c>
      <c r="X5">
        <v>0</v>
      </c>
      <c r="Y5">
        <v>1</v>
      </c>
      <c r="Z5">
        <f>SUM(SantaCruz[[#This Row],[American Sign Language Total]:[Other Total]])</f>
        <v>212</v>
      </c>
    </row>
    <row r="6" spans="1:26" x14ac:dyDescent="0.35">
      <c r="A6" s="14" t="s">
        <v>618</v>
      </c>
      <c r="B6" s="4" t="s">
        <v>971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3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33</v>
      </c>
      <c r="V6">
        <v>0</v>
      </c>
      <c r="W6">
        <v>0</v>
      </c>
      <c r="X6">
        <v>0</v>
      </c>
      <c r="Y6">
        <v>0</v>
      </c>
      <c r="Z6">
        <f>SUM(SantaCruz[[#This Row],[American Sign Language Total]:[Other Total]])</f>
        <v>36</v>
      </c>
    </row>
    <row r="7" spans="1:26" ht="31" x14ac:dyDescent="0.35">
      <c r="A7" s="14" t="s">
        <v>619</v>
      </c>
      <c r="B7" s="4" t="s">
        <v>620</v>
      </c>
      <c r="C7">
        <v>3</v>
      </c>
      <c r="D7">
        <v>0</v>
      </c>
      <c r="E7">
        <v>0</v>
      </c>
      <c r="F7">
        <v>0</v>
      </c>
      <c r="G7">
        <v>0</v>
      </c>
      <c r="H7">
        <v>0</v>
      </c>
      <c r="I7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112</v>
      </c>
      <c r="V7">
        <v>0</v>
      </c>
      <c r="W7">
        <v>0</v>
      </c>
      <c r="X7">
        <v>0</v>
      </c>
      <c r="Y7">
        <v>0</v>
      </c>
      <c r="Z7" s="6">
        <f>SUM(SantaCruz[[#This Row],[American Sign Language Total]:[Other Total]])</f>
        <v>120</v>
      </c>
    </row>
    <row r="8" spans="1:26" x14ac:dyDescent="0.35">
      <c r="A8" s="14" t="s">
        <v>621</v>
      </c>
      <c r="B8" s="4" t="s">
        <v>622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11</v>
      </c>
      <c r="V8">
        <v>0</v>
      </c>
      <c r="W8">
        <v>0</v>
      </c>
      <c r="X8">
        <v>0</v>
      </c>
      <c r="Y8">
        <v>2</v>
      </c>
      <c r="Z8" s="6">
        <f>SUM(SantaCruz[[#This Row],[American Sign Language Total]:[Other Total]])</f>
        <v>15</v>
      </c>
    </row>
    <row r="9" spans="1:26" x14ac:dyDescent="0.35">
      <c r="A9" s="9" t="s">
        <v>185</v>
      </c>
      <c r="B9" s="8" t="s">
        <v>972</v>
      </c>
      <c r="C9" s="3">
        <f>SUBTOTAL(109,SantaCruz[American Sign Language Total])</f>
        <v>4</v>
      </c>
      <c r="D9" s="3">
        <f>SUBTOTAL(109,SantaCruz[Arabic Total])</f>
        <v>1</v>
      </c>
      <c r="E9" s="3">
        <f>SUBTOTAL(109,SantaCruz[Armenian Total])</f>
        <v>0</v>
      </c>
      <c r="F9" s="3">
        <f>SUBTOTAL(109,SantaCruz[Bengali Total])</f>
        <v>0</v>
      </c>
      <c r="G9" s="3">
        <f>SUBTOTAL(109,SantaCruz[Chinese (Mandarin or Cantonese) Total])</f>
        <v>4</v>
      </c>
      <c r="H9" s="3">
        <f>SUBTOTAL(109,SantaCruz[Farsi (Persian) Total])</f>
        <v>0</v>
      </c>
      <c r="I9" s="3">
        <f>SUBTOTAL(109,SantaCruz[French Total])</f>
        <v>14</v>
      </c>
      <c r="J9" s="3">
        <f>SUBTOTAL(109,SantaCruz[German Total])</f>
        <v>2</v>
      </c>
      <c r="K9" s="3">
        <f>SUBTOTAL(109,SantaCruz[Hebrew Total])</f>
        <v>0</v>
      </c>
      <c r="L9" s="3">
        <f>SUBTOTAL(109,SantaCruz[Hindi Total])</f>
        <v>0</v>
      </c>
      <c r="M9" s="3">
        <f>SUBTOTAL(109,SantaCruz[Hmong Total])</f>
        <v>0</v>
      </c>
      <c r="N9" s="3">
        <f>SUBTOTAL(109,SantaCruz[Italian Total])</f>
        <v>0</v>
      </c>
      <c r="O9" s="3">
        <f>SUBTOTAL(109,SantaCruz[Japanese Total])</f>
        <v>1</v>
      </c>
      <c r="P9" s="3">
        <f>SUBTOTAL(109,SantaCruz[Korean Total])</f>
        <v>0</v>
      </c>
      <c r="Q9" s="3">
        <f>SUBTOTAL(109,SantaCruz[Latin Total])</f>
        <v>1</v>
      </c>
      <c r="R9" s="3">
        <f>SUBTOTAL(109,SantaCruz[Portuguese Total])</f>
        <v>0</v>
      </c>
      <c r="S9" s="3">
        <f>SUBTOTAL(109,SantaCruz[Punjabi Total])</f>
        <v>0</v>
      </c>
      <c r="T9" s="3">
        <f>SUBTOTAL(109,SantaCruz[Russian Total])</f>
        <v>0</v>
      </c>
      <c r="U9" s="3">
        <f>SUBTOTAL(109,SantaCruz[Spanish Total])</f>
        <v>401</v>
      </c>
      <c r="V9" s="3">
        <f>SUBTOTAL(109,SantaCruz[Tagalog (Filipino) Total])</f>
        <v>0</v>
      </c>
      <c r="W9" s="3">
        <f>SUBTOTAL(109,SantaCruz[Urdu Total])</f>
        <v>0</v>
      </c>
      <c r="X9" s="3">
        <f>SUBTOTAL(109,SantaCruz[Vietnamese Total])</f>
        <v>0</v>
      </c>
      <c r="Y9" s="3">
        <f>SUBTOTAL(109,SantaCruz[Other Total])</f>
        <v>3</v>
      </c>
      <c r="Z9" s="3">
        <f>SUBTOTAL(109,SantaCruz[Total Seals per Local Educational Agency])</f>
        <v>431</v>
      </c>
    </row>
  </sheetData>
  <conditionalFormatting sqref="A1:B2">
    <cfRule type="duplicateValues" dxfId="13" priority="3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77C5E-7669-4515-AFA8-7A967D18C1BB}">
  <dimension ref="A1:Z7"/>
  <sheetViews>
    <sheetView showGridLines="0" zoomScaleNormal="100" workbookViewId="0">
      <pane xSplit="1" ySplit="2" topLeftCell="B3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RowHeight="15.5" x14ac:dyDescent="0.35"/>
  <cols>
    <col min="1" max="1" width="22" style="4" bestFit="1" customWidth="1"/>
    <col min="2" max="2" width="22.765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4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84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0" t="s">
        <v>624</v>
      </c>
      <c r="B3" s="4" t="s">
        <v>625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</v>
      </c>
      <c r="W3">
        <v>0</v>
      </c>
      <c r="X3">
        <v>0</v>
      </c>
      <c r="Y3">
        <v>0</v>
      </c>
      <c r="Z3">
        <f>SUM(C3:Y3)</f>
        <v>4</v>
      </c>
    </row>
    <row r="4" spans="1:26" ht="31" x14ac:dyDescent="0.35">
      <c r="A4" s="10" t="s">
        <v>626</v>
      </c>
      <c r="B4" s="4" t="s">
        <v>973</v>
      </c>
      <c r="C4">
        <v>35</v>
      </c>
      <c r="D4">
        <v>1</v>
      </c>
      <c r="E4">
        <v>0</v>
      </c>
      <c r="F4">
        <v>0</v>
      </c>
      <c r="G4">
        <v>1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</v>
      </c>
      <c r="T4">
        <v>0</v>
      </c>
      <c r="U4">
        <v>38</v>
      </c>
      <c r="V4">
        <v>0</v>
      </c>
      <c r="W4">
        <v>0</v>
      </c>
      <c r="X4">
        <v>0</v>
      </c>
      <c r="Y4">
        <v>0</v>
      </c>
      <c r="Z4">
        <f>SUM(C4:Y4)</f>
        <v>78</v>
      </c>
    </row>
    <row r="5" spans="1:26" x14ac:dyDescent="0.35">
      <c r="A5" s="10" t="s">
        <v>627</v>
      </c>
      <c r="B5" s="4" t="s">
        <v>627</v>
      </c>
      <c r="C5">
        <v>0</v>
      </c>
      <c r="D5">
        <v>0</v>
      </c>
      <c r="E5">
        <v>0</v>
      </c>
      <c r="F5">
        <v>0</v>
      </c>
      <c r="G5">
        <v>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0</v>
      </c>
      <c r="T5">
        <v>0</v>
      </c>
      <c r="U5">
        <v>5</v>
      </c>
      <c r="V5">
        <v>0</v>
      </c>
      <c r="W5">
        <v>0</v>
      </c>
      <c r="X5">
        <v>0</v>
      </c>
      <c r="Y5">
        <v>0</v>
      </c>
      <c r="Z5">
        <f>SUM(C5:Y5)</f>
        <v>14</v>
      </c>
    </row>
    <row r="6" spans="1:26" ht="31" x14ac:dyDescent="0.35">
      <c r="A6" s="10" t="s">
        <v>623</v>
      </c>
      <c r="B6" s="4" t="s">
        <v>623</v>
      </c>
      <c r="C6">
        <v>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f>SUM(C6:Y6)</f>
        <v>3</v>
      </c>
    </row>
    <row r="7" spans="1:26" x14ac:dyDescent="0.35">
      <c r="A7" s="8" t="s">
        <v>196</v>
      </c>
      <c r="B7" s="8" t="s">
        <v>192</v>
      </c>
      <c r="C7" s="3">
        <f>SUBTOTAL(109,Shasta[American Sign Language Total])</f>
        <v>37</v>
      </c>
      <c r="D7" s="3">
        <f>SUBTOTAL(109,Shasta[Arabic Total])</f>
        <v>1</v>
      </c>
      <c r="E7" s="3">
        <f>SUBTOTAL(109,Shasta[Armenian Total])</f>
        <v>0</v>
      </c>
      <c r="F7" s="3">
        <f>SUBTOTAL(109,Shasta[Bengali Total])</f>
        <v>0</v>
      </c>
      <c r="G7" s="3">
        <f>SUBTOTAL(109,Shasta[Chinese (Mandarin or Cantonese) Total])</f>
        <v>9</v>
      </c>
      <c r="H7" s="3">
        <f>SUBTOTAL(109,Shasta[Farsi (Persian) Total])</f>
        <v>2</v>
      </c>
      <c r="I7" s="3">
        <f>SUBTOTAL(109,Shasta[French Total])</f>
        <v>0</v>
      </c>
      <c r="J7" s="3">
        <f>SUBTOTAL(109,Shasta[German Total])</f>
        <v>0</v>
      </c>
      <c r="K7" s="3">
        <f>SUBTOTAL(109,Shasta[Hebrew Total])</f>
        <v>0</v>
      </c>
      <c r="L7" s="3">
        <f>SUBTOTAL(109,Shasta[Hindi Total])</f>
        <v>0</v>
      </c>
      <c r="M7" s="3">
        <f>SUBTOTAL(109,Shasta[Hmong Total])</f>
        <v>0</v>
      </c>
      <c r="N7" s="3">
        <f>SUBTOTAL(109,Shasta[Italian Total])</f>
        <v>0</v>
      </c>
      <c r="O7" s="3">
        <f>SUBTOTAL(109,Shasta[Japanese Total])</f>
        <v>0</v>
      </c>
      <c r="P7" s="3">
        <f>SUBTOTAL(109,Shasta[Korean Total])</f>
        <v>0</v>
      </c>
      <c r="Q7" s="3">
        <f>SUBTOTAL(109,Shasta[Latin Total])</f>
        <v>1</v>
      </c>
      <c r="R7" s="3">
        <f>SUBTOTAL(109,Shasta[Portuguese Total])</f>
        <v>0</v>
      </c>
      <c r="S7" s="3">
        <f>SUBTOTAL(109,Shasta[Punjabi Total])</f>
        <v>1</v>
      </c>
      <c r="T7" s="3">
        <f>SUBTOTAL(109,Shasta[Russian Total])</f>
        <v>0</v>
      </c>
      <c r="U7" s="3">
        <f>SUBTOTAL(109,Shasta[Spanish Total])</f>
        <v>48</v>
      </c>
      <c r="V7" s="3">
        <f>SUBTOTAL(109,Shasta[Tagalog (Filipino) Total])</f>
        <v>0</v>
      </c>
      <c r="W7" s="3">
        <f>SUBTOTAL(109,Shasta[Urdu Total])</f>
        <v>0</v>
      </c>
      <c r="X7" s="3">
        <f>SUBTOTAL(109,Shasta[Vietnamese Total])</f>
        <v>0</v>
      </c>
      <c r="Y7" s="3">
        <f>SUBTOTAL(109,Shasta[Other Total])</f>
        <v>0</v>
      </c>
      <c r="Z7" s="3">
        <f>SUBTOTAL(109,Shasta[Total Seals per Local Educational Agency])</f>
        <v>99</v>
      </c>
    </row>
  </sheetData>
  <conditionalFormatting sqref="A1:B2">
    <cfRule type="duplicateValues" dxfId="12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FE83-E756-4C6F-9F82-5BF0959EC17E}">
  <dimension ref="A1:Z4"/>
  <sheetViews>
    <sheetView showGridLines="0" zoomScaleNormal="100" workbookViewId="0">
      <pane xSplit="1" ySplit="2" topLeftCell="B3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defaultRowHeight="15.5" x14ac:dyDescent="0.35"/>
  <cols>
    <col min="1" max="1" width="23.53515625" style="4" bestFit="1" customWidth="1"/>
    <col min="2" max="2" width="26.843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4.1523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15234375" customWidth="1"/>
  </cols>
  <sheetData>
    <row r="1" spans="1:26" ht="18" x14ac:dyDescent="0.4">
      <c r="A1" s="27" t="s">
        <v>85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629</v>
      </c>
      <c r="B3" t="s">
        <v>630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</v>
      </c>
      <c r="V3">
        <v>0</v>
      </c>
      <c r="W3">
        <v>0</v>
      </c>
      <c r="X3">
        <v>0</v>
      </c>
      <c r="Y3">
        <v>0</v>
      </c>
      <c r="Z3">
        <f>SUM(Sierra[[American Sign Language Total]:[Other Total]])</f>
        <v>5</v>
      </c>
    </row>
    <row r="4" spans="1:26" x14ac:dyDescent="0.35">
      <c r="A4" s="9" t="s">
        <v>180</v>
      </c>
      <c r="B4" s="8" t="s">
        <v>183</v>
      </c>
      <c r="C4" s="3">
        <f>SUBTOTAL(109,Sierra[American Sign Language Total])</f>
        <v>0</v>
      </c>
      <c r="D4" s="3">
        <f>SUBTOTAL(109,Sierra[Arabic Total])</f>
        <v>0</v>
      </c>
      <c r="E4" s="3">
        <f>SUBTOTAL(109,Sierra[Armenian Total])</f>
        <v>0</v>
      </c>
      <c r="F4" s="3">
        <f>SUBTOTAL(109,Sierra[Bengali Total])</f>
        <v>0</v>
      </c>
      <c r="G4" s="3">
        <f>SUBTOTAL(109,Sierra[Chinese (Mandarin or Cantonese) Total])</f>
        <v>0</v>
      </c>
      <c r="H4" s="3">
        <f>SUBTOTAL(109,Sierra[Farsi (Persian) Total])</f>
        <v>0</v>
      </c>
      <c r="I4" s="3">
        <f>SUBTOTAL(109,Sierra[French Total])</f>
        <v>0</v>
      </c>
      <c r="J4" s="3">
        <f>SUBTOTAL(109,Sierra[German Total])</f>
        <v>0</v>
      </c>
      <c r="K4" s="3">
        <f>SUBTOTAL(109,Sierra[Hebrew Total])</f>
        <v>0</v>
      </c>
      <c r="L4" s="3">
        <f>SUBTOTAL(109,Sierra[Hindi Total])</f>
        <v>0</v>
      </c>
      <c r="M4" s="3">
        <f>SUBTOTAL(109,Sierra[Hmong Total])</f>
        <v>0</v>
      </c>
      <c r="N4" s="3">
        <f>SUBTOTAL(109,Sierra[Italian Total])</f>
        <v>0</v>
      </c>
      <c r="O4" s="3">
        <f>SUBTOTAL(109,Sierra[Japanese Total])</f>
        <v>0</v>
      </c>
      <c r="P4" s="3">
        <f>SUBTOTAL(109,Sierra[Korean Total])</f>
        <v>0</v>
      </c>
      <c r="Q4" s="3">
        <f>SUBTOTAL(109,Sierra[Latin Total])</f>
        <v>0</v>
      </c>
      <c r="R4" s="3">
        <f>SUBTOTAL(109,Sierra[Portuguese Total])</f>
        <v>0</v>
      </c>
      <c r="S4" s="3">
        <f>SUBTOTAL(109,Sierra[Punjabi Total])</f>
        <v>0</v>
      </c>
      <c r="T4" s="3">
        <f>SUBTOTAL(109,Sierra[Russian Total])</f>
        <v>0</v>
      </c>
      <c r="U4" s="3">
        <f>SUBTOTAL(109,Sierra[Spanish Total])</f>
        <v>5</v>
      </c>
      <c r="V4" s="3">
        <f>SUBTOTAL(109,Sierra[Tagalog (Filipino) Total])</f>
        <v>0</v>
      </c>
      <c r="W4" s="3">
        <f>SUBTOTAL(109,Sierra[Urdu Total])</f>
        <v>0</v>
      </c>
      <c r="X4" s="3">
        <f>SUBTOTAL(109,Sierra[Vietnamese Total])</f>
        <v>0</v>
      </c>
      <c r="Y4" s="3">
        <f>SUBTOTAL(109,Sierra[Other Total])</f>
        <v>0</v>
      </c>
      <c r="Z4" s="3">
        <f>SUBTOTAL(109,Sierra[Total Seals per Local Educational Agency])</f>
        <v>5</v>
      </c>
    </row>
  </sheetData>
  <conditionalFormatting sqref="A1:B2">
    <cfRule type="duplicateValues" dxfId="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604CD-4CC2-4752-AD09-AE2A778DD712}">
  <dimension ref="A1:Z4"/>
  <sheetViews>
    <sheetView showGridLines="0" zoomScaleNormal="100" workbookViewId="0">
      <pane xSplit="1" ySplit="2" topLeftCell="B3" activePane="bottomRight" state="frozen"/>
      <selection activeCell="U10" sqref="U10"/>
      <selection pane="topRight" activeCell="U10" sqref="U10"/>
      <selection pane="bottomLeft" activeCell="U10" sqref="U10"/>
      <selection pane="bottomRight"/>
    </sheetView>
  </sheetViews>
  <sheetFormatPr defaultRowHeight="15.5" x14ac:dyDescent="0.35"/>
  <cols>
    <col min="1" max="1" width="29.4609375" style="4" customWidth="1"/>
    <col min="2" max="2" width="21.8437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7656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15234375" customWidth="1"/>
  </cols>
  <sheetData>
    <row r="1" spans="1:26" ht="18" x14ac:dyDescent="0.4">
      <c r="A1" s="27" t="s">
        <v>86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632</v>
      </c>
      <c r="B3" s="2" t="s">
        <v>631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4</v>
      </c>
      <c r="V3">
        <v>0</v>
      </c>
      <c r="W3">
        <v>0</v>
      </c>
      <c r="X3">
        <v>0</v>
      </c>
      <c r="Y3">
        <v>0</v>
      </c>
      <c r="Z3" s="6">
        <f>SUM(Siskiyou[[#This Row],[American Sign Language Total]:[Other Total]])</f>
        <v>4</v>
      </c>
    </row>
    <row r="4" spans="1:26" x14ac:dyDescent="0.35">
      <c r="A4" s="9" t="s">
        <v>180</v>
      </c>
      <c r="B4" s="8" t="s">
        <v>183</v>
      </c>
      <c r="C4" s="3">
        <f>SUBTOTAL(109,Siskiyou[American Sign Language Total])</f>
        <v>0</v>
      </c>
      <c r="D4" s="3">
        <f>SUBTOTAL(109,Siskiyou[Arabic Total])</f>
        <v>0</v>
      </c>
      <c r="E4" s="3">
        <f>SUBTOTAL(109,Siskiyou[Armenian Total])</f>
        <v>0</v>
      </c>
      <c r="F4" s="3">
        <f>SUBTOTAL(109,Siskiyou[Bengali Total])</f>
        <v>0</v>
      </c>
      <c r="G4" s="3">
        <f>SUBTOTAL(109,Siskiyou[Chinese (Mandarin or Cantonese) Total])</f>
        <v>0</v>
      </c>
      <c r="H4" s="3">
        <f>SUBTOTAL(109,Siskiyou[Farsi (Persian) Total])</f>
        <v>0</v>
      </c>
      <c r="I4" s="3">
        <f>SUBTOTAL(109,Siskiyou[French Total])</f>
        <v>0</v>
      </c>
      <c r="J4" s="3">
        <f>SUBTOTAL(109,Siskiyou[German Total])</f>
        <v>0</v>
      </c>
      <c r="K4" s="3">
        <f>SUBTOTAL(109,Siskiyou[Hebrew Total])</f>
        <v>0</v>
      </c>
      <c r="L4" s="3">
        <f>SUBTOTAL(109,Siskiyou[Hindi Total])</f>
        <v>0</v>
      </c>
      <c r="M4" s="3">
        <f>SUBTOTAL(109,Siskiyou[Hmong Total])</f>
        <v>0</v>
      </c>
      <c r="N4" s="3">
        <f>SUBTOTAL(109,Siskiyou[Italian Total])</f>
        <v>0</v>
      </c>
      <c r="O4" s="3">
        <f>SUBTOTAL(109,Siskiyou[Japanese Total])</f>
        <v>0</v>
      </c>
      <c r="P4" s="3">
        <f>SUBTOTAL(109,Siskiyou[Korean Total])</f>
        <v>0</v>
      </c>
      <c r="Q4" s="3">
        <f>SUBTOTAL(109,Siskiyou[Latin Total])</f>
        <v>0</v>
      </c>
      <c r="R4" s="3">
        <f>SUBTOTAL(109,Siskiyou[Portuguese Total])</f>
        <v>0</v>
      </c>
      <c r="S4" s="3">
        <f>SUBTOTAL(109,Siskiyou[Punjabi Total])</f>
        <v>0</v>
      </c>
      <c r="T4" s="3">
        <f>SUBTOTAL(109,Siskiyou[Russian Total])</f>
        <v>0</v>
      </c>
      <c r="U4" s="3">
        <f>SUBTOTAL(109,Siskiyou[Spanish Total])</f>
        <v>4</v>
      </c>
      <c r="V4" s="3">
        <f>SUBTOTAL(109,Siskiyou[Tagalog (Filipino) Total])</f>
        <v>0</v>
      </c>
      <c r="W4" s="3">
        <f>SUBTOTAL(109,Siskiyou[Urdu Total])</f>
        <v>0</v>
      </c>
      <c r="X4" s="3">
        <f>SUBTOTAL(109,Siskiyou[Vietnamese Total])</f>
        <v>0</v>
      </c>
      <c r="Y4" s="3">
        <f>SUBTOTAL(109,Siskiyou[Other Total])</f>
        <v>0</v>
      </c>
      <c r="Z4" s="3">
        <f>SUBTOTAL(109,Siskiyou[Total Seals per Local Educational Agency])</f>
        <v>4</v>
      </c>
    </row>
  </sheetData>
  <conditionalFormatting sqref="A1:B2">
    <cfRule type="duplicateValues" dxfId="10" priority="1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9B9BF-642F-4F3D-957D-CED53EA5AC48}">
  <dimension ref="A1:Z10"/>
  <sheetViews>
    <sheetView showGridLines="0" zoomScaleNormal="100" workbookViewId="0">
      <pane xSplit="1" ySplit="2" topLeftCell="B3" activePane="bottomRight" state="frozen"/>
      <selection activeCell="A15" sqref="A15"/>
      <selection pane="topRight" activeCell="A15" sqref="A15"/>
      <selection pane="bottomLeft" activeCell="A15" sqref="A15"/>
      <selection pane="bottomRight"/>
    </sheetView>
  </sheetViews>
  <sheetFormatPr defaultRowHeight="15.5" x14ac:dyDescent="0.35"/>
  <cols>
    <col min="1" max="1" width="22" style="4" bestFit="1" customWidth="1"/>
    <col min="2" max="2" width="35.765625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21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633</v>
      </c>
      <c r="B3" s="4" t="s">
        <v>634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U3">
        <v>23</v>
      </c>
      <c r="V3">
        <v>0</v>
      </c>
      <c r="W3">
        <v>0</v>
      </c>
      <c r="X3">
        <v>0</v>
      </c>
      <c r="Y3">
        <v>0</v>
      </c>
      <c r="Z3" s="12">
        <f>SUM(Solano[[#This Row],[American Sign Language Total]:[Other Total]])</f>
        <v>24</v>
      </c>
    </row>
    <row r="4" spans="1:26" x14ac:dyDescent="0.35">
      <c r="A4" s="14" t="s">
        <v>635</v>
      </c>
      <c r="B4" s="4" t="s">
        <v>636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38</v>
      </c>
      <c r="V4">
        <v>0</v>
      </c>
      <c r="W4">
        <v>0</v>
      </c>
      <c r="X4">
        <v>0</v>
      </c>
      <c r="Y4">
        <v>0</v>
      </c>
      <c r="Z4">
        <f>SUM(Solano[[#This Row],[American Sign Language Total]:[Other Total]])</f>
        <v>38</v>
      </c>
    </row>
    <row r="5" spans="1:26" ht="31" x14ac:dyDescent="0.35">
      <c r="A5" s="14" t="s">
        <v>637</v>
      </c>
      <c r="B5" s="4" t="s">
        <v>975</v>
      </c>
      <c r="C5">
        <v>4</v>
      </c>
      <c r="D5">
        <v>0</v>
      </c>
      <c r="E5">
        <v>0</v>
      </c>
      <c r="F5">
        <v>0</v>
      </c>
      <c r="G5">
        <v>0</v>
      </c>
      <c r="H5">
        <v>0</v>
      </c>
      <c r="I5">
        <v>27</v>
      </c>
      <c r="J5">
        <v>7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161</v>
      </c>
      <c r="V5">
        <v>0</v>
      </c>
      <c r="W5">
        <v>0</v>
      </c>
      <c r="X5">
        <v>0</v>
      </c>
      <c r="Y5">
        <v>0</v>
      </c>
      <c r="Z5">
        <f>SUM(Solano[[#This Row],[American Sign Language Total]:[Other Total]])</f>
        <v>199</v>
      </c>
    </row>
    <row r="6" spans="1:26" x14ac:dyDescent="0.35">
      <c r="A6" s="14" t="s">
        <v>638</v>
      </c>
      <c r="B6" s="4" t="s">
        <v>638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71</v>
      </c>
      <c r="V6">
        <v>0</v>
      </c>
      <c r="W6">
        <v>0</v>
      </c>
      <c r="X6">
        <v>0</v>
      </c>
      <c r="Y6">
        <v>0</v>
      </c>
      <c r="Z6">
        <f>SUM(Solano[[#This Row],[American Sign Language Total]:[Other Total]])</f>
        <v>71</v>
      </c>
    </row>
    <row r="7" spans="1:26" x14ac:dyDescent="0.35">
      <c r="A7" s="14" t="s">
        <v>639</v>
      </c>
      <c r="B7" s="4" t="s">
        <v>640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10</v>
      </c>
      <c r="J7">
        <v>7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29</v>
      </c>
      <c r="V7">
        <v>0</v>
      </c>
      <c r="W7">
        <v>0</v>
      </c>
      <c r="X7">
        <v>1</v>
      </c>
      <c r="Y7">
        <v>0</v>
      </c>
      <c r="Z7">
        <f>SUM(Solano[[#This Row],[American Sign Language Total]:[Other Total]])</f>
        <v>48</v>
      </c>
    </row>
    <row r="8" spans="1:26" ht="31" x14ac:dyDescent="0.35">
      <c r="A8" s="14" t="s">
        <v>641</v>
      </c>
      <c r="B8" s="4" t="s">
        <v>976</v>
      </c>
      <c r="C8">
        <v>3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  <c r="P8">
        <v>1</v>
      </c>
      <c r="Q8">
        <v>0</v>
      </c>
      <c r="R8">
        <v>0</v>
      </c>
      <c r="S8">
        <v>0</v>
      </c>
      <c r="T8">
        <v>0</v>
      </c>
      <c r="U8">
        <v>108</v>
      </c>
      <c r="V8">
        <v>0</v>
      </c>
      <c r="W8">
        <v>0</v>
      </c>
      <c r="X8">
        <v>1</v>
      </c>
      <c r="Y8">
        <v>0</v>
      </c>
      <c r="Z8" s="6">
        <f>SUM(Solano[[#This Row],[American Sign Language Total]:[Other Total]])</f>
        <v>115</v>
      </c>
    </row>
    <row r="9" spans="1:26" x14ac:dyDescent="0.35">
      <c r="A9" s="14" t="s">
        <v>974</v>
      </c>
      <c r="B9" s="4" t="s">
        <v>642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38</v>
      </c>
      <c r="V9">
        <v>8</v>
      </c>
      <c r="W9">
        <v>0</v>
      </c>
      <c r="X9">
        <v>0</v>
      </c>
      <c r="Y9">
        <v>0</v>
      </c>
      <c r="Z9" s="6">
        <f>SUM(Solano[[#This Row],[American Sign Language Total]:[Other Total]])</f>
        <v>46</v>
      </c>
    </row>
    <row r="10" spans="1:26" x14ac:dyDescent="0.35">
      <c r="A10" s="9" t="s">
        <v>201</v>
      </c>
      <c r="B10" s="8" t="s">
        <v>643</v>
      </c>
      <c r="C10" s="3">
        <f>SUBTOTAL(109,Solano[American Sign Language Total])</f>
        <v>7</v>
      </c>
      <c r="D10" s="3">
        <f>SUBTOTAL(109,Solano[Arabic Total])</f>
        <v>0</v>
      </c>
      <c r="E10" s="3">
        <f>SUBTOTAL(109,Solano[Armenian Total])</f>
        <v>0</v>
      </c>
      <c r="F10" s="3">
        <f>SUBTOTAL(109,Solano[Bengali Total])</f>
        <v>0</v>
      </c>
      <c r="G10" s="3">
        <f>SUBTOTAL(109,Solano[Chinese (Mandarin or Cantonese) Total])</f>
        <v>0</v>
      </c>
      <c r="H10" s="3">
        <f>SUBTOTAL(109,Solano[Farsi (Persian) Total])</f>
        <v>0</v>
      </c>
      <c r="I10" s="3">
        <f>SUBTOTAL(109,Solano[French Total])</f>
        <v>38</v>
      </c>
      <c r="J10" s="3">
        <f>SUBTOTAL(109,Solano[German Total])</f>
        <v>14</v>
      </c>
      <c r="K10" s="3">
        <f>SUBTOTAL(109,Solano[Hebrew Total])</f>
        <v>0</v>
      </c>
      <c r="L10" s="3">
        <f>SUBTOTAL(109,Solano[Hindi Total])</f>
        <v>0</v>
      </c>
      <c r="M10" s="3">
        <f>SUBTOTAL(109,Solano[Hmong Total])</f>
        <v>0</v>
      </c>
      <c r="N10" s="3">
        <f>SUBTOTAL(109,Solano[Italian Total])</f>
        <v>0</v>
      </c>
      <c r="O10" s="3">
        <f>SUBTOTAL(109,Solano[Japanese Total])</f>
        <v>2</v>
      </c>
      <c r="P10" s="3">
        <f>SUBTOTAL(109,Solano[Korean Total])</f>
        <v>1</v>
      </c>
      <c r="Q10" s="3">
        <f>SUBTOTAL(109,Solano[Latin Total])</f>
        <v>0</v>
      </c>
      <c r="R10" s="3">
        <f>SUBTOTAL(109,Solano[Portuguese Total])</f>
        <v>0</v>
      </c>
      <c r="S10" s="3">
        <f>SUBTOTAL(109,Solano[Punjabi Total])</f>
        <v>0</v>
      </c>
      <c r="T10" s="3">
        <f>SUBTOTAL(109,Solano[Russian Total])</f>
        <v>1</v>
      </c>
      <c r="U10" s="3">
        <f>SUBTOTAL(109,Solano[Spanish Total])</f>
        <v>468</v>
      </c>
      <c r="V10" s="3">
        <f>SUBTOTAL(109,Solano[Tagalog (Filipino) Total])</f>
        <v>8</v>
      </c>
      <c r="W10" s="3">
        <f>SUBTOTAL(109,Solano[Urdu Total])</f>
        <v>0</v>
      </c>
      <c r="X10" s="3">
        <f>SUBTOTAL(109,Solano[Vietnamese Total])</f>
        <v>2</v>
      </c>
      <c r="Y10" s="3">
        <f>SUBTOTAL(109,Solano[Other Total])</f>
        <v>0</v>
      </c>
      <c r="Z10" s="3">
        <f>SUBTOTAL(109,Solano[Total Seals per Local Educational Agency])</f>
        <v>541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3B43-B701-478C-8F89-E087234A4605}">
  <dimension ref="A1:Z13"/>
  <sheetViews>
    <sheetView showGridLines="0" zoomScaleNormal="100" workbookViewId="0">
      <pane xSplit="1" ySplit="2" topLeftCell="B3" activePane="bottomRight" state="frozen"/>
      <selection activeCell="A15" sqref="A15"/>
      <selection pane="topRight" activeCell="A15" sqref="A15"/>
      <selection pane="bottomLeft" activeCell="A15" sqref="A15"/>
      <selection pane="bottomRight"/>
    </sheetView>
  </sheetViews>
  <sheetFormatPr defaultRowHeight="15.5" x14ac:dyDescent="0.35"/>
  <cols>
    <col min="1" max="1" width="29" style="4" bestFit="1" customWidth="1"/>
    <col min="2" max="2" width="31.07421875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3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1" x14ac:dyDescent="0.35">
      <c r="A3" s="10" t="s">
        <v>169</v>
      </c>
      <c r="B3" s="4" t="s">
        <v>169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3</v>
      </c>
      <c r="V3">
        <v>0</v>
      </c>
      <c r="W3">
        <v>0</v>
      </c>
      <c r="X3">
        <v>0</v>
      </c>
      <c r="Y3">
        <v>0</v>
      </c>
      <c r="Z3">
        <f>SUM(Sonoma[[#This Row],[American Sign Language Total]:[Vietnamese Total]])</f>
        <v>3</v>
      </c>
    </row>
    <row r="4" spans="1:26" x14ac:dyDescent="0.35">
      <c r="A4" s="10" t="s">
        <v>170</v>
      </c>
      <c r="B4" s="4" t="s">
        <v>979</v>
      </c>
      <c r="C4">
        <v>0</v>
      </c>
      <c r="D4">
        <v>0</v>
      </c>
      <c r="E4">
        <v>0</v>
      </c>
      <c r="F4">
        <v>0</v>
      </c>
      <c r="G4">
        <v>15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47</v>
      </c>
      <c r="V4">
        <v>0</v>
      </c>
      <c r="W4">
        <v>0</v>
      </c>
      <c r="X4">
        <v>0</v>
      </c>
      <c r="Y4">
        <v>0</v>
      </c>
      <c r="Z4">
        <f>SUM(Sonoma[[#This Row],[American Sign Language Total]:[Vietnamese Total]])</f>
        <v>64</v>
      </c>
    </row>
    <row r="5" spans="1:26" x14ac:dyDescent="0.35">
      <c r="A5" s="10" t="s">
        <v>644</v>
      </c>
      <c r="B5" s="4" t="s">
        <v>645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37</v>
      </c>
      <c r="V5">
        <v>0</v>
      </c>
      <c r="W5">
        <v>0</v>
      </c>
      <c r="X5">
        <v>0</v>
      </c>
      <c r="Y5">
        <v>0</v>
      </c>
      <c r="Z5">
        <f>SUM(Sonoma[[#This Row],[American Sign Language Total]:[Vietnamese Total]])</f>
        <v>38</v>
      </c>
    </row>
    <row r="6" spans="1:26" x14ac:dyDescent="0.35">
      <c r="A6" s="10" t="s">
        <v>977</v>
      </c>
      <c r="B6" s="4" t="s">
        <v>977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f>SUM(Sonoma[[#This Row],[American Sign Language Total]:[Vietnamese Total]])</f>
        <v>1</v>
      </c>
    </row>
    <row r="7" spans="1:26" x14ac:dyDescent="0.35">
      <c r="A7" s="10" t="s">
        <v>646</v>
      </c>
      <c r="B7" s="4" t="s">
        <v>647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180</v>
      </c>
      <c r="V7">
        <v>35</v>
      </c>
      <c r="W7">
        <v>0</v>
      </c>
      <c r="X7">
        <v>0</v>
      </c>
      <c r="Y7">
        <v>0</v>
      </c>
      <c r="Z7" s="6">
        <f>SUM(Sonoma[[#This Row],[American Sign Language Total]:[Vietnamese Total]])</f>
        <v>215</v>
      </c>
    </row>
    <row r="8" spans="1:26" x14ac:dyDescent="0.35">
      <c r="A8" s="10" t="s">
        <v>978</v>
      </c>
      <c r="B8" s="4" t="s">
        <v>978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54</v>
      </c>
      <c r="V8">
        <v>0</v>
      </c>
      <c r="W8">
        <v>0</v>
      </c>
      <c r="X8">
        <v>0</v>
      </c>
      <c r="Y8">
        <v>0</v>
      </c>
      <c r="Z8" s="6">
        <f>SUM(Sonoma[[#This Row],[American Sign Language Total]:[Vietnamese Total]])</f>
        <v>54</v>
      </c>
    </row>
    <row r="9" spans="1:26" ht="46.5" x14ac:dyDescent="0.35">
      <c r="A9" s="10" t="s">
        <v>649</v>
      </c>
      <c r="B9" s="4" t="s">
        <v>648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45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210</v>
      </c>
      <c r="V9">
        <v>0</v>
      </c>
      <c r="W9">
        <v>0</v>
      </c>
      <c r="X9">
        <v>0</v>
      </c>
      <c r="Y9">
        <v>0</v>
      </c>
      <c r="Z9" s="6">
        <f>SUM(Sonoma[[#This Row],[American Sign Language Total]:[Vietnamese Total]])</f>
        <v>255</v>
      </c>
    </row>
    <row r="10" spans="1:26" x14ac:dyDescent="0.35">
      <c r="A10" s="10" t="s">
        <v>1215</v>
      </c>
      <c r="B10" s="4" t="s">
        <v>650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51</v>
      </c>
      <c r="V10">
        <v>0</v>
      </c>
      <c r="W10">
        <v>0</v>
      </c>
      <c r="X10">
        <v>0</v>
      </c>
      <c r="Y10">
        <v>0</v>
      </c>
      <c r="Z10" s="6">
        <f>SUM(Sonoma[[#This Row],[American Sign Language Total]:[Vietnamese Total]])</f>
        <v>52</v>
      </c>
    </row>
    <row r="11" spans="1:26" x14ac:dyDescent="0.35">
      <c r="A11" s="10" t="s">
        <v>651</v>
      </c>
      <c r="B11" s="4" t="s">
        <v>652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65</v>
      </c>
      <c r="V11">
        <v>0</v>
      </c>
      <c r="W11">
        <v>0</v>
      </c>
      <c r="X11">
        <v>0</v>
      </c>
      <c r="Y11">
        <v>0</v>
      </c>
      <c r="Z11" s="6">
        <f>SUM(Sonoma[[#This Row],[American Sign Language Total]:[Vietnamese Total]])</f>
        <v>65</v>
      </c>
    </row>
    <row r="12" spans="1:26" x14ac:dyDescent="0.35">
      <c r="A12" s="10" t="s">
        <v>653</v>
      </c>
      <c r="B12" s="4" t="s">
        <v>653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100</v>
      </c>
      <c r="V12">
        <v>0</v>
      </c>
      <c r="W12">
        <v>0</v>
      </c>
      <c r="X12">
        <v>0</v>
      </c>
      <c r="Y12">
        <v>0</v>
      </c>
      <c r="Z12" s="6">
        <f>SUM(Sonoma[[#This Row],[American Sign Language Total]:[Vietnamese Total]])</f>
        <v>100</v>
      </c>
    </row>
    <row r="13" spans="1:26" x14ac:dyDescent="0.35">
      <c r="A13" s="8" t="s">
        <v>202</v>
      </c>
      <c r="B13" s="8" t="s">
        <v>1216</v>
      </c>
      <c r="C13" s="3">
        <f>SUBTOTAL(109,Sonoma[American Sign Language Total])</f>
        <v>0</v>
      </c>
      <c r="D13" s="3">
        <f>SUBTOTAL(109,Sonoma[Arabic Total])</f>
        <v>0</v>
      </c>
      <c r="E13" s="3">
        <f>SUBTOTAL(109,Sonoma[Armenian Total])</f>
        <v>0</v>
      </c>
      <c r="F13" s="3">
        <f>SUBTOTAL(109,Sonoma[Bengali Total])</f>
        <v>0</v>
      </c>
      <c r="G13" s="3">
        <f>SUBTOTAL(109,Sonoma[Chinese (Mandarin or Cantonese) Total])</f>
        <v>15</v>
      </c>
      <c r="H13" s="3">
        <f>SUBTOTAL(109,Sonoma[Farsi (Persian) Total])</f>
        <v>0</v>
      </c>
      <c r="I13" s="3">
        <f>SUBTOTAL(109,Sonoma[French Total])</f>
        <v>47</v>
      </c>
      <c r="J13" s="3">
        <f>SUBTOTAL(109,Sonoma[German Total])</f>
        <v>0</v>
      </c>
      <c r="K13" s="3">
        <f>SUBTOTAL(109,Sonoma[Hebrew Total])</f>
        <v>0</v>
      </c>
      <c r="L13" s="3">
        <f>SUBTOTAL(109,Sonoma[Hindi Total])</f>
        <v>0</v>
      </c>
      <c r="M13" s="3">
        <f>SUBTOTAL(109,Sonoma[Hmong Total])</f>
        <v>0</v>
      </c>
      <c r="N13" s="3">
        <f>SUBTOTAL(109,Sonoma[Italian Total])</f>
        <v>0</v>
      </c>
      <c r="O13" s="3">
        <f>SUBTOTAL(109,Sonoma[Japanese Total])</f>
        <v>2</v>
      </c>
      <c r="P13" s="3">
        <f>SUBTOTAL(109,Sonoma[Korean Total])</f>
        <v>0</v>
      </c>
      <c r="Q13" s="3">
        <f>SUBTOTAL(109,Sonoma[Latin Total])</f>
        <v>0</v>
      </c>
      <c r="R13" s="3">
        <f>SUBTOTAL(109,Sonoma[Portuguese Total])</f>
        <v>0</v>
      </c>
      <c r="S13" s="3">
        <f>SUBTOTAL(109,Sonoma[Punjabi Total])</f>
        <v>0</v>
      </c>
      <c r="T13" s="3">
        <f>SUBTOTAL(109,Sonoma[Russian Total])</f>
        <v>0</v>
      </c>
      <c r="U13" s="3">
        <f>SUBTOTAL(109,Sonoma[Spanish Total])</f>
        <v>748</v>
      </c>
      <c r="V13" s="3">
        <f>SUBTOTAL(109,Sonoma[Tagalog (Filipino) Total])</f>
        <v>35</v>
      </c>
      <c r="W13" s="3">
        <f>SUBTOTAL(109,Sonoma[Urdu Total])</f>
        <v>0</v>
      </c>
      <c r="X13" s="3">
        <f>SUBTOTAL(109,Sonoma[Vietnamese Total])</f>
        <v>0</v>
      </c>
      <c r="Y13" s="3">
        <f>SUBTOTAL(109,Sonoma[Other Total])</f>
        <v>0</v>
      </c>
      <c r="Z13" s="3">
        <f>SUBTOTAL(109,Sonoma[Total Seals per Local Educational Agency])</f>
        <v>847</v>
      </c>
    </row>
  </sheetData>
  <conditionalFormatting sqref="A1:B2">
    <cfRule type="duplicateValues" dxfId="9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12448-C439-4C65-8D16-80E80F84227D}">
  <dimension ref="A1:Z12"/>
  <sheetViews>
    <sheetView showGridLines="0" zoomScaleNormal="100" workbookViewId="0">
      <pane xSplit="1" ySplit="2" topLeftCell="B3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RowHeight="15.5" x14ac:dyDescent="0.35"/>
  <cols>
    <col min="1" max="1" width="30.23046875" style="4" bestFit="1" customWidth="1"/>
    <col min="2" max="2" width="30.843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7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171</v>
      </c>
      <c r="B3" s="4" t="s">
        <v>982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</v>
      </c>
      <c r="M3">
        <v>0</v>
      </c>
      <c r="N3">
        <v>0</v>
      </c>
      <c r="O3">
        <v>0</v>
      </c>
      <c r="P3">
        <v>0</v>
      </c>
      <c r="Q3">
        <v>0</v>
      </c>
      <c r="R3">
        <v>7</v>
      </c>
      <c r="S3">
        <v>4</v>
      </c>
      <c r="T3">
        <v>0</v>
      </c>
      <c r="U3">
        <v>134</v>
      </c>
      <c r="V3">
        <v>0</v>
      </c>
      <c r="W3">
        <v>0</v>
      </c>
      <c r="X3">
        <v>0</v>
      </c>
      <c r="Y3">
        <v>1</v>
      </c>
      <c r="Z3">
        <f>SUM(Stanislaus[[#This Row],[American Sign Language Total]:[Other Total]])</f>
        <v>149</v>
      </c>
    </row>
    <row r="4" spans="1:26" x14ac:dyDescent="0.35">
      <c r="A4" s="14" t="s">
        <v>980</v>
      </c>
      <c r="B4" s="4" t="s">
        <v>983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f>SUM(Stanislaus[[#This Row],[American Sign Language Total]:[Other Total]])</f>
        <v>1</v>
      </c>
    </row>
    <row r="5" spans="1:26" ht="77.5" x14ac:dyDescent="0.35">
      <c r="A5" s="14" t="s">
        <v>172</v>
      </c>
      <c r="B5" s="4" t="s">
        <v>984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  <c r="I5">
        <v>11</v>
      </c>
      <c r="J5">
        <v>2</v>
      </c>
      <c r="K5">
        <v>0</v>
      </c>
      <c r="L5">
        <v>0</v>
      </c>
      <c r="M5">
        <v>0</v>
      </c>
      <c r="N5">
        <v>1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255</v>
      </c>
      <c r="V5">
        <v>0</v>
      </c>
      <c r="W5">
        <v>0</v>
      </c>
      <c r="X5">
        <v>0</v>
      </c>
      <c r="Y5">
        <v>1</v>
      </c>
      <c r="Z5">
        <f>SUM(Stanislaus[[#This Row],[American Sign Language Total]:[Other Total]])</f>
        <v>272</v>
      </c>
    </row>
    <row r="6" spans="1:26" x14ac:dyDescent="0.35">
      <c r="A6" s="14" t="s">
        <v>654</v>
      </c>
      <c r="B6" s="4" t="s">
        <v>655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64</v>
      </c>
      <c r="V6">
        <v>0</v>
      </c>
      <c r="W6">
        <v>0</v>
      </c>
      <c r="X6">
        <v>0</v>
      </c>
      <c r="Y6">
        <v>0</v>
      </c>
      <c r="Z6">
        <f>SUM(Stanislaus[[#This Row],[American Sign Language Total]:[Other Total]])</f>
        <v>65</v>
      </c>
    </row>
    <row r="7" spans="1:26" x14ac:dyDescent="0.35">
      <c r="A7" s="14" t="s">
        <v>656</v>
      </c>
      <c r="B7" s="4" t="s">
        <v>657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10</v>
      </c>
      <c r="V7">
        <v>0</v>
      </c>
      <c r="W7">
        <v>0</v>
      </c>
      <c r="X7">
        <v>0</v>
      </c>
      <c r="Y7">
        <v>0</v>
      </c>
      <c r="Z7">
        <f>SUM(Stanislaus[[#This Row],[American Sign Language Total]:[Other Total]])</f>
        <v>10</v>
      </c>
    </row>
    <row r="8" spans="1:26" x14ac:dyDescent="0.35">
      <c r="A8" s="14" t="s">
        <v>658</v>
      </c>
      <c r="B8" s="4" t="s">
        <v>659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3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59</v>
      </c>
      <c r="V8">
        <v>0</v>
      </c>
      <c r="W8">
        <v>0</v>
      </c>
      <c r="X8">
        <v>0</v>
      </c>
      <c r="Y8">
        <v>0</v>
      </c>
      <c r="Z8">
        <f>SUM(Stanislaus[[#This Row],[American Sign Language Total]:[Other Total]])</f>
        <v>62</v>
      </c>
    </row>
    <row r="9" spans="1:26" x14ac:dyDescent="0.35">
      <c r="A9" s="14" t="s">
        <v>981</v>
      </c>
      <c r="B9" s="4" t="s">
        <v>660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23</v>
      </c>
      <c r="V9">
        <v>0</v>
      </c>
      <c r="W9">
        <v>0</v>
      </c>
      <c r="X9">
        <v>0</v>
      </c>
      <c r="Y9">
        <v>0</v>
      </c>
      <c r="Z9">
        <f>SUM(Stanislaus[[#This Row],[American Sign Language Total]:[Other Total]])</f>
        <v>23</v>
      </c>
    </row>
    <row r="10" spans="1:26" ht="31" x14ac:dyDescent="0.35">
      <c r="A10" s="14" t="s">
        <v>661</v>
      </c>
      <c r="B10" s="4" t="s">
        <v>662</v>
      </c>
      <c r="C10">
        <v>0</v>
      </c>
      <c r="D10">
        <v>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</v>
      </c>
      <c r="T10">
        <v>0</v>
      </c>
      <c r="U10">
        <v>123</v>
      </c>
      <c r="V10">
        <v>0</v>
      </c>
      <c r="W10">
        <v>0</v>
      </c>
      <c r="X10">
        <v>0</v>
      </c>
      <c r="Y10">
        <v>1</v>
      </c>
      <c r="Z10">
        <f>SUM(Stanislaus[[#This Row],[American Sign Language Total]:[Other Total]])</f>
        <v>129</v>
      </c>
    </row>
    <row r="11" spans="1:26" x14ac:dyDescent="0.35">
      <c r="A11" s="14" t="s">
        <v>663</v>
      </c>
      <c r="B11" s="4" t="s">
        <v>985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24</v>
      </c>
      <c r="V11">
        <v>0</v>
      </c>
      <c r="W11">
        <v>0</v>
      </c>
      <c r="X11">
        <v>0</v>
      </c>
      <c r="Y11">
        <v>0</v>
      </c>
      <c r="Z11">
        <f>SUM(Stanislaus[[#This Row],[American Sign Language Total]:[Other Total]])</f>
        <v>24</v>
      </c>
    </row>
    <row r="12" spans="1:26" x14ac:dyDescent="0.35">
      <c r="A12" s="9" t="s">
        <v>664</v>
      </c>
      <c r="B12" s="8" t="s">
        <v>199</v>
      </c>
      <c r="C12" s="3">
        <f>SUBTOTAL(109,Stanislaus[American Sign Language Total])</f>
        <v>0</v>
      </c>
      <c r="D12" s="3">
        <f>SUBTOTAL(109,Stanislaus[Arabic Total])</f>
        <v>3</v>
      </c>
      <c r="E12" s="3">
        <f>SUBTOTAL(109,Stanislaus[Armenian Total])</f>
        <v>0</v>
      </c>
      <c r="F12" s="3">
        <f>SUBTOTAL(109,Stanislaus[Bengali Total])</f>
        <v>0</v>
      </c>
      <c r="G12" s="3">
        <f>SUBTOTAL(109,Stanislaus[Chinese (Mandarin or Cantonese) Total])</f>
        <v>2</v>
      </c>
      <c r="H12" s="3">
        <f>SUBTOTAL(109,Stanislaus[Farsi (Persian) Total])</f>
        <v>0</v>
      </c>
      <c r="I12" s="3">
        <f>SUBTOTAL(109,Stanislaus[French Total])</f>
        <v>14</v>
      </c>
      <c r="J12" s="3">
        <f>SUBTOTAL(109,Stanislaus[German Total])</f>
        <v>2</v>
      </c>
      <c r="K12" s="3">
        <f>SUBTOTAL(109,Stanislaus[Hebrew Total])</f>
        <v>0</v>
      </c>
      <c r="L12" s="3">
        <f>SUBTOTAL(109,Stanislaus[Hindi Total])</f>
        <v>3</v>
      </c>
      <c r="M12" s="3">
        <f>SUBTOTAL(109,Stanislaus[Hmong Total])</f>
        <v>0</v>
      </c>
      <c r="N12" s="3">
        <f>SUBTOTAL(109,Stanislaus[Italian Total])</f>
        <v>2</v>
      </c>
      <c r="O12" s="3">
        <f>SUBTOTAL(109,Stanislaus[Japanese Total])</f>
        <v>0</v>
      </c>
      <c r="P12" s="3">
        <f>SUBTOTAL(109,Stanislaus[Korean Total])</f>
        <v>0</v>
      </c>
      <c r="Q12" s="3">
        <f>SUBTOTAL(109,Stanislaus[Latin Total])</f>
        <v>0</v>
      </c>
      <c r="R12" s="3">
        <f>SUBTOTAL(109,Stanislaus[Portuguese Total])</f>
        <v>7</v>
      </c>
      <c r="S12" s="3">
        <f>SUBTOTAL(109,Stanislaus[Punjabi Total])</f>
        <v>6</v>
      </c>
      <c r="T12" s="3">
        <f>SUBTOTAL(109,Stanislaus[Russian Total])</f>
        <v>0</v>
      </c>
      <c r="U12" s="3">
        <f>SUBTOTAL(109,Stanislaus[Spanish Total])</f>
        <v>693</v>
      </c>
      <c r="V12" s="3">
        <f>SUBTOTAL(109,Stanislaus[Tagalog (Filipino) Total])</f>
        <v>0</v>
      </c>
      <c r="W12" s="3">
        <f>SUBTOTAL(109,Stanislaus[Urdu Total])</f>
        <v>0</v>
      </c>
      <c r="X12" s="3">
        <f>SUBTOTAL(109,Stanislaus[Vietnamese Total])</f>
        <v>0</v>
      </c>
      <c r="Y12" s="3">
        <f>SUBTOTAL(109,Stanislaus[Other Total])</f>
        <v>3</v>
      </c>
      <c r="Z12" s="3">
        <f>SUBTOTAL(109,Stanislaus[Total Seals per Local Educational Agency])</f>
        <v>735</v>
      </c>
    </row>
  </sheetData>
  <conditionalFormatting sqref="A1:B2">
    <cfRule type="duplicateValues" dxfId="8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07E6-1CC6-46EF-B260-D28333966E7E}">
  <dimension ref="A1:Z9"/>
  <sheetViews>
    <sheetView showGridLines="0" zoomScaleNormal="100" workbookViewId="0">
      <pane xSplit="1" ySplit="2" topLeftCell="B3" activePane="bottomRight" state="frozen"/>
      <selection activeCell="U15" sqref="U15"/>
      <selection pane="topRight" activeCell="U15" sqref="U15"/>
      <selection pane="bottomLeft" activeCell="U15" sqref="U15"/>
      <selection pane="bottomRight"/>
    </sheetView>
  </sheetViews>
  <sheetFormatPr defaultRowHeight="15.5" x14ac:dyDescent="0.35"/>
  <cols>
    <col min="1" max="1" width="28.84375" style="4" bestFit="1" customWidth="1"/>
    <col min="2" max="2" width="28.765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8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18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665</v>
      </c>
      <c r="B3" s="4" t="s">
        <v>665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f>SUM(Sutter[[#This Row],[American Sign Language Total]:[Other Total]])</f>
        <v>1</v>
      </c>
    </row>
    <row r="4" spans="1:26" x14ac:dyDescent="0.35">
      <c r="A4" s="14" t="s">
        <v>666</v>
      </c>
      <c r="B4" s="4" t="s">
        <v>666</v>
      </c>
      <c r="C4">
        <v>1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2</v>
      </c>
      <c r="R4">
        <v>0</v>
      </c>
      <c r="S4">
        <v>0</v>
      </c>
      <c r="T4">
        <v>2</v>
      </c>
      <c r="U4">
        <v>3</v>
      </c>
      <c r="V4">
        <v>0</v>
      </c>
      <c r="W4">
        <v>0</v>
      </c>
      <c r="X4">
        <v>0</v>
      </c>
      <c r="Y4">
        <v>0</v>
      </c>
      <c r="Z4">
        <f>SUM(Sutter[[#This Row],[American Sign Language Total]:[Other Total]])</f>
        <v>9</v>
      </c>
    </row>
    <row r="5" spans="1:26" x14ac:dyDescent="0.35">
      <c r="A5" s="14" t="s">
        <v>667</v>
      </c>
      <c r="B5" s="4" t="s">
        <v>668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5</v>
      </c>
      <c r="V5">
        <v>0</v>
      </c>
      <c r="W5">
        <v>0</v>
      </c>
      <c r="X5">
        <v>0</v>
      </c>
      <c r="Y5">
        <v>0</v>
      </c>
      <c r="Z5">
        <f>SUM(Sutter[[#This Row],[American Sign Language Total]:[Other Total]])</f>
        <v>5</v>
      </c>
    </row>
    <row r="6" spans="1:26" x14ac:dyDescent="0.35">
      <c r="A6" s="14" t="s">
        <v>669</v>
      </c>
      <c r="B6" s="4" t="s">
        <v>669</v>
      </c>
      <c r="C6">
        <v>3</v>
      </c>
      <c r="D6">
        <v>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</v>
      </c>
      <c r="T6">
        <v>2</v>
      </c>
      <c r="U6">
        <v>10</v>
      </c>
      <c r="V6">
        <v>0</v>
      </c>
      <c r="W6">
        <v>0</v>
      </c>
      <c r="X6">
        <v>0</v>
      </c>
      <c r="Y6">
        <v>0</v>
      </c>
      <c r="Z6">
        <f>SUM(Sutter[[#This Row],[American Sign Language Total]:[Other Total]])</f>
        <v>21</v>
      </c>
    </row>
    <row r="7" spans="1:26" x14ac:dyDescent="0.35">
      <c r="A7" s="14" t="s">
        <v>670</v>
      </c>
      <c r="B7" s="4" t="s">
        <v>670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20</v>
      </c>
      <c r="V7">
        <v>0</v>
      </c>
      <c r="W7">
        <v>0</v>
      </c>
      <c r="X7">
        <v>0</v>
      </c>
      <c r="Y7">
        <v>0</v>
      </c>
      <c r="Z7" s="6">
        <f>SUM(Sutter[[#This Row],[American Sign Language Total]:[Other Total]])</f>
        <v>20</v>
      </c>
    </row>
    <row r="8" spans="1:26" ht="62" x14ac:dyDescent="0.35">
      <c r="A8" s="14" t="s">
        <v>671</v>
      </c>
      <c r="B8" s="4" t="s">
        <v>986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125</v>
      </c>
      <c r="T8">
        <v>0</v>
      </c>
      <c r="U8">
        <v>125</v>
      </c>
      <c r="V8">
        <v>0</v>
      </c>
      <c r="W8">
        <v>0</v>
      </c>
      <c r="X8">
        <v>0</v>
      </c>
      <c r="Y8">
        <v>5</v>
      </c>
      <c r="Z8" s="6">
        <f>SUM(Sutter[[#This Row],[American Sign Language Total]:[Other Total]])</f>
        <v>255</v>
      </c>
    </row>
    <row r="9" spans="1:26" x14ac:dyDescent="0.35">
      <c r="A9" s="9" t="s">
        <v>185</v>
      </c>
      <c r="B9" s="8" t="s">
        <v>594</v>
      </c>
      <c r="C9" s="3">
        <f>SUBTOTAL(109,Sutter[American Sign Language Total])</f>
        <v>4</v>
      </c>
      <c r="D9" s="3">
        <f>SUBTOTAL(109,Sutter[Arabic Total])</f>
        <v>5</v>
      </c>
      <c r="E9" s="3">
        <f>SUBTOTAL(109,Sutter[Armenian Total])</f>
        <v>0</v>
      </c>
      <c r="F9" s="3">
        <f>SUBTOTAL(109,Sutter[Bengali Total])</f>
        <v>0</v>
      </c>
      <c r="G9" s="3">
        <f>SUBTOTAL(109,Sutter[Chinese (Mandarin or Cantonese) Total])</f>
        <v>1</v>
      </c>
      <c r="H9" s="3">
        <f>SUBTOTAL(109,Sutter[Farsi (Persian) Total])</f>
        <v>0</v>
      </c>
      <c r="I9" s="3">
        <f>SUBTOTAL(109,Sutter[French Total])</f>
        <v>0</v>
      </c>
      <c r="J9" s="3">
        <f>SUBTOTAL(109,Sutter[German Total])</f>
        <v>0</v>
      </c>
      <c r="K9" s="3">
        <f>SUBTOTAL(109,Sutter[Hebrew Total])</f>
        <v>0</v>
      </c>
      <c r="L9" s="3">
        <f>SUBTOTAL(109,Sutter[Hindi Total])</f>
        <v>0</v>
      </c>
      <c r="M9" s="3">
        <f>SUBTOTAL(109,Sutter[Hmong Total])</f>
        <v>0</v>
      </c>
      <c r="N9" s="3">
        <f>SUBTOTAL(109,Sutter[Italian Total])</f>
        <v>0</v>
      </c>
      <c r="O9" s="3">
        <f>SUBTOTAL(109,Sutter[Japanese Total])</f>
        <v>0</v>
      </c>
      <c r="P9" s="3">
        <f>SUBTOTAL(109,Sutter[Korean Total])</f>
        <v>0</v>
      </c>
      <c r="Q9" s="3">
        <f>SUBTOTAL(109,Sutter[Latin Total])</f>
        <v>2</v>
      </c>
      <c r="R9" s="3">
        <f>SUBTOTAL(109,Sutter[Portuguese Total])</f>
        <v>0</v>
      </c>
      <c r="S9" s="3">
        <f>SUBTOTAL(109,Sutter[Punjabi Total])</f>
        <v>126</v>
      </c>
      <c r="T9" s="3">
        <f>SUBTOTAL(109,Sutter[Russian Total])</f>
        <v>4</v>
      </c>
      <c r="U9" s="3">
        <f>SUBTOTAL(109,Sutter[Spanish Total])</f>
        <v>164</v>
      </c>
      <c r="V9" s="3">
        <f>SUBTOTAL(109,Sutter[Tagalog (Filipino) Total])</f>
        <v>0</v>
      </c>
      <c r="W9" s="3">
        <f>SUBTOTAL(109,Sutter[Urdu Total])</f>
        <v>0</v>
      </c>
      <c r="X9" s="3">
        <f>SUBTOTAL(109,Sutter[Vietnamese Total])</f>
        <v>0</v>
      </c>
      <c r="Y9" s="3">
        <f>SUBTOTAL(109,Sutter[Other Total])</f>
        <v>5</v>
      </c>
      <c r="Z9" s="3">
        <f>SUBTOTAL(109,Sutter[Total Seals per Local Educational Agency])</f>
        <v>311</v>
      </c>
    </row>
  </sheetData>
  <conditionalFormatting sqref="A1:B2">
    <cfRule type="duplicateValues" dxfId="7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68770-2B9A-4D46-BF45-2E8DE436753F}">
  <dimension ref="A1:Z5"/>
  <sheetViews>
    <sheetView showGridLines="0" zoomScaleNormal="100" workbookViewId="0">
      <pane xSplit="1" ySplit="2" topLeftCell="B3" activePane="bottomRight" state="frozen"/>
      <selection activeCell="U15" sqref="U15"/>
      <selection pane="topRight" activeCell="U15" sqref="U15"/>
      <selection pane="bottomLeft" activeCell="U15" sqref="U15"/>
      <selection pane="bottomRight"/>
    </sheetView>
  </sheetViews>
  <sheetFormatPr defaultRowHeight="15.5" x14ac:dyDescent="0.35"/>
  <cols>
    <col min="1" max="1" width="22" style="4" bestFit="1" customWidth="1"/>
    <col min="2" max="2" width="34.07421875" style="4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3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2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21" t="s">
        <v>1228</v>
      </c>
      <c r="B3" s="22" t="s">
        <v>1229</v>
      </c>
      <c r="C3" s="23">
        <v>0</v>
      </c>
      <c r="D3" s="23">
        <v>0</v>
      </c>
      <c r="E3" s="23">
        <v>0</v>
      </c>
      <c r="F3" s="23">
        <v>0</v>
      </c>
      <c r="G3" s="23">
        <v>0</v>
      </c>
      <c r="H3" s="23">
        <v>0</v>
      </c>
      <c r="I3" s="23">
        <v>0</v>
      </c>
      <c r="J3" s="23">
        <v>0</v>
      </c>
      <c r="K3" s="23">
        <v>0</v>
      </c>
      <c r="L3" s="23">
        <v>0</v>
      </c>
      <c r="M3" s="23">
        <v>0</v>
      </c>
      <c r="N3" s="23">
        <v>0</v>
      </c>
      <c r="O3" s="23">
        <v>0</v>
      </c>
      <c r="P3" s="23">
        <v>0</v>
      </c>
      <c r="Q3" s="23">
        <v>0</v>
      </c>
      <c r="R3" s="23">
        <v>0</v>
      </c>
      <c r="S3" s="23">
        <v>0</v>
      </c>
      <c r="T3" s="23">
        <v>0</v>
      </c>
      <c r="U3" s="23">
        <v>5</v>
      </c>
      <c r="V3" s="23">
        <v>0</v>
      </c>
      <c r="W3" s="23">
        <v>0</v>
      </c>
      <c r="X3" s="23">
        <v>0</v>
      </c>
      <c r="Y3" s="23">
        <v>0</v>
      </c>
      <c r="Z3" s="23">
        <v>5</v>
      </c>
    </row>
    <row r="4" spans="1:26" x14ac:dyDescent="0.35">
      <c r="A4" s="14" t="s">
        <v>987</v>
      </c>
      <c r="B4" s="4" t="s">
        <v>988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25</v>
      </c>
      <c r="V4">
        <v>0</v>
      </c>
      <c r="W4">
        <v>0</v>
      </c>
      <c r="X4">
        <v>0</v>
      </c>
      <c r="Y4">
        <v>0</v>
      </c>
      <c r="Z4">
        <f>SUM(Tehama[[#This Row],[American Sign Language Total]:[Other Total]])</f>
        <v>25</v>
      </c>
    </row>
    <row r="5" spans="1:26" x14ac:dyDescent="0.35">
      <c r="A5" s="9" t="s">
        <v>195</v>
      </c>
      <c r="B5" s="8" t="s">
        <v>181</v>
      </c>
      <c r="C5" s="3">
        <f>SUBTOTAL(109,Tehama[American Sign Language Total])</f>
        <v>0</v>
      </c>
      <c r="D5" s="3">
        <f>SUBTOTAL(109,Tehama[Arabic Total])</f>
        <v>0</v>
      </c>
      <c r="E5" s="3">
        <f>SUBTOTAL(109,Tehama[Armenian Total])</f>
        <v>0</v>
      </c>
      <c r="F5" s="3">
        <f>SUBTOTAL(109,Tehama[Bengali Total])</f>
        <v>0</v>
      </c>
      <c r="G5" s="3">
        <f>SUBTOTAL(109,Tehama[Chinese (Mandarin or Cantonese) Total])</f>
        <v>0</v>
      </c>
      <c r="H5" s="3">
        <f>SUBTOTAL(109,Tehama[Farsi (Persian) Total])</f>
        <v>0</v>
      </c>
      <c r="I5" s="3">
        <f>SUBTOTAL(109,Tehama[French Total])</f>
        <v>0</v>
      </c>
      <c r="J5" s="3">
        <f>SUBTOTAL(109,Tehama[German Total])</f>
        <v>0</v>
      </c>
      <c r="K5" s="3">
        <f>SUBTOTAL(109,Tehama[Hebrew Total])</f>
        <v>0</v>
      </c>
      <c r="L5" s="3">
        <f>SUBTOTAL(109,Tehama[Hindi Total])</f>
        <v>0</v>
      </c>
      <c r="M5" s="3">
        <f>SUBTOTAL(109,Tehama[Hmong Total])</f>
        <v>0</v>
      </c>
      <c r="N5" s="3">
        <f>SUBTOTAL(109,Tehama[Italian Total])</f>
        <v>0</v>
      </c>
      <c r="O5" s="3">
        <f>SUBTOTAL(109,Tehama[Japanese Total])</f>
        <v>0</v>
      </c>
      <c r="P5" s="3">
        <f>SUBTOTAL(109,Tehama[Korean Total])</f>
        <v>0</v>
      </c>
      <c r="Q5" s="3">
        <f>SUBTOTAL(109,Tehama[Latin Total])</f>
        <v>0</v>
      </c>
      <c r="R5" s="3">
        <f>SUBTOTAL(109,Tehama[Portuguese Total])</f>
        <v>0</v>
      </c>
      <c r="S5" s="3">
        <f>SUBTOTAL(109,Tehama[Punjabi Total])</f>
        <v>0</v>
      </c>
      <c r="T5" s="3">
        <f>SUBTOTAL(109,Tehama[Russian Total])</f>
        <v>0</v>
      </c>
      <c r="U5" s="3">
        <f>SUBTOTAL(109,Tehama[Spanish Total])</f>
        <v>30</v>
      </c>
      <c r="V5" s="3">
        <f>SUBTOTAL(109,Tehama[Tagalog (Filipino) Total])</f>
        <v>0</v>
      </c>
      <c r="W5" s="3">
        <f>SUBTOTAL(109,Tehama[Urdu Total])</f>
        <v>0</v>
      </c>
      <c r="X5" s="3">
        <f>SUBTOTAL(109,Tehama[Vietnamese Total])</f>
        <v>0</v>
      </c>
      <c r="Y5" s="3">
        <f>SUBTOTAL(109,Tehama[Other Total])</f>
        <v>0</v>
      </c>
      <c r="Z5" s="3">
        <f>SUBTOTAL(109,Tehama[Total Seals per Local Educational Agency])</f>
        <v>30</v>
      </c>
    </row>
  </sheetData>
  <conditionalFormatting sqref="A1:B2">
    <cfRule type="duplicateValues" dxfId="6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D562D-A752-4F4F-A7EA-EDDB51FADF13}">
  <dimension ref="A1:Z5"/>
  <sheetViews>
    <sheetView showGridLines="0" zoomScaleNormal="100" workbookViewId="0">
      <pane xSplit="1" ySplit="2" topLeftCell="B3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RowHeight="15.5" x14ac:dyDescent="0.35"/>
  <cols>
    <col min="1" max="1" width="22" style="4" bestFit="1" customWidth="1"/>
    <col min="2" max="2" width="29.23046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84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3828125" customWidth="1"/>
  </cols>
  <sheetData>
    <row r="1" spans="1:26" ht="18" x14ac:dyDescent="0.4">
      <c r="A1" s="27" t="s">
        <v>989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990</v>
      </c>
      <c r="B3" s="4" t="s">
        <v>993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10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f>SUM(Tulare47[[#This Row],[American Sign Language Total]:[Other Total]])</f>
        <v>10</v>
      </c>
    </row>
    <row r="4" spans="1:26" x14ac:dyDescent="0.35">
      <c r="A4" s="14" t="s">
        <v>991</v>
      </c>
      <c r="B4" s="4" t="s">
        <v>992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0</v>
      </c>
      <c r="Z4">
        <f>SUM(Tulare47[[#This Row],[American Sign Language Total]:[Other Total]])</f>
        <v>10</v>
      </c>
    </row>
    <row r="5" spans="1:26" x14ac:dyDescent="0.35">
      <c r="A5" s="9" t="s">
        <v>195</v>
      </c>
      <c r="B5" s="8" t="s">
        <v>181</v>
      </c>
      <c r="C5" s="3">
        <f>SUBTOTAL(109,Tulare47[American Sign Language Total])</f>
        <v>0</v>
      </c>
      <c r="D5" s="3">
        <f>SUBTOTAL(109,Tulare47[Arabic Total])</f>
        <v>0</v>
      </c>
      <c r="E5" s="3">
        <f>SUBTOTAL(109,Tulare47[Armenian Total])</f>
        <v>0</v>
      </c>
      <c r="F5" s="3">
        <f>SUBTOTAL(109,Tulare47[Bengali Total])</f>
        <v>0</v>
      </c>
      <c r="G5" s="3">
        <f>SUBTOTAL(109,Tulare47[Chinese (Mandarin or Cantonese) Total])</f>
        <v>0</v>
      </c>
      <c r="H5" s="3">
        <f>SUBTOTAL(109,Tulare47[Farsi (Persian) Total])</f>
        <v>0</v>
      </c>
      <c r="I5" s="3">
        <f>SUBTOTAL(109,Tulare47[French Total])</f>
        <v>0</v>
      </c>
      <c r="J5" s="3">
        <f>SUBTOTAL(109,Tulare47[German Total])</f>
        <v>0</v>
      </c>
      <c r="K5" s="3">
        <f>SUBTOTAL(109,Tulare47[Hebrew Total])</f>
        <v>0</v>
      </c>
      <c r="L5" s="3">
        <f>SUBTOTAL(109,Tulare47[Hindi Total])</f>
        <v>0</v>
      </c>
      <c r="M5" s="3">
        <f>SUBTOTAL(109,Tulare47[Hmong Total])</f>
        <v>10</v>
      </c>
      <c r="N5" s="3">
        <f>SUBTOTAL(109,Tulare47[Italian Total])</f>
        <v>0</v>
      </c>
      <c r="O5" s="3">
        <f>SUBTOTAL(109,Tulare47[Japanese Total])</f>
        <v>0</v>
      </c>
      <c r="P5" s="3">
        <f>SUBTOTAL(109,Tulare47[Korean Total])</f>
        <v>0</v>
      </c>
      <c r="Q5" s="3">
        <f>SUBTOTAL(109,Tulare47[Latin Total])</f>
        <v>0</v>
      </c>
      <c r="R5" s="3">
        <f>SUBTOTAL(109,Tulare47[Portuguese Total])</f>
        <v>0</v>
      </c>
      <c r="S5" s="3">
        <f>SUBTOTAL(109,Tulare47[Punjabi Total])</f>
        <v>0</v>
      </c>
      <c r="T5" s="3">
        <f>SUBTOTAL(109,Tulare47[Russian Total])</f>
        <v>0</v>
      </c>
      <c r="U5" s="3">
        <f>SUBTOTAL(109,Tulare47[Spanish Total])</f>
        <v>10</v>
      </c>
      <c r="V5" s="3">
        <f>SUBTOTAL(109,Tulare47[Tagalog (Filipino) Total])</f>
        <v>0</v>
      </c>
      <c r="W5" s="3">
        <f>SUBTOTAL(109,Tulare47[Urdu Total])</f>
        <v>0</v>
      </c>
      <c r="X5" s="3">
        <f>SUBTOTAL(109,Tulare47[Vietnamese Total])</f>
        <v>0</v>
      </c>
      <c r="Y5" s="3">
        <f>SUBTOTAL(109,Tulare47[Other Total])</f>
        <v>0</v>
      </c>
      <c r="Z5" s="3">
        <f>SUBTOTAL(109,Tulare47[Total Seals per Local Educational Agency])</f>
        <v>20</v>
      </c>
    </row>
  </sheetData>
  <conditionalFormatting sqref="A1:B1">
    <cfRule type="duplicateValues" dxfId="5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B00B1-D3C4-4FE0-B782-DEE48173A9E5}">
  <dimension ref="A1:Z16"/>
  <sheetViews>
    <sheetView showGridLines="0" zoomScaleNormal="100" workbookViewId="0">
      <pane xSplit="1" ySplit="2" topLeftCell="B3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RowHeight="15.5" x14ac:dyDescent="0.35"/>
  <cols>
    <col min="1" max="1" width="22" style="4" bestFit="1" customWidth="1"/>
    <col min="2" max="2" width="29.230468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613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23046875" customWidth="1"/>
  </cols>
  <sheetData>
    <row r="1" spans="1:26" ht="18" x14ac:dyDescent="0.4">
      <c r="A1" s="27" t="s">
        <v>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0" t="s">
        <v>994</v>
      </c>
      <c r="B3" s="4" t="s">
        <v>998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14</v>
      </c>
      <c r="V3">
        <v>0</v>
      </c>
      <c r="W3">
        <v>0</v>
      </c>
      <c r="X3">
        <v>0</v>
      </c>
      <c r="Y3">
        <v>0</v>
      </c>
      <c r="Z3">
        <f>SUM(Tulare[[#This Row],[American Sign Language Total]:[Other Total]])</f>
        <v>14</v>
      </c>
    </row>
    <row r="4" spans="1:26" x14ac:dyDescent="0.35">
      <c r="A4" s="10" t="s">
        <v>1217</v>
      </c>
      <c r="B4" s="4" t="s">
        <v>672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10</v>
      </c>
      <c r="V4">
        <v>0</v>
      </c>
      <c r="W4">
        <v>0</v>
      </c>
      <c r="X4">
        <v>0</v>
      </c>
      <c r="Y4">
        <v>0</v>
      </c>
      <c r="Z4">
        <f>SUM(Tulare[[#This Row],[American Sign Language Total]:[Other Total]])</f>
        <v>10</v>
      </c>
    </row>
    <row r="5" spans="1:26" ht="46.5" x14ac:dyDescent="0.35">
      <c r="A5" s="10" t="s">
        <v>995</v>
      </c>
      <c r="B5" s="4" t="s">
        <v>995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f>SUM(Tulare[[#This Row],[American Sign Language Total]:[Other Total]])</f>
        <v>1</v>
      </c>
    </row>
    <row r="6" spans="1:26" x14ac:dyDescent="0.35">
      <c r="A6" s="10" t="s">
        <v>673</v>
      </c>
      <c r="B6" s="4" t="s">
        <v>674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40</v>
      </c>
      <c r="V6">
        <v>0</v>
      </c>
      <c r="W6">
        <v>0</v>
      </c>
      <c r="X6">
        <v>0</v>
      </c>
      <c r="Y6">
        <v>0</v>
      </c>
      <c r="Z6">
        <f>SUM(Tulare[[#This Row],[American Sign Language Total]:[Other Total]])</f>
        <v>40</v>
      </c>
    </row>
    <row r="7" spans="1:26" x14ac:dyDescent="0.35">
      <c r="A7" s="10" t="s">
        <v>996</v>
      </c>
      <c r="B7" s="4" t="s">
        <v>999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30</v>
      </c>
      <c r="V7">
        <v>0</v>
      </c>
      <c r="W7">
        <v>0</v>
      </c>
      <c r="X7">
        <v>0</v>
      </c>
      <c r="Y7">
        <v>0</v>
      </c>
      <c r="Z7">
        <f>SUM(Tulare[[#This Row],[American Sign Language Total]:[Other Total]])</f>
        <v>30</v>
      </c>
    </row>
    <row r="8" spans="1:26" x14ac:dyDescent="0.35">
      <c r="A8" s="10" t="s">
        <v>675</v>
      </c>
      <c r="B8" s="4" t="s">
        <v>676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45</v>
      </c>
      <c r="V8">
        <v>0</v>
      </c>
      <c r="W8">
        <v>0</v>
      </c>
      <c r="X8">
        <v>0</v>
      </c>
      <c r="Y8">
        <v>0</v>
      </c>
      <c r="Z8">
        <f>SUM(Tulare[[#This Row],[American Sign Language Total]:[Other Total]])</f>
        <v>45</v>
      </c>
    </row>
    <row r="9" spans="1:26" x14ac:dyDescent="0.35">
      <c r="A9" s="10" t="s">
        <v>173</v>
      </c>
      <c r="B9" s="4" t="s">
        <v>173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2</v>
      </c>
      <c r="V9">
        <v>0</v>
      </c>
      <c r="W9">
        <v>0</v>
      </c>
      <c r="X9">
        <v>0</v>
      </c>
      <c r="Y9">
        <v>0</v>
      </c>
      <c r="Z9">
        <f>SUM(Tulare[[#This Row],[American Sign Language Total]:[Other Total]])</f>
        <v>2</v>
      </c>
    </row>
    <row r="10" spans="1:26" ht="77.5" x14ac:dyDescent="0.35">
      <c r="A10" s="10" t="s">
        <v>677</v>
      </c>
      <c r="B10" s="4" t="s">
        <v>678</v>
      </c>
      <c r="C10">
        <v>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287</v>
      </c>
      <c r="V10">
        <v>0</v>
      </c>
      <c r="W10">
        <v>0</v>
      </c>
      <c r="X10">
        <v>0</v>
      </c>
      <c r="Y10">
        <v>0</v>
      </c>
      <c r="Z10">
        <f>SUM(Tulare[[#This Row],[American Sign Language Total]:[Other Total]])</f>
        <v>293</v>
      </c>
    </row>
    <row r="11" spans="1:26" ht="31" x14ac:dyDescent="0.35">
      <c r="A11" s="10" t="s">
        <v>679</v>
      </c>
      <c r="B11" s="4" t="s">
        <v>679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24</v>
      </c>
      <c r="V11">
        <v>0</v>
      </c>
      <c r="W11">
        <v>0</v>
      </c>
      <c r="X11">
        <v>0</v>
      </c>
      <c r="Y11">
        <v>0</v>
      </c>
      <c r="Z11" s="6">
        <f>SUM(Tulare[[#This Row],[American Sign Language Total]:[Other Total]])</f>
        <v>24</v>
      </c>
    </row>
    <row r="12" spans="1:26" ht="31" x14ac:dyDescent="0.35">
      <c r="A12" s="10" t="s">
        <v>1218</v>
      </c>
      <c r="B12" s="4" t="s">
        <v>1000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62</v>
      </c>
      <c r="S12">
        <v>0</v>
      </c>
      <c r="T12">
        <v>0</v>
      </c>
      <c r="U12">
        <v>124</v>
      </c>
      <c r="V12">
        <v>0</v>
      </c>
      <c r="W12">
        <v>0</v>
      </c>
      <c r="X12">
        <v>0</v>
      </c>
      <c r="Y12">
        <v>0</v>
      </c>
      <c r="Z12" s="6">
        <f>SUM(Tulare[[#This Row],[American Sign Language Total]:[Other Total]])</f>
        <v>186</v>
      </c>
    </row>
    <row r="13" spans="1:26" ht="31" x14ac:dyDescent="0.35">
      <c r="A13" s="10" t="s">
        <v>680</v>
      </c>
      <c r="B13" s="4" t="s">
        <v>680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13</v>
      </c>
      <c r="V13">
        <v>0</v>
      </c>
      <c r="W13">
        <v>0</v>
      </c>
      <c r="X13">
        <v>0</v>
      </c>
      <c r="Y13">
        <v>0</v>
      </c>
      <c r="Z13" s="6">
        <f>SUM(Tulare[[#This Row],[American Sign Language Total]:[Other Total]])</f>
        <v>14</v>
      </c>
    </row>
    <row r="14" spans="1:26" ht="77.5" x14ac:dyDescent="0.35">
      <c r="A14" s="10" t="s">
        <v>174</v>
      </c>
      <c r="B14" s="4" t="s">
        <v>1001</v>
      </c>
      <c r="C14">
        <v>14</v>
      </c>
      <c r="D14">
        <v>0</v>
      </c>
      <c r="E14">
        <v>0</v>
      </c>
      <c r="F14">
        <v>1</v>
      </c>
      <c r="G14">
        <v>1</v>
      </c>
      <c r="H14">
        <v>0</v>
      </c>
      <c r="I14">
        <v>23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0</v>
      </c>
      <c r="U14">
        <v>275</v>
      </c>
      <c r="V14">
        <v>3</v>
      </c>
      <c r="W14">
        <v>0</v>
      </c>
      <c r="X14">
        <v>0</v>
      </c>
      <c r="Y14">
        <v>3</v>
      </c>
      <c r="Z14" s="6">
        <f>SUM(Tulare[[#This Row],[American Sign Language Total]:[Other Total]])</f>
        <v>321</v>
      </c>
    </row>
    <row r="15" spans="1:26" x14ac:dyDescent="0.35">
      <c r="A15" s="10" t="s">
        <v>681</v>
      </c>
      <c r="B15" s="4" t="s">
        <v>682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51</v>
      </c>
      <c r="V15">
        <v>0</v>
      </c>
      <c r="W15">
        <v>0</v>
      </c>
      <c r="X15">
        <v>0</v>
      </c>
      <c r="Y15">
        <v>0</v>
      </c>
      <c r="Z15" s="6">
        <f>SUM(Tulare[[#This Row],[American Sign Language Total]:[Other Total]])</f>
        <v>51</v>
      </c>
    </row>
    <row r="16" spans="1:26" x14ac:dyDescent="0.35">
      <c r="A16" s="8" t="s">
        <v>997</v>
      </c>
      <c r="B16" s="8" t="s">
        <v>1002</v>
      </c>
      <c r="C16" s="3">
        <f>SUBTOTAL(109,Tulare[American Sign Language Total])</f>
        <v>21</v>
      </c>
      <c r="D16" s="3">
        <f>SUBTOTAL(109,Tulare[Arabic Total])</f>
        <v>0</v>
      </c>
      <c r="E16" s="3">
        <f>SUBTOTAL(109,Tulare[Armenian Total])</f>
        <v>0</v>
      </c>
      <c r="F16" s="3">
        <f>SUBTOTAL(109,Tulare[Bengali Total])</f>
        <v>1</v>
      </c>
      <c r="G16" s="3">
        <f>SUBTOTAL(109,Tulare[Chinese (Mandarin or Cantonese) Total])</f>
        <v>1</v>
      </c>
      <c r="H16" s="3">
        <f>SUBTOTAL(109,Tulare[Farsi (Persian) Total])</f>
        <v>0</v>
      </c>
      <c r="I16" s="3">
        <f>SUBTOTAL(109,Tulare[French Total])</f>
        <v>23</v>
      </c>
      <c r="J16" s="3">
        <f>SUBTOTAL(109,Tulare[German Total])</f>
        <v>0</v>
      </c>
      <c r="K16" s="3">
        <f>SUBTOTAL(109,Tulare[Hebrew Total])</f>
        <v>0</v>
      </c>
      <c r="L16" s="3">
        <f>SUBTOTAL(109,Tulare[Hindi Total])</f>
        <v>0</v>
      </c>
      <c r="M16" s="3">
        <f>SUBTOTAL(109,Tulare[Hmong Total])</f>
        <v>0</v>
      </c>
      <c r="N16" s="3">
        <f>SUBTOTAL(109,Tulare[Italian Total])</f>
        <v>0</v>
      </c>
      <c r="O16" s="3">
        <f>SUBTOTAL(109,Tulare[Japanese Total])</f>
        <v>1</v>
      </c>
      <c r="P16" s="3">
        <f>SUBTOTAL(109,Tulare[Korean Total])</f>
        <v>0</v>
      </c>
      <c r="Q16" s="3">
        <f>SUBTOTAL(109,Tulare[Latin Total])</f>
        <v>0</v>
      </c>
      <c r="R16" s="3">
        <f>SUBTOTAL(109,Tulare[Portuguese Total])</f>
        <v>63</v>
      </c>
      <c r="S16" s="3">
        <f>SUBTOTAL(109,Tulare[Punjabi Total])</f>
        <v>0</v>
      </c>
      <c r="T16" s="3">
        <f>SUBTOTAL(109,Tulare[Russian Total])</f>
        <v>0</v>
      </c>
      <c r="U16" s="3">
        <f>SUBTOTAL(109,Tulare[Spanish Total])</f>
        <v>915</v>
      </c>
      <c r="V16" s="3">
        <f>SUBTOTAL(109,Tulare[Tagalog (Filipino) Total])</f>
        <v>3</v>
      </c>
      <c r="W16" s="3">
        <f>SUBTOTAL(109,Tulare[Urdu Total])</f>
        <v>0</v>
      </c>
      <c r="X16" s="3">
        <f>SUBTOTAL(109,Tulare[Vietnamese Total])</f>
        <v>0</v>
      </c>
      <c r="Y16" s="3">
        <f>SUBTOTAL(109,Tulare[Other Total])</f>
        <v>3</v>
      </c>
      <c r="Z16" s="3">
        <f>SUBTOTAL(109,Tulare[Total Seals per Local Educational Agency])</f>
        <v>1031</v>
      </c>
    </row>
  </sheetData>
  <conditionalFormatting sqref="A1:B1">
    <cfRule type="duplicateValues" dxfId="4" priority="9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43E1-EDF8-4714-AA19-2C5FF7E95E89}">
  <dimension ref="A1:Z5"/>
  <sheetViews>
    <sheetView showGridLines="0" zoomScaleNormal="100" workbookViewId="0">
      <pane xSplit="1" ySplit="2" topLeftCell="B3" activePane="bottomRight" state="frozen"/>
      <selection activeCell="B11" sqref="B11"/>
      <selection pane="topRight" activeCell="B11" sqref="B11"/>
      <selection pane="bottomLeft" activeCell="B11" sqref="B11"/>
      <selection pane="bottomRight"/>
    </sheetView>
  </sheetViews>
  <sheetFormatPr defaultRowHeight="15.5" x14ac:dyDescent="0.35"/>
  <cols>
    <col min="1" max="1" width="22.84375" style="4" bestFit="1" customWidth="1"/>
    <col min="2" max="2" width="32.843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1.9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15234375" customWidth="1"/>
  </cols>
  <sheetData>
    <row r="1" spans="1:26" ht="18" x14ac:dyDescent="0.4">
      <c r="A1" s="27" t="s">
        <v>175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684</v>
      </c>
      <c r="B3" s="4" t="s">
        <v>685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18</v>
      </c>
      <c r="V3">
        <v>0</v>
      </c>
      <c r="W3">
        <v>0</v>
      </c>
      <c r="X3">
        <v>0</v>
      </c>
      <c r="Y3">
        <v>0</v>
      </c>
      <c r="Z3">
        <f>SUM(Ventura4[[#This Row],[American Sign Language Total]:[Other Total]])</f>
        <v>18</v>
      </c>
    </row>
    <row r="4" spans="1:26" ht="31" x14ac:dyDescent="0.35">
      <c r="A4" s="14" t="s">
        <v>686</v>
      </c>
      <c r="B4" s="4" t="s">
        <v>1003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19</v>
      </c>
      <c r="W4">
        <v>0</v>
      </c>
      <c r="X4">
        <v>0</v>
      </c>
      <c r="Y4">
        <v>0</v>
      </c>
      <c r="Z4">
        <f>SUM(Ventura4[[#This Row],[American Sign Language Total]:[Other Total]])</f>
        <v>19</v>
      </c>
    </row>
    <row r="5" spans="1:26" x14ac:dyDescent="0.35">
      <c r="A5" s="9" t="s">
        <v>195</v>
      </c>
      <c r="B5" s="8" t="s">
        <v>187</v>
      </c>
      <c r="C5" s="3">
        <f>SUBTOTAL(109,Ventura4[American Sign Language Total])</f>
        <v>0</v>
      </c>
      <c r="D5" s="3">
        <f>SUBTOTAL(109,Ventura4[Arabic Total])</f>
        <v>0</v>
      </c>
      <c r="E5" s="3">
        <f>SUBTOTAL(109,Ventura4[Armenian Total])</f>
        <v>0</v>
      </c>
      <c r="F5" s="3">
        <f>SUBTOTAL(109,Ventura4[Bengali Total])</f>
        <v>0</v>
      </c>
      <c r="G5" s="3">
        <f>SUBTOTAL(109,Ventura4[Chinese (Mandarin or Cantonese) Total])</f>
        <v>0</v>
      </c>
      <c r="H5" s="3">
        <f>SUBTOTAL(109,Ventura4[Farsi (Persian) Total])</f>
        <v>0</v>
      </c>
      <c r="I5" s="3">
        <f>SUBTOTAL(109,Ventura4[French Total])</f>
        <v>0</v>
      </c>
      <c r="J5" s="3">
        <f>SUBTOTAL(109,Ventura4[German Total])</f>
        <v>0</v>
      </c>
      <c r="K5" s="3">
        <f>SUBTOTAL(109,Ventura4[Hebrew Total])</f>
        <v>0</v>
      </c>
      <c r="L5" s="3">
        <f>SUBTOTAL(109,Ventura4[Hindi Total])</f>
        <v>0</v>
      </c>
      <c r="M5" s="3">
        <f>SUBTOTAL(109,Ventura4[Hmong Total])</f>
        <v>0</v>
      </c>
      <c r="N5" s="3">
        <f>SUBTOTAL(109,Ventura4[Italian Total])</f>
        <v>0</v>
      </c>
      <c r="O5" s="3">
        <f>SUBTOTAL(109,Ventura4[Japanese Total])</f>
        <v>0</v>
      </c>
      <c r="P5" s="3">
        <f>SUBTOTAL(109,Ventura4[Korean Total])</f>
        <v>0</v>
      </c>
      <c r="Q5" s="3">
        <f>SUBTOTAL(109,Ventura4[Latin Total])</f>
        <v>0</v>
      </c>
      <c r="R5" s="3">
        <f>SUBTOTAL(109,Ventura4[Portuguese Total])</f>
        <v>0</v>
      </c>
      <c r="S5" s="3">
        <f>SUBTOTAL(109,Ventura4[Punjabi Total])</f>
        <v>0</v>
      </c>
      <c r="T5" s="3">
        <f>SUBTOTAL(109,Ventura4[Russian Total])</f>
        <v>0</v>
      </c>
      <c r="U5" s="3">
        <f>SUBTOTAL(109,Ventura4[Spanish Total])</f>
        <v>18</v>
      </c>
      <c r="V5" s="3">
        <f>SUBTOTAL(109,Ventura4[Tagalog (Filipino) Total])</f>
        <v>19</v>
      </c>
      <c r="W5" s="3">
        <f>SUBTOTAL(109,Ventura4[Urdu Total])</f>
        <v>0</v>
      </c>
      <c r="X5" s="3">
        <f>SUBTOTAL(109,Ventura4[Vietnamese Total])</f>
        <v>0</v>
      </c>
      <c r="Y5" s="3">
        <f>SUBTOTAL(109,Ventura4[Other Total])</f>
        <v>0</v>
      </c>
      <c r="Z5" s="3">
        <f>SUBTOTAL(109,Ventura4[Total Seals per Local Educational Agency])</f>
        <v>37</v>
      </c>
    </row>
  </sheetData>
  <conditionalFormatting sqref="A1:B4">
    <cfRule type="duplicateValues" dxfId="3" priority="10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11FA-9DBF-45A2-B486-86E774C95722}">
  <dimension ref="A1:Z13"/>
  <sheetViews>
    <sheetView showGridLines="0" zoomScaleNormal="100" workbookViewId="0">
      <pane xSplit="1" ySplit="2" topLeftCell="B3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RowHeight="15.5" x14ac:dyDescent="0.35"/>
  <cols>
    <col min="1" max="1" width="31.15234375" style="4" bestFit="1" customWidth="1"/>
    <col min="2" max="2" width="32.843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382812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38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37.5" customHeight="1" x14ac:dyDescent="0.35">
      <c r="A3" s="14" t="s">
        <v>687</v>
      </c>
      <c r="B3" s="4" t="s">
        <v>1008</v>
      </c>
      <c r="C3">
        <v>15</v>
      </c>
      <c r="D3">
        <v>0</v>
      </c>
      <c r="E3">
        <v>0</v>
      </c>
      <c r="F3">
        <v>0</v>
      </c>
      <c r="G3">
        <v>30</v>
      </c>
      <c r="H3">
        <v>0</v>
      </c>
      <c r="I3">
        <v>38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146</v>
      </c>
      <c r="V3">
        <v>0</v>
      </c>
      <c r="W3">
        <v>0</v>
      </c>
      <c r="X3">
        <v>0</v>
      </c>
      <c r="Y3">
        <v>0</v>
      </c>
      <c r="Z3">
        <f>SUM(Ventura[[#This Row],[American Sign Language Total]:[Other Total]])</f>
        <v>229</v>
      </c>
    </row>
    <row r="4" spans="1:26" x14ac:dyDescent="0.35">
      <c r="A4" s="14" t="s">
        <v>176</v>
      </c>
      <c r="B4" s="4" t="s">
        <v>688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60</v>
      </c>
      <c r="V4">
        <v>0</v>
      </c>
      <c r="W4">
        <v>0</v>
      </c>
      <c r="X4">
        <v>0</v>
      </c>
      <c r="Y4">
        <v>0</v>
      </c>
      <c r="Z4">
        <f>SUM(Ventura[[#This Row],[American Sign Language Total]:[Other Total]])</f>
        <v>60</v>
      </c>
    </row>
    <row r="5" spans="1:26" ht="31" x14ac:dyDescent="0.35">
      <c r="A5" s="14" t="s">
        <v>1004</v>
      </c>
      <c r="B5" s="4" t="s">
        <v>689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49</v>
      </c>
      <c r="V5">
        <v>0</v>
      </c>
      <c r="W5">
        <v>0</v>
      </c>
      <c r="X5">
        <v>0</v>
      </c>
      <c r="Y5">
        <v>0</v>
      </c>
      <c r="Z5">
        <f>SUM(Ventura[[#This Row],[American Sign Language Total]:[Other Total]])</f>
        <v>59</v>
      </c>
    </row>
    <row r="6" spans="1:26" x14ac:dyDescent="0.35">
      <c r="A6" s="14" t="s">
        <v>1005</v>
      </c>
      <c r="B6" s="4" t="s">
        <v>1005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10</v>
      </c>
      <c r="V6">
        <v>0</v>
      </c>
      <c r="W6">
        <v>0</v>
      </c>
      <c r="X6">
        <v>0</v>
      </c>
      <c r="Y6">
        <v>0</v>
      </c>
      <c r="Z6">
        <f>SUM(Ventura[[#This Row],[American Sign Language Total]:[Other Total]])</f>
        <v>11</v>
      </c>
    </row>
    <row r="7" spans="1:26" x14ac:dyDescent="0.35">
      <c r="A7" s="14" t="s">
        <v>690</v>
      </c>
      <c r="B7" s="4" t="s">
        <v>691</v>
      </c>
      <c r="C7">
        <v>0</v>
      </c>
      <c r="D7">
        <v>0</v>
      </c>
      <c r="E7">
        <v>0</v>
      </c>
      <c r="F7">
        <v>0</v>
      </c>
      <c r="G7">
        <v>19</v>
      </c>
      <c r="H7">
        <v>0</v>
      </c>
      <c r="I7">
        <v>7</v>
      </c>
      <c r="J7">
        <v>0</v>
      </c>
      <c r="K7">
        <v>3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1</v>
      </c>
      <c r="U7">
        <v>36</v>
      </c>
      <c r="V7">
        <v>0</v>
      </c>
      <c r="W7">
        <v>0</v>
      </c>
      <c r="X7">
        <v>0</v>
      </c>
      <c r="Y7">
        <v>0</v>
      </c>
      <c r="Z7">
        <f>SUM(Ventura[[#This Row],[American Sign Language Total]:[Other Total]])</f>
        <v>67</v>
      </c>
    </row>
    <row r="8" spans="1:26" x14ac:dyDescent="0.35">
      <c r="A8" s="14" t="s">
        <v>692</v>
      </c>
      <c r="B8" s="4" t="s">
        <v>693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15</v>
      </c>
      <c r="V8">
        <v>0</v>
      </c>
      <c r="W8">
        <v>0</v>
      </c>
      <c r="X8">
        <v>0</v>
      </c>
      <c r="Y8">
        <v>0</v>
      </c>
      <c r="Z8">
        <f>SUM(Ventura[[#This Row],[American Sign Language Total]:[Other Total]])</f>
        <v>15</v>
      </c>
    </row>
    <row r="9" spans="1:26" ht="77.5" x14ac:dyDescent="0.35">
      <c r="A9" s="14" t="s">
        <v>1006</v>
      </c>
      <c r="B9" s="4" t="s">
        <v>694</v>
      </c>
      <c r="C9">
        <v>7</v>
      </c>
      <c r="D9">
        <v>0</v>
      </c>
      <c r="E9">
        <v>0</v>
      </c>
      <c r="F9">
        <v>0</v>
      </c>
      <c r="G9">
        <v>2</v>
      </c>
      <c r="H9">
        <v>0</v>
      </c>
      <c r="I9">
        <v>15</v>
      </c>
      <c r="J9">
        <v>11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2</v>
      </c>
      <c r="U9">
        <v>464</v>
      </c>
      <c r="V9">
        <v>2</v>
      </c>
      <c r="W9">
        <v>0</v>
      </c>
      <c r="X9">
        <v>1</v>
      </c>
      <c r="Y9">
        <v>11</v>
      </c>
      <c r="Z9">
        <f>SUM(Ventura[[#This Row],[American Sign Language Total]:[Other Total]])</f>
        <v>516</v>
      </c>
    </row>
    <row r="10" spans="1:26" ht="31" x14ac:dyDescent="0.35">
      <c r="A10" s="14" t="s">
        <v>1219</v>
      </c>
      <c r="B10" s="4" t="s">
        <v>1220</v>
      </c>
      <c r="C10">
        <v>1</v>
      </c>
      <c r="D10">
        <v>0</v>
      </c>
      <c r="E10">
        <v>0</v>
      </c>
      <c r="F10">
        <v>0</v>
      </c>
      <c r="G10">
        <v>1</v>
      </c>
      <c r="H10">
        <v>0</v>
      </c>
      <c r="I10">
        <v>12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104</v>
      </c>
      <c r="V10">
        <v>0</v>
      </c>
      <c r="W10">
        <v>0</v>
      </c>
      <c r="X10">
        <v>0</v>
      </c>
      <c r="Y10">
        <v>0</v>
      </c>
      <c r="Z10">
        <f>SUM(Ventura[[#This Row],[American Sign Language Total]:[Other Total]])</f>
        <v>118</v>
      </c>
    </row>
    <row r="11" spans="1:26" ht="46.5" x14ac:dyDescent="0.35">
      <c r="A11" s="14" t="s">
        <v>695</v>
      </c>
      <c r="B11" s="4" t="s">
        <v>1009</v>
      </c>
      <c r="C11">
        <v>2</v>
      </c>
      <c r="D11">
        <v>1</v>
      </c>
      <c r="E11">
        <v>0</v>
      </c>
      <c r="F11">
        <v>0</v>
      </c>
      <c r="G11">
        <v>3</v>
      </c>
      <c r="H11">
        <v>0</v>
      </c>
      <c r="I11">
        <v>21</v>
      </c>
      <c r="J11">
        <v>5</v>
      </c>
      <c r="K11">
        <v>0</v>
      </c>
      <c r="L11">
        <v>0</v>
      </c>
      <c r="M11">
        <v>0</v>
      </c>
      <c r="N11">
        <v>1</v>
      </c>
      <c r="O11">
        <v>1</v>
      </c>
      <c r="P11">
        <v>0</v>
      </c>
      <c r="Q11">
        <v>0</v>
      </c>
      <c r="R11">
        <v>1</v>
      </c>
      <c r="S11">
        <v>0</v>
      </c>
      <c r="T11">
        <v>0</v>
      </c>
      <c r="U11">
        <v>285</v>
      </c>
      <c r="V11">
        <v>0</v>
      </c>
      <c r="W11">
        <v>0</v>
      </c>
      <c r="X11">
        <v>0</v>
      </c>
      <c r="Y11">
        <v>0</v>
      </c>
      <c r="Z11">
        <f>SUM(Ventura[[#This Row],[American Sign Language Total]:[Other Total]])</f>
        <v>320</v>
      </c>
    </row>
    <row r="12" spans="1:26" x14ac:dyDescent="0.35">
      <c r="A12" s="14" t="s">
        <v>1007</v>
      </c>
      <c r="B12" s="4" t="s">
        <v>1007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 s="6">
        <f>SUM(Ventura[[#This Row],[American Sign Language Total]:[Other Total]])</f>
        <v>1</v>
      </c>
    </row>
    <row r="13" spans="1:26" x14ac:dyDescent="0.35">
      <c r="A13" s="9" t="s">
        <v>202</v>
      </c>
      <c r="B13" s="8" t="s">
        <v>1010</v>
      </c>
      <c r="C13" s="3">
        <f>SUBTOTAL(109,Ventura[American Sign Language Total])</f>
        <v>25</v>
      </c>
      <c r="D13" s="3">
        <f>SUBTOTAL(109,Ventura[Arabic Total])</f>
        <v>1</v>
      </c>
      <c r="E13" s="3">
        <f>SUBTOTAL(109,Ventura[Armenian Total])</f>
        <v>0</v>
      </c>
      <c r="F13" s="3">
        <f>SUBTOTAL(109,Ventura[Bengali Total])</f>
        <v>0</v>
      </c>
      <c r="G13" s="3">
        <f>SUBTOTAL(109,Ventura[Chinese (Mandarin or Cantonese) Total])</f>
        <v>55</v>
      </c>
      <c r="H13" s="3">
        <f>SUBTOTAL(109,Ventura[Farsi (Persian) Total])</f>
        <v>0</v>
      </c>
      <c r="I13" s="3">
        <f>SUBTOTAL(109,Ventura[French Total])</f>
        <v>103</v>
      </c>
      <c r="J13" s="3">
        <f>SUBTOTAL(109,Ventura[German Total])</f>
        <v>16</v>
      </c>
      <c r="K13" s="3">
        <f>SUBTOTAL(109,Ventura[Hebrew Total])</f>
        <v>4</v>
      </c>
      <c r="L13" s="3">
        <f>SUBTOTAL(109,Ventura[Hindi Total])</f>
        <v>0</v>
      </c>
      <c r="M13" s="3">
        <f>SUBTOTAL(109,Ventura[Hmong Total])</f>
        <v>0</v>
      </c>
      <c r="N13" s="3">
        <f>SUBTOTAL(109,Ventura[Italian Total])</f>
        <v>1</v>
      </c>
      <c r="O13" s="3">
        <f>SUBTOTAL(109,Ventura[Japanese Total])</f>
        <v>3</v>
      </c>
      <c r="P13" s="3">
        <f>SUBTOTAL(109,Ventura[Korean Total])</f>
        <v>0</v>
      </c>
      <c r="Q13" s="3">
        <f>SUBTOTAL(109,Ventura[Latin Total])</f>
        <v>0</v>
      </c>
      <c r="R13" s="3">
        <f>SUBTOTAL(109,Ventura[Portuguese Total])</f>
        <v>1</v>
      </c>
      <c r="S13" s="3">
        <f>SUBTOTAL(109,Ventura[Punjabi Total])</f>
        <v>0</v>
      </c>
      <c r="T13" s="3">
        <f>SUBTOTAL(109,Ventura[Russian Total])</f>
        <v>3</v>
      </c>
      <c r="U13" s="3">
        <f>SUBTOTAL(109,Ventura[Spanish Total])</f>
        <v>1170</v>
      </c>
      <c r="V13" s="3">
        <f>SUBTOTAL(109,Ventura[Tagalog (Filipino) Total])</f>
        <v>2</v>
      </c>
      <c r="W13" s="3">
        <f>SUBTOTAL(109,Ventura[Urdu Total])</f>
        <v>0</v>
      </c>
      <c r="X13" s="3">
        <f>SUBTOTAL(109,Ventura[Vietnamese Total])</f>
        <v>1</v>
      </c>
      <c r="Y13" s="3">
        <f>SUBTOTAL(109,Ventura[Other Total])</f>
        <v>11</v>
      </c>
      <c r="Z13" s="3">
        <f>SUBTOTAL(109,Ventura[Total Seals per Local Educational Agency])</f>
        <v>1396</v>
      </c>
    </row>
  </sheetData>
  <phoneticPr fontId="19" type="noConversion"/>
  <conditionalFormatting sqref="A1:B1">
    <cfRule type="duplicateValues" dxfId="2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89A6-FF3A-4520-9517-17F80B94ED69}">
  <dimension ref="A1:Z8"/>
  <sheetViews>
    <sheetView showGridLines="0" zoomScaleNormal="100" workbookViewId="0">
      <pane xSplit="1" ySplit="2" topLeftCell="B3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RowHeight="15.5" x14ac:dyDescent="0.35"/>
  <cols>
    <col min="1" max="1" width="34.07421875" style="4" customWidth="1"/>
    <col min="2" max="2" width="31.5351562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2.46093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15234375" customWidth="1"/>
  </cols>
  <sheetData>
    <row r="1" spans="1:26" ht="18" x14ac:dyDescent="0.4">
      <c r="A1" s="27" t="s">
        <v>32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ht="46.5" x14ac:dyDescent="0.35">
      <c r="A3" s="14" t="s">
        <v>696</v>
      </c>
      <c r="B3" s="4" t="s">
        <v>1013</v>
      </c>
      <c r="C3">
        <v>0</v>
      </c>
      <c r="D3">
        <v>0</v>
      </c>
      <c r="E3">
        <v>1</v>
      </c>
      <c r="F3">
        <v>0</v>
      </c>
      <c r="G3">
        <v>13</v>
      </c>
      <c r="H3">
        <v>0</v>
      </c>
      <c r="I3">
        <v>11</v>
      </c>
      <c r="J3">
        <v>2</v>
      </c>
      <c r="K3">
        <v>0</v>
      </c>
      <c r="L3">
        <v>0</v>
      </c>
      <c r="M3">
        <v>0</v>
      </c>
      <c r="N3">
        <v>1</v>
      </c>
      <c r="O3">
        <v>4</v>
      </c>
      <c r="P3">
        <v>3</v>
      </c>
      <c r="Q3">
        <v>0</v>
      </c>
      <c r="R3">
        <v>0</v>
      </c>
      <c r="S3">
        <v>1</v>
      </c>
      <c r="T3">
        <v>2</v>
      </c>
      <c r="U3">
        <v>127</v>
      </c>
      <c r="V3">
        <v>0</v>
      </c>
      <c r="W3">
        <v>0</v>
      </c>
      <c r="X3">
        <v>0</v>
      </c>
      <c r="Y3">
        <v>6</v>
      </c>
      <c r="Z3">
        <f>SUM(Yolo[[#This Row],[American Sign Language Total]:[Other Total]])</f>
        <v>171</v>
      </c>
    </row>
    <row r="4" spans="1:26" x14ac:dyDescent="0.35">
      <c r="A4" s="14" t="s">
        <v>1011</v>
      </c>
      <c r="B4" s="4" t="s">
        <v>1015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11</v>
      </c>
      <c r="V4">
        <v>0</v>
      </c>
      <c r="W4">
        <v>0</v>
      </c>
      <c r="X4">
        <v>0</v>
      </c>
      <c r="Y4">
        <v>0</v>
      </c>
      <c r="Z4">
        <f>SUM(Yolo[[#This Row],[American Sign Language Total]:[Other Total]])</f>
        <v>11</v>
      </c>
    </row>
    <row r="5" spans="1:26" ht="31" x14ac:dyDescent="0.35">
      <c r="A5" s="14" t="s">
        <v>177</v>
      </c>
      <c r="B5" s="4" t="s">
        <v>1014</v>
      </c>
      <c r="C5">
        <v>0</v>
      </c>
      <c r="D5">
        <v>0</v>
      </c>
      <c r="E5">
        <v>0</v>
      </c>
      <c r="F5">
        <v>0</v>
      </c>
      <c r="G5">
        <v>2</v>
      </c>
      <c r="H5">
        <v>7</v>
      </c>
      <c r="I5">
        <v>0</v>
      </c>
      <c r="J5">
        <v>0</v>
      </c>
      <c r="K5">
        <v>1</v>
      </c>
      <c r="L5">
        <v>1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37</v>
      </c>
      <c r="U5">
        <v>58</v>
      </c>
      <c r="V5">
        <v>0</v>
      </c>
      <c r="W5">
        <v>0</v>
      </c>
      <c r="X5">
        <v>0</v>
      </c>
      <c r="Y5">
        <v>0</v>
      </c>
      <c r="Z5">
        <f>SUM(Yolo[[#This Row],[American Sign Language Total]:[Other Total]])</f>
        <v>106</v>
      </c>
    </row>
    <row r="6" spans="1:26" ht="14.25" customHeight="1" x14ac:dyDescent="0.35">
      <c r="A6" s="14" t="s">
        <v>1012</v>
      </c>
      <c r="B6" s="4" t="s">
        <v>697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8</v>
      </c>
      <c r="V6">
        <v>0</v>
      </c>
      <c r="W6">
        <v>0</v>
      </c>
      <c r="X6">
        <v>0</v>
      </c>
      <c r="Y6">
        <v>0</v>
      </c>
      <c r="Z6">
        <f>SUM(Yolo[[#This Row],[American Sign Language Total]:[Other Total]])</f>
        <v>8</v>
      </c>
    </row>
    <row r="7" spans="1:26" ht="35" customHeight="1" x14ac:dyDescent="0.35">
      <c r="A7" s="14" t="s">
        <v>698</v>
      </c>
      <c r="B7" s="4" t="s">
        <v>1016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3</v>
      </c>
      <c r="T7">
        <v>0</v>
      </c>
      <c r="U7">
        <v>118</v>
      </c>
      <c r="V7">
        <v>1</v>
      </c>
      <c r="W7">
        <v>7</v>
      </c>
      <c r="X7">
        <v>0</v>
      </c>
      <c r="Y7">
        <v>0</v>
      </c>
      <c r="Z7" s="6">
        <f>SUM(Yolo[[#This Row],[American Sign Language Total]:[Other Total]])</f>
        <v>135</v>
      </c>
    </row>
    <row r="8" spans="1:26" x14ac:dyDescent="0.35">
      <c r="A8" s="9" t="s">
        <v>191</v>
      </c>
      <c r="B8" s="8" t="s">
        <v>1017</v>
      </c>
      <c r="C8" s="3">
        <f>SUBTOTAL(109,Yolo[American Sign Language Total])</f>
        <v>0</v>
      </c>
      <c r="D8" s="3">
        <f>SUBTOTAL(109,Yolo[Arabic Total])</f>
        <v>0</v>
      </c>
      <c r="E8" s="3">
        <f>SUBTOTAL(109,Yolo[Armenian Total])</f>
        <v>1</v>
      </c>
      <c r="F8" s="3">
        <f>SUBTOTAL(109,Yolo[Bengali Total])</f>
        <v>0</v>
      </c>
      <c r="G8" s="3">
        <f>SUBTOTAL(109,Yolo[Chinese (Mandarin or Cantonese) Total])</f>
        <v>16</v>
      </c>
      <c r="H8" s="3">
        <f>SUBTOTAL(109,Yolo[Farsi (Persian) Total])</f>
        <v>7</v>
      </c>
      <c r="I8" s="3">
        <f>SUBTOTAL(109,Yolo[French Total])</f>
        <v>16</v>
      </c>
      <c r="J8" s="3">
        <f>SUBTOTAL(109,Yolo[German Total])</f>
        <v>2</v>
      </c>
      <c r="K8" s="3">
        <f>SUBTOTAL(109,Yolo[Hebrew Total])</f>
        <v>1</v>
      </c>
      <c r="L8" s="3">
        <f>SUBTOTAL(109,Yolo[Hindi Total])</f>
        <v>1</v>
      </c>
      <c r="M8" s="3">
        <f>SUBTOTAL(109,Yolo[Hmong Total])</f>
        <v>0</v>
      </c>
      <c r="N8" s="3">
        <f>SUBTOTAL(109,Yolo[Italian Total])</f>
        <v>1</v>
      </c>
      <c r="O8" s="3">
        <f>SUBTOTAL(109,Yolo[Japanese Total])</f>
        <v>4</v>
      </c>
      <c r="P8" s="3">
        <f>SUBTOTAL(109,Yolo[Korean Total])</f>
        <v>3</v>
      </c>
      <c r="Q8" s="3">
        <f>SUBTOTAL(109,Yolo[Latin Total])</f>
        <v>0</v>
      </c>
      <c r="R8" s="3">
        <f>SUBTOTAL(109,Yolo[Portuguese Total])</f>
        <v>0</v>
      </c>
      <c r="S8" s="3">
        <f>SUBTOTAL(109,Yolo[Punjabi Total])</f>
        <v>4</v>
      </c>
      <c r="T8" s="3">
        <f>SUBTOTAL(109,Yolo[Russian Total])</f>
        <v>39</v>
      </c>
      <c r="U8" s="3">
        <f>SUBTOTAL(109,Yolo[Spanish Total])</f>
        <v>322</v>
      </c>
      <c r="V8" s="3">
        <f>SUBTOTAL(109,Yolo[Tagalog (Filipino) Total])</f>
        <v>1</v>
      </c>
      <c r="W8" s="3">
        <f>SUBTOTAL(109,Yolo[Urdu Total])</f>
        <v>7</v>
      </c>
      <c r="X8" s="3">
        <f>SUBTOTAL(109,Yolo[Vietnamese Total])</f>
        <v>0</v>
      </c>
      <c r="Y8" s="3">
        <f>SUBTOTAL(109,Yolo[Other Total])</f>
        <v>6</v>
      </c>
      <c r="Z8" s="3">
        <f>SUBTOTAL(109,Yolo[Total Seals per Local Educational Agency])</f>
        <v>431</v>
      </c>
    </row>
  </sheetData>
  <conditionalFormatting sqref="A1:B1">
    <cfRule type="duplicateValues" dxfId="1" priority="1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02DD-40B6-4897-8E6F-D33AB934FB3D}">
  <dimension ref="A1:Z5"/>
  <sheetViews>
    <sheetView showGridLines="0" zoomScaleNormal="100" workbookViewId="0">
      <pane xSplit="1" ySplit="2" topLeftCell="B3" activePane="bottomRight" state="frozen"/>
      <selection activeCell="B14" sqref="B14"/>
      <selection pane="topRight" activeCell="B14" sqref="B14"/>
      <selection pane="bottomLeft" activeCell="B14" sqref="B14"/>
      <selection pane="bottomRight"/>
    </sheetView>
  </sheetViews>
  <sheetFormatPr defaultRowHeight="15.5" x14ac:dyDescent="0.35"/>
  <cols>
    <col min="1" max="1" width="31.53515625" style="4" customWidth="1"/>
    <col min="2" max="2" width="26.84375" style="4" bestFit="1" customWidth="1"/>
    <col min="3" max="3" width="16.69140625" bestFit="1" customWidth="1"/>
    <col min="4" max="4" width="8.4609375" bestFit="1" customWidth="1"/>
    <col min="5" max="5" width="11.23046875" bestFit="1" customWidth="1"/>
    <col min="6" max="6" width="9.4609375" bestFit="1" customWidth="1"/>
    <col min="7" max="7" width="11.921875" customWidth="1"/>
    <col min="8" max="8" width="10.69140625" bestFit="1" customWidth="1"/>
    <col min="9" max="9" width="8.84375" bestFit="1" customWidth="1"/>
    <col min="10" max="10" width="9.69140625" bestFit="1" customWidth="1"/>
    <col min="11" max="11" width="9.3046875" bestFit="1" customWidth="1"/>
    <col min="12" max="12" width="7.4609375" bestFit="1" customWidth="1"/>
    <col min="13" max="13" width="9.07421875" bestFit="1" customWidth="1"/>
    <col min="14" max="14" width="8.07421875" bestFit="1" customWidth="1"/>
    <col min="15" max="15" width="11.07421875" bestFit="1" customWidth="1"/>
    <col min="16" max="16" width="9.07421875" bestFit="1" customWidth="1"/>
    <col min="17" max="17" width="7.23046875" bestFit="1" customWidth="1"/>
    <col min="18" max="18" width="11.84375" bestFit="1" customWidth="1"/>
    <col min="19" max="19" width="9.53515625" bestFit="1" customWidth="1"/>
    <col min="20" max="20" width="9.84375" bestFit="1" customWidth="1"/>
    <col min="21" max="21" width="10" bestFit="1" customWidth="1"/>
    <col min="22" max="22" width="10.765625" bestFit="1" customWidth="1"/>
    <col min="23" max="23" width="7.23046875" bestFit="1" customWidth="1"/>
    <col min="24" max="24" width="12.84375" bestFit="1" customWidth="1"/>
    <col min="25" max="25" width="7.69140625" bestFit="1" customWidth="1"/>
    <col min="26" max="26" width="12.4609375" customWidth="1"/>
  </cols>
  <sheetData>
    <row r="1" spans="1:26" ht="18" x14ac:dyDescent="0.4">
      <c r="A1" s="27" t="s">
        <v>41</v>
      </c>
    </row>
    <row r="2" spans="1:26" ht="62" x14ac:dyDescent="0.35">
      <c r="A2" s="2" t="s">
        <v>65</v>
      </c>
      <c r="B2" s="2" t="s">
        <v>66</v>
      </c>
      <c r="C2" s="2" t="s">
        <v>51</v>
      </c>
      <c r="D2" s="2" t="s">
        <v>63</v>
      </c>
      <c r="E2" s="2" t="s">
        <v>73</v>
      </c>
      <c r="F2" s="2" t="s">
        <v>77</v>
      </c>
      <c r="G2" s="2" t="s">
        <v>89</v>
      </c>
      <c r="H2" s="2" t="s">
        <v>78</v>
      </c>
      <c r="I2" s="2" t="s">
        <v>52</v>
      </c>
      <c r="J2" s="2" t="s">
        <v>53</v>
      </c>
      <c r="K2" s="2" t="s">
        <v>72</v>
      </c>
      <c r="L2" s="2" t="s">
        <v>79</v>
      </c>
      <c r="M2" s="2" t="s">
        <v>67</v>
      </c>
      <c r="N2" s="2" t="s">
        <v>64</v>
      </c>
      <c r="O2" s="2" t="s">
        <v>68</v>
      </c>
      <c r="P2" s="2" t="s">
        <v>55</v>
      </c>
      <c r="Q2" s="2" t="s">
        <v>56</v>
      </c>
      <c r="R2" s="2" t="s">
        <v>74</v>
      </c>
      <c r="S2" s="2" t="s">
        <v>80</v>
      </c>
      <c r="T2" s="2" t="s">
        <v>75</v>
      </c>
      <c r="U2" s="2" t="s">
        <v>57</v>
      </c>
      <c r="V2" s="2" t="s">
        <v>71</v>
      </c>
      <c r="W2" s="2" t="s">
        <v>81</v>
      </c>
      <c r="X2" s="2" t="s">
        <v>58</v>
      </c>
      <c r="Y2" s="2" t="s">
        <v>59</v>
      </c>
      <c r="Z2" s="2" t="s">
        <v>1233</v>
      </c>
    </row>
    <row r="3" spans="1:26" x14ac:dyDescent="0.35">
      <c r="A3" s="14" t="s">
        <v>1018</v>
      </c>
      <c r="B3" s="4" t="s">
        <v>1018</v>
      </c>
      <c r="C3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5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5</v>
      </c>
      <c r="V3">
        <v>0</v>
      </c>
      <c r="W3">
        <v>0</v>
      </c>
      <c r="X3">
        <v>0</v>
      </c>
      <c r="Y3">
        <v>0</v>
      </c>
      <c r="Z3">
        <f>SUM(Yuba[[#This Row],[American Sign Language Total]:[Other Total]])</f>
        <v>15</v>
      </c>
    </row>
    <row r="4" spans="1:26" ht="62" x14ac:dyDescent="0.35">
      <c r="A4" s="14" t="s">
        <v>699</v>
      </c>
      <c r="B4" s="4" t="s">
        <v>1019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1</v>
      </c>
      <c r="S4">
        <v>1</v>
      </c>
      <c r="T4">
        <v>2</v>
      </c>
      <c r="U4">
        <v>38</v>
      </c>
      <c r="V4">
        <v>1</v>
      </c>
      <c r="W4">
        <v>0</v>
      </c>
      <c r="X4">
        <v>0</v>
      </c>
      <c r="Y4">
        <v>0</v>
      </c>
      <c r="Z4">
        <f>SUM(Yuba[[#This Row],[American Sign Language Total]:[Other Total]])</f>
        <v>43</v>
      </c>
    </row>
    <row r="5" spans="1:26" x14ac:dyDescent="0.35">
      <c r="A5" s="9" t="s">
        <v>195</v>
      </c>
      <c r="B5" s="8" t="s">
        <v>763</v>
      </c>
      <c r="C5" s="3">
        <f>SUBTOTAL(109,Yuba[American Sign Language Total])</f>
        <v>5</v>
      </c>
      <c r="D5" s="3">
        <f>SUBTOTAL(109,Yuba[Arabic Total])</f>
        <v>0</v>
      </c>
      <c r="E5" s="3">
        <f>SUBTOTAL(109,Yuba[Armenian Total])</f>
        <v>0</v>
      </c>
      <c r="F5" s="3">
        <f>SUBTOTAL(109,Yuba[Bengali Total])</f>
        <v>0</v>
      </c>
      <c r="G5" s="3">
        <f>SUBTOTAL(109,Yuba[Chinese (Mandarin or Cantonese) Total])</f>
        <v>0</v>
      </c>
      <c r="H5" s="3">
        <f>SUBTOTAL(109,Yuba[Farsi (Persian) Total])</f>
        <v>0</v>
      </c>
      <c r="I5" s="3">
        <f>SUBTOTAL(109,Yuba[French Total])</f>
        <v>0</v>
      </c>
      <c r="J5" s="3">
        <f>SUBTOTAL(109,Yuba[German Total])</f>
        <v>0</v>
      </c>
      <c r="K5" s="3">
        <f>SUBTOTAL(109,Yuba[Hebrew Total])</f>
        <v>0</v>
      </c>
      <c r="L5" s="3">
        <f>SUBTOTAL(109,Yuba[Hindi Total])</f>
        <v>0</v>
      </c>
      <c r="M5" s="3">
        <f>SUBTOTAL(109,Yuba[Hmong Total])</f>
        <v>0</v>
      </c>
      <c r="N5" s="3">
        <f>SUBTOTAL(109,Yuba[Italian Total])</f>
        <v>5</v>
      </c>
      <c r="O5" s="3">
        <f>SUBTOTAL(109,Yuba[Japanese Total])</f>
        <v>0</v>
      </c>
      <c r="P5" s="3">
        <f>SUBTOTAL(109,Yuba[Korean Total])</f>
        <v>0</v>
      </c>
      <c r="Q5" s="3">
        <f>SUBTOTAL(109,Yuba[Latin Total])</f>
        <v>0</v>
      </c>
      <c r="R5" s="3">
        <f>SUBTOTAL(109,Yuba[Portuguese Total])</f>
        <v>1</v>
      </c>
      <c r="S5" s="3">
        <f>SUBTOTAL(109,Yuba[Punjabi Total])</f>
        <v>1</v>
      </c>
      <c r="T5" s="3">
        <f>SUBTOTAL(109,Yuba[Russian Total])</f>
        <v>2</v>
      </c>
      <c r="U5" s="3">
        <f>SUBTOTAL(109,Yuba[Spanish Total])</f>
        <v>43</v>
      </c>
      <c r="V5" s="3">
        <f>SUBTOTAL(109,Yuba[Tagalog (Filipino) Total])</f>
        <v>1</v>
      </c>
      <c r="W5" s="3">
        <f>SUBTOTAL(109,Yuba[Urdu Total])</f>
        <v>0</v>
      </c>
      <c r="X5" s="3">
        <f>SUBTOTAL(109,Yuba[Vietnamese Total])</f>
        <v>0</v>
      </c>
      <c r="Y5" s="3">
        <f>SUBTOTAL(109,Yuba[Other Total])</f>
        <v>0</v>
      </c>
      <c r="Z5" s="3">
        <f>SUBTOTAL(109,Yuba[Total Seals per Local Educational Agency])</f>
        <v>58</v>
      </c>
    </row>
  </sheetData>
  <conditionalFormatting sqref="A1:B1">
    <cfRule type="duplicateValues" dxfId="0" priority="5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14</vt:i4>
      </vt:variant>
    </vt:vector>
  </HeadingPairs>
  <TitlesOfParts>
    <vt:vector size="71" baseType="lpstr">
      <vt:lpstr>County Totals</vt:lpstr>
      <vt:lpstr>Alameda</vt:lpstr>
      <vt:lpstr>Amador</vt:lpstr>
      <vt:lpstr>Butte</vt:lpstr>
      <vt:lpstr>Calaveras</vt:lpstr>
      <vt:lpstr>Colusa</vt:lpstr>
      <vt:lpstr>Contra Costa</vt:lpstr>
      <vt:lpstr>Del Norte</vt:lpstr>
      <vt:lpstr>El Dorado</vt:lpstr>
      <vt:lpstr>Fresno</vt:lpstr>
      <vt:lpstr>Glenn</vt:lpstr>
      <vt:lpstr>Humboldt</vt:lpstr>
      <vt:lpstr>Imperial</vt:lpstr>
      <vt:lpstr>Inyo</vt:lpstr>
      <vt:lpstr>Kern</vt:lpstr>
      <vt:lpstr>Kings</vt:lpstr>
      <vt:lpstr>Lake</vt:lpstr>
      <vt:lpstr>Lassen</vt:lpstr>
      <vt:lpstr>Los Angeles</vt:lpstr>
      <vt:lpstr>Los Angeles Unified</vt:lpstr>
      <vt:lpstr>Madera</vt:lpstr>
      <vt:lpstr>Marin</vt:lpstr>
      <vt:lpstr>Mendocino</vt:lpstr>
      <vt:lpstr>Merced</vt:lpstr>
      <vt:lpstr>Mono</vt:lpstr>
      <vt:lpstr>Monterey</vt:lpstr>
      <vt:lpstr>Napa</vt:lpstr>
      <vt:lpstr>Nevada</vt:lpstr>
      <vt:lpstr>Orange</vt:lpstr>
      <vt:lpstr>Placer</vt:lpstr>
      <vt:lpstr>Plumas</vt:lpstr>
      <vt:lpstr>Riverside</vt:lpstr>
      <vt:lpstr>Sacramento</vt:lpstr>
      <vt:lpstr>San Benito</vt:lpstr>
      <vt:lpstr>San Bernardino</vt:lpstr>
      <vt:lpstr>San Diego</vt:lpstr>
      <vt:lpstr>San Francisco</vt:lpstr>
      <vt:lpstr>San Joaquin</vt:lpstr>
      <vt:lpstr>San Luis Obispo</vt:lpstr>
      <vt:lpstr>San Mateo</vt:lpstr>
      <vt:lpstr>Santa Barbara</vt:lpstr>
      <vt:lpstr>Santa Clara</vt:lpstr>
      <vt:lpstr>Santa Cruz</vt:lpstr>
      <vt:lpstr>Shasta</vt:lpstr>
      <vt:lpstr>Sierra</vt:lpstr>
      <vt:lpstr>Siskiyou</vt:lpstr>
      <vt:lpstr>Solano</vt:lpstr>
      <vt:lpstr>Sonoma</vt:lpstr>
      <vt:lpstr>Stanislaus</vt:lpstr>
      <vt:lpstr>Sutter</vt:lpstr>
      <vt:lpstr>Tehama</vt:lpstr>
      <vt:lpstr>Trinity</vt:lpstr>
      <vt:lpstr>Tulare</vt:lpstr>
      <vt:lpstr>Tuolumne</vt:lpstr>
      <vt:lpstr>Ventura</vt:lpstr>
      <vt:lpstr>Yolo</vt:lpstr>
      <vt:lpstr>Yuba</vt:lpstr>
      <vt:lpstr>'County Totals'!Alameda</vt:lpstr>
      <vt:lpstr>Placer!Alameda</vt:lpstr>
      <vt:lpstr>Trinity!Alameda</vt:lpstr>
      <vt:lpstr>Tuolumne!Alameda</vt:lpstr>
      <vt:lpstr>Alameda</vt:lpstr>
      <vt:lpstr>'County Totals'!Placer</vt:lpstr>
      <vt:lpstr>Trinity!Placer</vt:lpstr>
      <vt:lpstr>Tuolumne!Placer</vt:lpstr>
      <vt:lpstr>Placer</vt:lpstr>
      <vt:lpstr>'County Totals'!TableAlameda</vt:lpstr>
      <vt:lpstr>Placer!TableAlameda</vt:lpstr>
      <vt:lpstr>Trinity!TableAlameda</vt:lpstr>
      <vt:lpstr>Tuolumne!TableAlameda</vt:lpstr>
      <vt:lpstr>TableAlameda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SSB Participation Data 2025-26 - Multilingual Learners (CA Dept of Education)</dc:title>
  <dc:subject>This spreadsheet provides county, district, and school participation information and language totals for the 2025-26 California State Seal of Biliteracy (SSB) program.</dc:subject>
  <dc:creator/>
  <cp:lastModifiedBy/>
  <dcterms:created xsi:type="dcterms:W3CDTF">2026-10-20T00:01:21Z</dcterms:created>
  <dcterms:modified xsi:type="dcterms:W3CDTF">2026-10-20T21:20:41Z</dcterms:modified>
</cp:coreProperties>
</file>