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jcordova\AppData\Local\Adobe\Contribute 6.5\en_US\Sites\Site2\sp\ml\documents\"/>
    </mc:Choice>
  </mc:AlternateContent>
  <xr:revisionPtr revIDLastSave="0" documentId="13_ncr:1_{DB18E8EA-F4E8-4535-9ACD-16E33E1CDB6E}" xr6:coauthVersionLast="47" xr6:coauthVersionMax="47" xr10:uidLastSave="{00000000-0000-0000-0000-000000000000}"/>
  <bookViews>
    <workbookView xWindow="-36" yWindow="120" windowWidth="23040" windowHeight="11748" xr2:uid="{00000000-000D-0000-FFFF-FFFF00000000}"/>
  </bookViews>
  <sheets>
    <sheet name="County Totals" sheetId="60" r:id="rId1"/>
    <sheet name="Alameda" sheetId="1" r:id="rId2"/>
    <sheet name="Amador" sheetId="26" r:id="rId3"/>
    <sheet name="Butte" sheetId="27" r:id="rId4"/>
    <sheet name="Calaveras" sheetId="28" r:id="rId5"/>
    <sheet name="Colusa" sheetId="59" r:id="rId6"/>
    <sheet name="Contra Costa" sheetId="30" r:id="rId7"/>
    <sheet name="Del Norte" sheetId="31" r:id="rId8"/>
    <sheet name="El Dorado" sheetId="32" r:id="rId9"/>
    <sheet name="Fresno" sheetId="33" r:id="rId10"/>
    <sheet name="Glenn" sheetId="34" r:id="rId11"/>
    <sheet name="Humboldt" sheetId="35" r:id="rId12"/>
    <sheet name="Imperial" sheetId="36" r:id="rId13"/>
    <sheet name="Inyo" sheetId="61" r:id="rId14"/>
    <sheet name="Kern" sheetId="38" r:id="rId15"/>
    <sheet name="Kings" sheetId="39" r:id="rId16"/>
    <sheet name="Lake" sheetId="40" r:id="rId17"/>
    <sheet name="Lassen" sheetId="41" r:id="rId18"/>
    <sheet name="Los Angeles" sheetId="42" r:id="rId19"/>
    <sheet name="Madera" sheetId="43" r:id="rId20"/>
    <sheet name="Marin" sheetId="44" r:id="rId21"/>
    <sheet name="Mendocino" sheetId="46" r:id="rId22"/>
    <sheet name="Merced" sheetId="47" r:id="rId23"/>
    <sheet name="Modoc" sheetId="14" r:id="rId24"/>
    <sheet name="Mono" sheetId="15" r:id="rId25"/>
    <sheet name="Monterey" sheetId="16" r:id="rId26"/>
    <sheet name="Napa" sheetId="17" r:id="rId27"/>
    <sheet name="Nevada" sheetId="18" r:id="rId28"/>
    <sheet name="Orange" sheetId="19" r:id="rId29"/>
    <sheet name="Placer" sheetId="20" r:id="rId30"/>
    <sheet name="Plumas" sheetId="21" r:id="rId31"/>
    <sheet name="Riverside" sheetId="22" r:id="rId32"/>
    <sheet name="Sacramento" sheetId="23" r:id="rId33"/>
    <sheet name="San Benito" sheetId="24" r:id="rId34"/>
    <sheet name="San Bernardino" sheetId="12" r:id="rId35"/>
    <sheet name="San Diego" sheetId="11" r:id="rId36"/>
    <sheet name="San Francisco" sheetId="10" r:id="rId37"/>
    <sheet name="San Joaquin" sheetId="13" r:id="rId38"/>
    <sheet name="San Luis Obispo" sheetId="7" r:id="rId39"/>
    <sheet name="San Mateo" sheetId="3" r:id="rId40"/>
    <sheet name="Santa Barbara" sheetId="4" r:id="rId41"/>
    <sheet name="Santa Clara" sheetId="5" r:id="rId42"/>
    <sheet name="Santa Cruz" sheetId="6" r:id="rId43"/>
    <sheet name="Shasta" sheetId="8" r:id="rId44"/>
    <sheet name="Solano" sheetId="48" r:id="rId45"/>
    <sheet name="Sonoma" sheetId="49" r:id="rId46"/>
    <sheet name="Stanislaus" sheetId="50" r:id="rId47"/>
    <sheet name="Sutter" sheetId="51" r:id="rId48"/>
    <sheet name="Tehama" sheetId="52" r:id="rId49"/>
    <sheet name="Tulare" sheetId="54" r:id="rId50"/>
    <sheet name="Tuolumne" sheetId="55" r:id="rId51"/>
    <sheet name="Ventura" sheetId="56" r:id="rId52"/>
    <sheet name="Yolo" sheetId="57" r:id="rId53"/>
    <sheet name="Yuba" sheetId="58" r:id="rId54"/>
  </sheets>
  <definedNames>
    <definedName name="_xlnm._FilterDatabase" localSheetId="1" hidden="1">Alameda!$B$8:$B$8</definedName>
    <definedName name="_GoBack" localSheetId="18">'Los Angeles'!$B$33</definedName>
    <definedName name="_xlnm.Criteria" localSheetId="1">Alameda!$B$8:$B$8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5" l="1"/>
  <c r="N17" i="60"/>
  <c r="M4" i="61" l="1"/>
  <c r="L4" i="61"/>
  <c r="K4" i="61"/>
  <c r="J4" i="61"/>
  <c r="I4" i="61"/>
  <c r="H4" i="61"/>
  <c r="G4" i="61"/>
  <c r="F4" i="61"/>
  <c r="E4" i="61"/>
  <c r="D4" i="61"/>
  <c r="C4" i="61"/>
  <c r="F56" i="60" l="1"/>
  <c r="J56" i="60"/>
  <c r="C55" i="60"/>
  <c r="G55" i="60"/>
  <c r="L55" i="60"/>
  <c r="F54" i="60"/>
  <c r="C53" i="60"/>
  <c r="K53" i="60"/>
  <c r="H52" i="60"/>
  <c r="E51" i="60"/>
  <c r="M51" i="60"/>
  <c r="J50" i="60"/>
  <c r="G49" i="60"/>
  <c r="D48" i="60"/>
  <c r="L48" i="60"/>
  <c r="I47" i="60"/>
  <c r="F46" i="60"/>
  <c r="H43" i="60"/>
  <c r="E42" i="60"/>
  <c r="I42" i="60"/>
  <c r="M42" i="60"/>
  <c r="F41" i="60"/>
  <c r="B57" i="60"/>
  <c r="B56" i="60"/>
  <c r="B55" i="60"/>
  <c r="B54" i="60"/>
  <c r="B53" i="60"/>
  <c r="B52" i="60"/>
  <c r="B51" i="60"/>
  <c r="B50" i="60"/>
  <c r="B49" i="60"/>
  <c r="B48" i="60"/>
  <c r="B47" i="60"/>
  <c r="B46" i="60"/>
  <c r="B45" i="60"/>
  <c r="B44" i="60"/>
  <c r="B43" i="60"/>
  <c r="B42" i="60"/>
  <c r="B41" i="60"/>
  <c r="B40" i="60"/>
  <c r="B39" i="60"/>
  <c r="B38" i="60"/>
  <c r="B37" i="60"/>
  <c r="B36" i="60"/>
  <c r="B35" i="60"/>
  <c r="B34" i="60"/>
  <c r="B33" i="60"/>
  <c r="B32" i="60"/>
  <c r="B31" i="60"/>
  <c r="B30" i="60"/>
  <c r="B29" i="60"/>
  <c r="B28" i="60"/>
  <c r="B27" i="60"/>
  <c r="B26" i="60"/>
  <c r="B25" i="60"/>
  <c r="B24" i="60"/>
  <c r="B23" i="60"/>
  <c r="B22" i="60"/>
  <c r="B21" i="60"/>
  <c r="B20" i="60"/>
  <c r="B19" i="60"/>
  <c r="B18" i="60"/>
  <c r="B16" i="60"/>
  <c r="B15" i="60"/>
  <c r="B14" i="60"/>
  <c r="B13" i="60"/>
  <c r="B12" i="60"/>
  <c r="B11" i="60"/>
  <c r="B10" i="60"/>
  <c r="B9" i="60"/>
  <c r="B8" i="60"/>
  <c r="B7" i="60"/>
  <c r="B6" i="60"/>
  <c r="B5" i="60"/>
  <c r="C5" i="58"/>
  <c r="C57" i="60" s="1"/>
  <c r="D5" i="58"/>
  <c r="D57" i="60" s="1"/>
  <c r="E5" i="58"/>
  <c r="E57" i="60" s="1"/>
  <c r="F5" i="58"/>
  <c r="F57" i="60" s="1"/>
  <c r="G5" i="58"/>
  <c r="G57" i="60" s="1"/>
  <c r="H5" i="58"/>
  <c r="H57" i="60" s="1"/>
  <c r="I5" i="58"/>
  <c r="I57" i="60" s="1"/>
  <c r="J5" i="58"/>
  <c r="J57" i="60" s="1"/>
  <c r="K5" i="58"/>
  <c r="K57" i="60" s="1"/>
  <c r="L5" i="58"/>
  <c r="L57" i="60" s="1"/>
  <c r="M5" i="58"/>
  <c r="M57" i="60" s="1"/>
  <c r="C8" i="57"/>
  <c r="C56" i="60" s="1"/>
  <c r="D8" i="57"/>
  <c r="D56" i="60" s="1"/>
  <c r="E8" i="57"/>
  <c r="E56" i="60" s="1"/>
  <c r="F8" i="57"/>
  <c r="G8" i="57"/>
  <c r="G56" i="60" s="1"/>
  <c r="H8" i="57"/>
  <c r="H56" i="60" s="1"/>
  <c r="I8" i="57"/>
  <c r="I56" i="60" s="1"/>
  <c r="J8" i="57"/>
  <c r="K8" i="57"/>
  <c r="K56" i="60" s="1"/>
  <c r="L8" i="57"/>
  <c r="L56" i="60" s="1"/>
  <c r="M8" i="57"/>
  <c r="M56" i="60" s="1"/>
  <c r="C11" i="56"/>
  <c r="D11" i="56"/>
  <c r="D55" i="60" s="1"/>
  <c r="E11" i="56"/>
  <c r="E55" i="60" s="1"/>
  <c r="F11" i="56"/>
  <c r="F55" i="60" s="1"/>
  <c r="G11" i="56"/>
  <c r="H11" i="56"/>
  <c r="H55" i="60" s="1"/>
  <c r="I11" i="56"/>
  <c r="I55" i="60" s="1"/>
  <c r="J11" i="56"/>
  <c r="J55" i="60" s="1"/>
  <c r="K11" i="56"/>
  <c r="K55" i="60" s="1"/>
  <c r="L11" i="56"/>
  <c r="M11" i="56"/>
  <c r="M55" i="60" s="1"/>
  <c r="C4" i="55"/>
  <c r="C54" i="60" s="1"/>
  <c r="D4" i="55"/>
  <c r="D54" i="60" s="1"/>
  <c r="E4" i="55"/>
  <c r="E54" i="60" s="1"/>
  <c r="F4" i="55"/>
  <c r="G4" i="55"/>
  <c r="G54" i="60" s="1"/>
  <c r="H4" i="55"/>
  <c r="H54" i="60" s="1"/>
  <c r="I4" i="55"/>
  <c r="I54" i="60" s="1"/>
  <c r="J4" i="55"/>
  <c r="J54" i="60" s="1"/>
  <c r="K4" i="55"/>
  <c r="K54" i="60" s="1"/>
  <c r="L4" i="55"/>
  <c r="L54" i="60" s="1"/>
  <c r="M4" i="55"/>
  <c r="M54" i="60" s="1"/>
  <c r="C13" i="54"/>
  <c r="D13" i="54"/>
  <c r="D53" i="60" s="1"/>
  <c r="E13" i="54"/>
  <c r="E53" i="60" s="1"/>
  <c r="F13" i="54"/>
  <c r="F53" i="60" s="1"/>
  <c r="G13" i="54"/>
  <c r="G53" i="60" s="1"/>
  <c r="H13" i="54"/>
  <c r="H53" i="60" s="1"/>
  <c r="I13" i="54"/>
  <c r="I53" i="60" s="1"/>
  <c r="J13" i="54"/>
  <c r="J53" i="60" s="1"/>
  <c r="K13" i="54"/>
  <c r="L13" i="54"/>
  <c r="L53" i="60" s="1"/>
  <c r="M13" i="54"/>
  <c r="M53" i="60" s="1"/>
  <c r="C5" i="52"/>
  <c r="C52" i="60" s="1"/>
  <c r="D5" i="52"/>
  <c r="D52" i="60" s="1"/>
  <c r="E5" i="52"/>
  <c r="E52" i="60" s="1"/>
  <c r="F5" i="52"/>
  <c r="F52" i="60" s="1"/>
  <c r="G5" i="52"/>
  <c r="G52" i="60" s="1"/>
  <c r="H5" i="52"/>
  <c r="I5" i="52"/>
  <c r="I52" i="60" s="1"/>
  <c r="J5" i="52"/>
  <c r="J52" i="60" s="1"/>
  <c r="K5" i="52"/>
  <c r="K52" i="60" s="1"/>
  <c r="L5" i="52"/>
  <c r="L52" i="60" s="1"/>
  <c r="M5" i="52"/>
  <c r="M52" i="60" s="1"/>
  <c r="C8" i="51"/>
  <c r="C51" i="60" s="1"/>
  <c r="D8" i="51"/>
  <c r="D51" i="60" s="1"/>
  <c r="E8" i="51"/>
  <c r="F8" i="51"/>
  <c r="F51" i="60" s="1"/>
  <c r="G8" i="51"/>
  <c r="G51" i="60" s="1"/>
  <c r="H8" i="51"/>
  <c r="H51" i="60" s="1"/>
  <c r="I8" i="51"/>
  <c r="I51" i="60" s="1"/>
  <c r="J8" i="51"/>
  <c r="J51" i="60" s="1"/>
  <c r="K8" i="51"/>
  <c r="K51" i="60" s="1"/>
  <c r="L8" i="51"/>
  <c r="L51" i="60" s="1"/>
  <c r="M8" i="51"/>
  <c r="C9" i="50"/>
  <c r="C50" i="60" s="1"/>
  <c r="D9" i="50"/>
  <c r="D50" i="60" s="1"/>
  <c r="E9" i="50"/>
  <c r="E50" i="60" s="1"/>
  <c r="F9" i="50"/>
  <c r="F50" i="60" s="1"/>
  <c r="G9" i="50"/>
  <c r="G50" i="60" s="1"/>
  <c r="H9" i="50"/>
  <c r="H50" i="60" s="1"/>
  <c r="I9" i="50"/>
  <c r="I50" i="60" s="1"/>
  <c r="J9" i="50"/>
  <c r="K9" i="50"/>
  <c r="K50" i="60" s="1"/>
  <c r="L9" i="50"/>
  <c r="L50" i="60" s="1"/>
  <c r="M9" i="50"/>
  <c r="M50" i="60" s="1"/>
  <c r="C11" i="49"/>
  <c r="C49" i="60" s="1"/>
  <c r="D11" i="49"/>
  <c r="D49" i="60" s="1"/>
  <c r="E11" i="49"/>
  <c r="E49" i="60" s="1"/>
  <c r="F11" i="49"/>
  <c r="F49" i="60" s="1"/>
  <c r="G11" i="49"/>
  <c r="H11" i="49"/>
  <c r="H49" i="60" s="1"/>
  <c r="I11" i="49"/>
  <c r="I49" i="60" s="1"/>
  <c r="J11" i="49"/>
  <c r="J49" i="60" s="1"/>
  <c r="K11" i="49"/>
  <c r="K49" i="60" s="1"/>
  <c r="L11" i="49"/>
  <c r="L49" i="60" s="1"/>
  <c r="M11" i="49"/>
  <c r="M49" i="60" s="1"/>
  <c r="C7" i="48"/>
  <c r="C48" i="60" s="1"/>
  <c r="D7" i="48"/>
  <c r="E7" i="48"/>
  <c r="E48" i="60" s="1"/>
  <c r="F7" i="48"/>
  <c r="F48" i="60" s="1"/>
  <c r="G7" i="48"/>
  <c r="G48" i="60" s="1"/>
  <c r="H7" i="48"/>
  <c r="H48" i="60" s="1"/>
  <c r="I7" i="48"/>
  <c r="I48" i="60" s="1"/>
  <c r="J7" i="48"/>
  <c r="J48" i="60" s="1"/>
  <c r="K7" i="48"/>
  <c r="K48" i="60" s="1"/>
  <c r="L7" i="48"/>
  <c r="M7" i="48"/>
  <c r="M48" i="60" s="1"/>
  <c r="C4" i="8"/>
  <c r="C47" i="60" s="1"/>
  <c r="D4" i="8"/>
  <c r="D47" i="60" s="1"/>
  <c r="E4" i="8"/>
  <c r="E47" i="60" s="1"/>
  <c r="F4" i="8"/>
  <c r="F47" i="60" s="1"/>
  <c r="G4" i="8"/>
  <c r="G47" i="60" s="1"/>
  <c r="H4" i="8"/>
  <c r="H47" i="60" s="1"/>
  <c r="I4" i="8"/>
  <c r="J4" i="8"/>
  <c r="J47" i="60" s="1"/>
  <c r="K4" i="8"/>
  <c r="K47" i="60" s="1"/>
  <c r="L4" i="8"/>
  <c r="L47" i="60" s="1"/>
  <c r="M4" i="8"/>
  <c r="M47" i="60" s="1"/>
  <c r="C7" i="6"/>
  <c r="C46" i="60" s="1"/>
  <c r="D7" i="6"/>
  <c r="D46" i="60" s="1"/>
  <c r="E7" i="6"/>
  <c r="E46" i="60" s="1"/>
  <c r="F7" i="6"/>
  <c r="G7" i="6"/>
  <c r="G46" i="60" s="1"/>
  <c r="H7" i="6"/>
  <c r="H46" i="60" s="1"/>
  <c r="I7" i="6"/>
  <c r="I46" i="60" s="1"/>
  <c r="J7" i="6"/>
  <c r="J46" i="60" s="1"/>
  <c r="K7" i="6"/>
  <c r="K46" i="60" s="1"/>
  <c r="L7" i="6"/>
  <c r="L46" i="60" s="1"/>
  <c r="M7" i="6"/>
  <c r="M46" i="60" s="1"/>
  <c r="C15" i="5"/>
  <c r="C45" i="60" s="1"/>
  <c r="D15" i="5"/>
  <c r="D45" i="60" s="1"/>
  <c r="E15" i="5"/>
  <c r="E45" i="60" s="1"/>
  <c r="F15" i="5"/>
  <c r="F45" i="60" s="1"/>
  <c r="G15" i="5"/>
  <c r="G45" i="60" s="1"/>
  <c r="H15" i="5"/>
  <c r="H45" i="60" s="1"/>
  <c r="I15" i="5"/>
  <c r="I45" i="60" s="1"/>
  <c r="J15" i="5"/>
  <c r="J45" i="60" s="1"/>
  <c r="K45" i="60"/>
  <c r="L15" i="5"/>
  <c r="L45" i="60" s="1"/>
  <c r="M15" i="5"/>
  <c r="M45" i="60" s="1"/>
  <c r="C9" i="4"/>
  <c r="C44" i="60" s="1"/>
  <c r="D9" i="4"/>
  <c r="D44" i="60" s="1"/>
  <c r="E9" i="4"/>
  <c r="E44" i="60" s="1"/>
  <c r="F9" i="4"/>
  <c r="F44" i="60" s="1"/>
  <c r="G9" i="4"/>
  <c r="G44" i="60" s="1"/>
  <c r="H9" i="4"/>
  <c r="H44" i="60" s="1"/>
  <c r="I9" i="4"/>
  <c r="I44" i="60" s="1"/>
  <c r="J9" i="4"/>
  <c r="J44" i="60" s="1"/>
  <c r="K9" i="4"/>
  <c r="K44" i="60" s="1"/>
  <c r="L9" i="4"/>
  <c r="L44" i="60" s="1"/>
  <c r="M9" i="4"/>
  <c r="M44" i="60" s="1"/>
  <c r="C9" i="3"/>
  <c r="C43" i="60" s="1"/>
  <c r="D9" i="3"/>
  <c r="D43" i="60" s="1"/>
  <c r="E9" i="3"/>
  <c r="E43" i="60" s="1"/>
  <c r="F9" i="3"/>
  <c r="F43" i="60" s="1"/>
  <c r="G9" i="3"/>
  <c r="G43" i="60" s="1"/>
  <c r="H9" i="3"/>
  <c r="I9" i="3"/>
  <c r="I43" i="60" s="1"/>
  <c r="J9" i="3"/>
  <c r="J43" i="60" s="1"/>
  <c r="K9" i="3"/>
  <c r="K43" i="60" s="1"/>
  <c r="L9" i="3"/>
  <c r="L43" i="60" s="1"/>
  <c r="M9" i="3"/>
  <c r="M43" i="60" s="1"/>
  <c r="C7" i="7"/>
  <c r="C42" i="60" s="1"/>
  <c r="D7" i="7"/>
  <c r="D42" i="60" s="1"/>
  <c r="E7" i="7"/>
  <c r="F7" i="7"/>
  <c r="F42" i="60" s="1"/>
  <c r="G7" i="7"/>
  <c r="G42" i="60" s="1"/>
  <c r="H7" i="7"/>
  <c r="H42" i="60" s="1"/>
  <c r="I7" i="7"/>
  <c r="J7" i="7"/>
  <c r="J42" i="60" s="1"/>
  <c r="K7" i="7"/>
  <c r="K42" i="60" s="1"/>
  <c r="L7" i="7"/>
  <c r="L42" i="60" s="1"/>
  <c r="M7" i="7"/>
  <c r="C13" i="13"/>
  <c r="C41" i="60" s="1"/>
  <c r="D13" i="13"/>
  <c r="D41" i="60" s="1"/>
  <c r="E13" i="13"/>
  <c r="E41" i="60" s="1"/>
  <c r="F13" i="13"/>
  <c r="G13" i="13"/>
  <c r="G41" i="60" s="1"/>
  <c r="H13" i="13"/>
  <c r="H41" i="60" s="1"/>
  <c r="I13" i="13"/>
  <c r="I41" i="60" s="1"/>
  <c r="J13" i="13"/>
  <c r="J41" i="60" s="1"/>
  <c r="K13" i="13"/>
  <c r="K41" i="60" s="1"/>
  <c r="L13" i="13"/>
  <c r="L41" i="60" s="1"/>
  <c r="M13" i="13"/>
  <c r="M41" i="60" s="1"/>
  <c r="C4" i="10"/>
  <c r="C40" i="60" s="1"/>
  <c r="D4" i="10"/>
  <c r="D40" i="60" s="1"/>
  <c r="E4" i="10"/>
  <c r="E40" i="60" s="1"/>
  <c r="F4" i="10"/>
  <c r="F40" i="60" s="1"/>
  <c r="G4" i="10"/>
  <c r="G40" i="60" s="1"/>
  <c r="H4" i="10"/>
  <c r="H40" i="60" s="1"/>
  <c r="I4" i="10"/>
  <c r="I40" i="60" s="1"/>
  <c r="J4" i="10"/>
  <c r="J40" i="60" s="1"/>
  <c r="K4" i="10"/>
  <c r="K40" i="60" s="1"/>
  <c r="L4" i="10"/>
  <c r="L40" i="60" s="1"/>
  <c r="M4" i="10"/>
  <c r="M40" i="60" s="1"/>
  <c r="C18" i="11"/>
  <c r="C39" i="60" s="1"/>
  <c r="D18" i="11"/>
  <c r="D39" i="60" s="1"/>
  <c r="E18" i="11"/>
  <c r="E39" i="60" s="1"/>
  <c r="F18" i="11"/>
  <c r="F39" i="60" s="1"/>
  <c r="G18" i="11"/>
  <c r="G39" i="60" s="1"/>
  <c r="H18" i="11"/>
  <c r="H39" i="60" s="1"/>
  <c r="I18" i="11"/>
  <c r="I39" i="60" s="1"/>
  <c r="J18" i="11"/>
  <c r="J39" i="60" s="1"/>
  <c r="K18" i="11"/>
  <c r="K39" i="60" s="1"/>
  <c r="L18" i="11"/>
  <c r="L39" i="60" s="1"/>
  <c r="M18" i="11"/>
  <c r="M39" i="60" s="1"/>
  <c r="C22" i="12"/>
  <c r="C38" i="60" s="1"/>
  <c r="D22" i="12"/>
  <c r="D38" i="60" s="1"/>
  <c r="E22" i="12"/>
  <c r="E38" i="60" s="1"/>
  <c r="F22" i="12"/>
  <c r="F38" i="60" s="1"/>
  <c r="G22" i="12"/>
  <c r="G38" i="60" s="1"/>
  <c r="H22" i="12"/>
  <c r="H38" i="60" s="1"/>
  <c r="I22" i="12"/>
  <c r="I38" i="60" s="1"/>
  <c r="J22" i="12"/>
  <c r="J38" i="60" s="1"/>
  <c r="K22" i="12"/>
  <c r="K38" i="60" s="1"/>
  <c r="L22" i="12"/>
  <c r="L38" i="60" s="1"/>
  <c r="M22" i="12"/>
  <c r="M38" i="60" s="1"/>
  <c r="N49" i="60" l="1"/>
  <c r="N38" i="60"/>
  <c r="N46" i="60"/>
  <c r="N54" i="60"/>
  <c r="N57" i="60"/>
  <c r="N42" i="60"/>
  <c r="N44" i="60"/>
  <c r="N50" i="60"/>
  <c r="N52" i="60"/>
  <c r="N39" i="60"/>
  <c r="N40" i="60"/>
  <c r="N43" i="60"/>
  <c r="N45" i="60"/>
  <c r="N47" i="60"/>
  <c r="N48" i="60"/>
  <c r="N51" i="60"/>
  <c r="N53" i="60"/>
  <c r="N55" i="60"/>
  <c r="N56" i="60"/>
  <c r="N41" i="60"/>
  <c r="C4" i="24" l="1"/>
  <c r="C37" i="60" s="1"/>
  <c r="D4" i="24"/>
  <c r="D37" i="60" s="1"/>
  <c r="E4" i="24"/>
  <c r="E37" i="60" s="1"/>
  <c r="F4" i="24"/>
  <c r="F37" i="60" s="1"/>
  <c r="G4" i="24"/>
  <c r="G37" i="60" s="1"/>
  <c r="H4" i="24"/>
  <c r="H37" i="60" s="1"/>
  <c r="I4" i="24"/>
  <c r="I37" i="60" s="1"/>
  <c r="J4" i="24"/>
  <c r="J37" i="60" s="1"/>
  <c r="K4" i="24"/>
  <c r="K37" i="60" s="1"/>
  <c r="L4" i="24"/>
  <c r="L37" i="60" s="1"/>
  <c r="M4" i="24"/>
  <c r="M37" i="60" s="1"/>
  <c r="C11" i="23"/>
  <c r="C36" i="60" s="1"/>
  <c r="D11" i="23"/>
  <c r="D36" i="60" s="1"/>
  <c r="E11" i="23"/>
  <c r="E36" i="60" s="1"/>
  <c r="F11" i="23"/>
  <c r="F36" i="60" s="1"/>
  <c r="G11" i="23"/>
  <c r="G36" i="60" s="1"/>
  <c r="H11" i="23"/>
  <c r="H36" i="60" s="1"/>
  <c r="I11" i="23"/>
  <c r="I36" i="60" s="1"/>
  <c r="J11" i="23"/>
  <c r="J36" i="60" s="1"/>
  <c r="K11" i="23"/>
  <c r="K36" i="60" s="1"/>
  <c r="L11" i="23"/>
  <c r="L36" i="60" s="1"/>
  <c r="M11" i="23"/>
  <c r="M36" i="60" s="1"/>
  <c r="C22" i="22"/>
  <c r="C35" i="60" s="1"/>
  <c r="D22" i="22"/>
  <c r="D35" i="60" s="1"/>
  <c r="E22" i="22"/>
  <c r="E35" i="60" s="1"/>
  <c r="F22" i="22"/>
  <c r="F35" i="60" s="1"/>
  <c r="G22" i="22"/>
  <c r="G35" i="60" s="1"/>
  <c r="H22" i="22"/>
  <c r="H35" i="60" s="1"/>
  <c r="I22" i="22"/>
  <c r="I35" i="60" s="1"/>
  <c r="J22" i="22"/>
  <c r="J35" i="60" s="1"/>
  <c r="K22" i="22"/>
  <c r="K35" i="60" s="1"/>
  <c r="L22" i="22"/>
  <c r="L35" i="60" s="1"/>
  <c r="M22" i="22"/>
  <c r="M35" i="60" s="1"/>
  <c r="N36" i="60" l="1"/>
  <c r="N37" i="60"/>
  <c r="N35" i="60"/>
  <c r="C4" i="21"/>
  <c r="C34" i="60" s="1"/>
  <c r="D4" i="21"/>
  <c r="D34" i="60" s="1"/>
  <c r="E4" i="21"/>
  <c r="E34" i="60" s="1"/>
  <c r="F4" i="21"/>
  <c r="F34" i="60" s="1"/>
  <c r="G4" i="21"/>
  <c r="G34" i="60" s="1"/>
  <c r="H4" i="21"/>
  <c r="H34" i="60" s="1"/>
  <c r="I4" i="21"/>
  <c r="I34" i="60" s="1"/>
  <c r="J4" i="21"/>
  <c r="J34" i="60" s="1"/>
  <c r="K4" i="21"/>
  <c r="K34" i="60" s="1"/>
  <c r="L4" i="21"/>
  <c r="L34" i="60" s="1"/>
  <c r="M4" i="21"/>
  <c r="M34" i="60" s="1"/>
  <c r="C8" i="20"/>
  <c r="C33" i="60" s="1"/>
  <c r="D8" i="20"/>
  <c r="D33" i="60" s="1"/>
  <c r="E8" i="20"/>
  <c r="E33" i="60" s="1"/>
  <c r="F8" i="20"/>
  <c r="F33" i="60" s="1"/>
  <c r="G8" i="20"/>
  <c r="G33" i="60" s="1"/>
  <c r="H8" i="20"/>
  <c r="H33" i="60" s="1"/>
  <c r="I8" i="20"/>
  <c r="I33" i="60" s="1"/>
  <c r="J8" i="20"/>
  <c r="J33" i="60" s="1"/>
  <c r="K8" i="20"/>
  <c r="K33" i="60" s="1"/>
  <c r="L8" i="20"/>
  <c r="L33" i="60" s="1"/>
  <c r="M8" i="20"/>
  <c r="M33" i="60" s="1"/>
  <c r="C19" i="19"/>
  <c r="C32" i="60" s="1"/>
  <c r="D19" i="19"/>
  <c r="D32" i="60" s="1"/>
  <c r="E19" i="19"/>
  <c r="E32" i="60" s="1"/>
  <c r="F19" i="19"/>
  <c r="F32" i="60" s="1"/>
  <c r="G19" i="19"/>
  <c r="G32" i="60" s="1"/>
  <c r="H19" i="19"/>
  <c r="H32" i="60" s="1"/>
  <c r="I19" i="19"/>
  <c r="I32" i="60" s="1"/>
  <c r="J19" i="19"/>
  <c r="J32" i="60" s="1"/>
  <c r="K19" i="19"/>
  <c r="K32" i="60" s="1"/>
  <c r="L19" i="19"/>
  <c r="L32" i="60" s="1"/>
  <c r="M19" i="19"/>
  <c r="M32" i="60" s="1"/>
  <c r="C4" i="18"/>
  <c r="C31" i="60" s="1"/>
  <c r="D4" i="18"/>
  <c r="D31" i="60" s="1"/>
  <c r="E4" i="18"/>
  <c r="E31" i="60" s="1"/>
  <c r="F4" i="18"/>
  <c r="F31" i="60" s="1"/>
  <c r="G4" i="18"/>
  <c r="G31" i="60" s="1"/>
  <c r="H4" i="18"/>
  <c r="H31" i="60" s="1"/>
  <c r="I4" i="18"/>
  <c r="I31" i="60" s="1"/>
  <c r="J4" i="18"/>
  <c r="J31" i="60" s="1"/>
  <c r="K4" i="18"/>
  <c r="K31" i="60" s="1"/>
  <c r="L4" i="18"/>
  <c r="L31" i="60" s="1"/>
  <c r="M4" i="18"/>
  <c r="M31" i="60" s="1"/>
  <c r="C6" i="17"/>
  <c r="C30" i="60" s="1"/>
  <c r="D6" i="17"/>
  <c r="D30" i="60" s="1"/>
  <c r="E6" i="17"/>
  <c r="E30" i="60" s="1"/>
  <c r="F6" i="17"/>
  <c r="F30" i="60" s="1"/>
  <c r="G6" i="17"/>
  <c r="G30" i="60" s="1"/>
  <c r="H6" i="17"/>
  <c r="H30" i="60" s="1"/>
  <c r="I6" i="17"/>
  <c r="I30" i="60" s="1"/>
  <c r="J6" i="17"/>
  <c r="J30" i="60" s="1"/>
  <c r="K6" i="17"/>
  <c r="K30" i="60" s="1"/>
  <c r="L6" i="17"/>
  <c r="L30" i="60" s="1"/>
  <c r="M6" i="17"/>
  <c r="M30" i="60" s="1"/>
  <c r="C10" i="16"/>
  <c r="C29" i="60" s="1"/>
  <c r="D10" i="16"/>
  <c r="D29" i="60" s="1"/>
  <c r="E10" i="16"/>
  <c r="E29" i="60" s="1"/>
  <c r="F10" i="16"/>
  <c r="F29" i="60" s="1"/>
  <c r="G10" i="16"/>
  <c r="G29" i="60" s="1"/>
  <c r="H10" i="16"/>
  <c r="H29" i="60" s="1"/>
  <c r="I10" i="16"/>
  <c r="I29" i="60" s="1"/>
  <c r="J10" i="16"/>
  <c r="J29" i="60" s="1"/>
  <c r="K10" i="16"/>
  <c r="K29" i="60" s="1"/>
  <c r="L10" i="16"/>
  <c r="L29" i="60" s="1"/>
  <c r="M10" i="16"/>
  <c r="M29" i="60" s="1"/>
  <c r="C4" i="15"/>
  <c r="C28" i="60" s="1"/>
  <c r="D4" i="15"/>
  <c r="D28" i="60" s="1"/>
  <c r="E4" i="15"/>
  <c r="E28" i="60" s="1"/>
  <c r="F4" i="15"/>
  <c r="F28" i="60" s="1"/>
  <c r="G4" i="15"/>
  <c r="G28" i="60" s="1"/>
  <c r="H4" i="15"/>
  <c r="H28" i="60" s="1"/>
  <c r="I4" i="15"/>
  <c r="I28" i="60" s="1"/>
  <c r="J4" i="15"/>
  <c r="J28" i="60" s="1"/>
  <c r="K4" i="15"/>
  <c r="K28" i="60" s="1"/>
  <c r="L4" i="15"/>
  <c r="L28" i="60" s="1"/>
  <c r="M4" i="15"/>
  <c r="M28" i="60" s="1"/>
  <c r="C5" i="14"/>
  <c r="C27" i="60" s="1"/>
  <c r="D5" i="14"/>
  <c r="D27" i="60" s="1"/>
  <c r="E5" i="14"/>
  <c r="E27" i="60" s="1"/>
  <c r="F5" i="14"/>
  <c r="F27" i="60" s="1"/>
  <c r="G5" i="14"/>
  <c r="G27" i="60" s="1"/>
  <c r="H5" i="14"/>
  <c r="H27" i="60" s="1"/>
  <c r="I5" i="14"/>
  <c r="I27" i="60" s="1"/>
  <c r="J5" i="14"/>
  <c r="J27" i="60" s="1"/>
  <c r="K5" i="14"/>
  <c r="K27" i="60" s="1"/>
  <c r="L5" i="14"/>
  <c r="L27" i="60" s="1"/>
  <c r="M5" i="14"/>
  <c r="M27" i="60" s="1"/>
  <c r="C5" i="47"/>
  <c r="C26" i="60" s="1"/>
  <c r="D5" i="47"/>
  <c r="D26" i="60" s="1"/>
  <c r="E5" i="47"/>
  <c r="E26" i="60" s="1"/>
  <c r="F5" i="47"/>
  <c r="F26" i="60" s="1"/>
  <c r="G5" i="47"/>
  <c r="G26" i="60" s="1"/>
  <c r="H5" i="47"/>
  <c r="H26" i="60" s="1"/>
  <c r="I5" i="47"/>
  <c r="I26" i="60" s="1"/>
  <c r="J5" i="47"/>
  <c r="J26" i="60" s="1"/>
  <c r="K5" i="47"/>
  <c r="K26" i="60" s="1"/>
  <c r="L5" i="47"/>
  <c r="L26" i="60" s="1"/>
  <c r="M5" i="47"/>
  <c r="M26" i="60" s="1"/>
  <c r="C7" i="46"/>
  <c r="C25" i="60" s="1"/>
  <c r="D7" i="46"/>
  <c r="D25" i="60" s="1"/>
  <c r="E7" i="46"/>
  <c r="E25" i="60" s="1"/>
  <c r="F7" i="46"/>
  <c r="F25" i="60" s="1"/>
  <c r="G7" i="46"/>
  <c r="G25" i="60" s="1"/>
  <c r="H7" i="46"/>
  <c r="H25" i="60" s="1"/>
  <c r="I7" i="46"/>
  <c r="I25" i="60" s="1"/>
  <c r="J7" i="46"/>
  <c r="J25" i="60" s="1"/>
  <c r="K7" i="46"/>
  <c r="K25" i="60" s="1"/>
  <c r="L7" i="46"/>
  <c r="L25" i="60" s="1"/>
  <c r="M7" i="46"/>
  <c r="M25" i="60" s="1"/>
  <c r="C7" i="44"/>
  <c r="C24" i="60" s="1"/>
  <c r="D7" i="44"/>
  <c r="D24" i="60" s="1"/>
  <c r="E7" i="44"/>
  <c r="E24" i="60" s="1"/>
  <c r="F7" i="44"/>
  <c r="F24" i="60" s="1"/>
  <c r="G7" i="44"/>
  <c r="G24" i="60" s="1"/>
  <c r="H7" i="44"/>
  <c r="H24" i="60" s="1"/>
  <c r="I7" i="44"/>
  <c r="I24" i="60" s="1"/>
  <c r="J7" i="44"/>
  <c r="J24" i="60" s="1"/>
  <c r="K7" i="44"/>
  <c r="K24" i="60" s="1"/>
  <c r="L7" i="44"/>
  <c r="L24" i="60" s="1"/>
  <c r="M7" i="44"/>
  <c r="M24" i="60" s="1"/>
  <c r="C6" i="43"/>
  <c r="C23" i="60" s="1"/>
  <c r="D6" i="43"/>
  <c r="D23" i="60" s="1"/>
  <c r="E6" i="43"/>
  <c r="E23" i="60" s="1"/>
  <c r="F6" i="43"/>
  <c r="F23" i="60" s="1"/>
  <c r="G6" i="43"/>
  <c r="G23" i="60" s="1"/>
  <c r="H6" i="43"/>
  <c r="H23" i="60" s="1"/>
  <c r="I6" i="43"/>
  <c r="I23" i="60" s="1"/>
  <c r="J6" i="43"/>
  <c r="J23" i="60" s="1"/>
  <c r="K6" i="43"/>
  <c r="K23" i="60" s="1"/>
  <c r="L6" i="43"/>
  <c r="L23" i="60" s="1"/>
  <c r="M6" i="43"/>
  <c r="M23" i="60" s="1"/>
  <c r="C55" i="42"/>
  <c r="C22" i="60" s="1"/>
  <c r="D55" i="42"/>
  <c r="D22" i="60" s="1"/>
  <c r="E55" i="42"/>
  <c r="E22" i="60" s="1"/>
  <c r="F55" i="42"/>
  <c r="F22" i="60" s="1"/>
  <c r="G55" i="42"/>
  <c r="G22" i="60" s="1"/>
  <c r="H55" i="42"/>
  <c r="H22" i="60" s="1"/>
  <c r="I55" i="42"/>
  <c r="I22" i="60" s="1"/>
  <c r="J55" i="42"/>
  <c r="J22" i="60" s="1"/>
  <c r="K55" i="42"/>
  <c r="K22" i="60" s="1"/>
  <c r="L55" i="42"/>
  <c r="L22" i="60" s="1"/>
  <c r="M55" i="42"/>
  <c r="M22" i="60" s="1"/>
  <c r="N30" i="60" l="1"/>
  <c r="N25" i="60"/>
  <c r="N28" i="60"/>
  <c r="N26" i="60"/>
  <c r="N34" i="60"/>
  <c r="N31" i="60"/>
  <c r="N29" i="60"/>
  <c r="N27" i="60"/>
  <c r="N33" i="60"/>
  <c r="N24" i="60"/>
  <c r="N23" i="60"/>
  <c r="N32" i="60"/>
  <c r="N22" i="60"/>
  <c r="C4" i="41"/>
  <c r="C21" i="60" s="1"/>
  <c r="D4" i="41"/>
  <c r="D21" i="60" s="1"/>
  <c r="E4" i="41"/>
  <c r="E21" i="60" s="1"/>
  <c r="F4" i="41"/>
  <c r="F21" i="60" s="1"/>
  <c r="G4" i="41"/>
  <c r="G21" i="60" s="1"/>
  <c r="H4" i="41"/>
  <c r="H21" i="60" s="1"/>
  <c r="I4" i="41"/>
  <c r="I21" i="60" s="1"/>
  <c r="J4" i="41"/>
  <c r="J21" i="60" s="1"/>
  <c r="K4" i="41"/>
  <c r="K21" i="60" s="1"/>
  <c r="L4" i="41"/>
  <c r="L21" i="60" s="1"/>
  <c r="M4" i="41"/>
  <c r="M21" i="60" s="1"/>
  <c r="C7" i="40"/>
  <c r="C20" i="60" s="1"/>
  <c r="D7" i="40"/>
  <c r="D20" i="60" s="1"/>
  <c r="E7" i="40"/>
  <c r="E20" i="60" s="1"/>
  <c r="F7" i="40"/>
  <c r="F20" i="60" s="1"/>
  <c r="G7" i="40"/>
  <c r="G20" i="60" s="1"/>
  <c r="H7" i="40"/>
  <c r="H20" i="60" s="1"/>
  <c r="I7" i="40"/>
  <c r="I20" i="60" s="1"/>
  <c r="J7" i="40"/>
  <c r="J20" i="60" s="1"/>
  <c r="K7" i="40"/>
  <c r="K20" i="60" s="1"/>
  <c r="L7" i="40"/>
  <c r="L20" i="60" s="1"/>
  <c r="M7" i="40"/>
  <c r="M20" i="60" s="1"/>
  <c r="C6" i="39"/>
  <c r="C19" i="60" s="1"/>
  <c r="D6" i="39"/>
  <c r="D19" i="60" s="1"/>
  <c r="E6" i="39"/>
  <c r="E19" i="60" s="1"/>
  <c r="F6" i="39"/>
  <c r="F19" i="60" s="1"/>
  <c r="G6" i="39"/>
  <c r="G19" i="60" s="1"/>
  <c r="H6" i="39"/>
  <c r="H19" i="60" s="1"/>
  <c r="I6" i="39"/>
  <c r="I19" i="60" s="1"/>
  <c r="J6" i="39"/>
  <c r="J19" i="60" s="1"/>
  <c r="K6" i="39"/>
  <c r="K19" i="60" s="1"/>
  <c r="L6" i="39"/>
  <c r="L19" i="60" s="1"/>
  <c r="M6" i="39"/>
  <c r="M19" i="60" s="1"/>
  <c r="C9" i="38"/>
  <c r="C18" i="60" s="1"/>
  <c r="D9" i="38"/>
  <c r="D18" i="60" s="1"/>
  <c r="E9" i="38"/>
  <c r="E18" i="60" s="1"/>
  <c r="F9" i="38"/>
  <c r="F18" i="60" s="1"/>
  <c r="G9" i="38"/>
  <c r="G18" i="60" s="1"/>
  <c r="H9" i="38"/>
  <c r="H18" i="60" s="1"/>
  <c r="I9" i="38"/>
  <c r="I18" i="60" s="1"/>
  <c r="J9" i="38"/>
  <c r="J18" i="60" s="1"/>
  <c r="K9" i="38"/>
  <c r="K18" i="60" s="1"/>
  <c r="L9" i="38"/>
  <c r="L18" i="60" s="1"/>
  <c r="M9" i="38"/>
  <c r="M18" i="60" s="1"/>
  <c r="C8" i="36"/>
  <c r="C16" i="60" s="1"/>
  <c r="D8" i="36"/>
  <c r="D16" i="60" s="1"/>
  <c r="E8" i="36"/>
  <c r="E16" i="60" s="1"/>
  <c r="F8" i="36"/>
  <c r="F16" i="60" s="1"/>
  <c r="G8" i="36"/>
  <c r="G16" i="60" s="1"/>
  <c r="H8" i="36"/>
  <c r="H16" i="60" s="1"/>
  <c r="I8" i="36"/>
  <c r="I16" i="60" s="1"/>
  <c r="J8" i="36"/>
  <c r="J16" i="60" s="1"/>
  <c r="K8" i="36"/>
  <c r="K16" i="60" s="1"/>
  <c r="L8" i="36"/>
  <c r="L16" i="60" s="1"/>
  <c r="M8" i="36"/>
  <c r="M16" i="60" s="1"/>
  <c r="C7" i="35"/>
  <c r="C15" i="60" s="1"/>
  <c r="D7" i="35"/>
  <c r="D15" i="60" s="1"/>
  <c r="E7" i="35"/>
  <c r="E15" i="60" s="1"/>
  <c r="F7" i="35"/>
  <c r="F15" i="60" s="1"/>
  <c r="G7" i="35"/>
  <c r="G15" i="60" s="1"/>
  <c r="H7" i="35"/>
  <c r="H15" i="60" s="1"/>
  <c r="I7" i="35"/>
  <c r="I15" i="60" s="1"/>
  <c r="J7" i="35"/>
  <c r="J15" i="60" s="1"/>
  <c r="K7" i="35"/>
  <c r="K15" i="60" s="1"/>
  <c r="L7" i="35"/>
  <c r="L15" i="60" s="1"/>
  <c r="M7" i="35"/>
  <c r="M15" i="60" s="1"/>
  <c r="C4" i="34"/>
  <c r="D4" i="34"/>
  <c r="E4" i="34"/>
  <c r="F4" i="34"/>
  <c r="G4" i="34"/>
  <c r="H4" i="34"/>
  <c r="I4" i="34"/>
  <c r="J4" i="34"/>
  <c r="K4" i="34"/>
  <c r="L4" i="34"/>
  <c r="M4" i="34"/>
  <c r="J14" i="60" l="1"/>
  <c r="J6" i="60"/>
  <c r="H14" i="60"/>
  <c r="H6" i="60"/>
  <c r="N19" i="60"/>
  <c r="N15" i="60"/>
  <c r="G6" i="60"/>
  <c r="G14" i="60"/>
  <c r="F6" i="60"/>
  <c r="F14" i="60"/>
  <c r="C14" i="60"/>
  <c r="C6" i="60"/>
  <c r="I14" i="60"/>
  <c r="I6" i="60"/>
  <c r="M14" i="60"/>
  <c r="M6" i="60"/>
  <c r="E6" i="60"/>
  <c r="E14" i="60"/>
  <c r="L14" i="60"/>
  <c r="L6" i="60"/>
  <c r="D14" i="60"/>
  <c r="D6" i="60"/>
  <c r="N20" i="60"/>
  <c r="N21" i="60"/>
  <c r="K14" i="60"/>
  <c r="K6" i="60"/>
  <c r="N18" i="60"/>
  <c r="N16" i="60"/>
  <c r="C17" i="33"/>
  <c r="C13" i="60" s="1"/>
  <c r="D17" i="33"/>
  <c r="D13" i="60" s="1"/>
  <c r="E17" i="33"/>
  <c r="E13" i="60" s="1"/>
  <c r="F17" i="33"/>
  <c r="F13" i="60" s="1"/>
  <c r="G17" i="33"/>
  <c r="G13" i="60" s="1"/>
  <c r="H17" i="33"/>
  <c r="H13" i="60" s="1"/>
  <c r="I17" i="33"/>
  <c r="I13" i="60" s="1"/>
  <c r="J17" i="33"/>
  <c r="J13" i="60" s="1"/>
  <c r="K17" i="33"/>
  <c r="K13" i="60" s="1"/>
  <c r="L17" i="33"/>
  <c r="L13" i="60" s="1"/>
  <c r="M17" i="33"/>
  <c r="M13" i="60" s="1"/>
  <c r="C5" i="32"/>
  <c r="C12" i="60" s="1"/>
  <c r="D5" i="32"/>
  <c r="D12" i="60" s="1"/>
  <c r="E5" i="32"/>
  <c r="E12" i="60" s="1"/>
  <c r="F5" i="32"/>
  <c r="F12" i="60" s="1"/>
  <c r="G5" i="32"/>
  <c r="G12" i="60" s="1"/>
  <c r="H5" i="32"/>
  <c r="H12" i="60" s="1"/>
  <c r="I5" i="32"/>
  <c r="I12" i="60" s="1"/>
  <c r="J5" i="32"/>
  <c r="J12" i="60" s="1"/>
  <c r="K5" i="32"/>
  <c r="K12" i="60" s="1"/>
  <c r="L5" i="32"/>
  <c r="L12" i="60" s="1"/>
  <c r="M5" i="32"/>
  <c r="M12" i="60" s="1"/>
  <c r="C4" i="31"/>
  <c r="C11" i="60" s="1"/>
  <c r="D4" i="31"/>
  <c r="D11" i="60" s="1"/>
  <c r="E4" i="31"/>
  <c r="E11" i="60" s="1"/>
  <c r="F4" i="31"/>
  <c r="F11" i="60" s="1"/>
  <c r="G4" i="31"/>
  <c r="G11" i="60" s="1"/>
  <c r="H4" i="31"/>
  <c r="H11" i="60" s="1"/>
  <c r="I4" i="31"/>
  <c r="I11" i="60" s="1"/>
  <c r="J4" i="31"/>
  <c r="J11" i="60" s="1"/>
  <c r="K4" i="31"/>
  <c r="K11" i="60" s="1"/>
  <c r="L4" i="31"/>
  <c r="L11" i="60" s="1"/>
  <c r="M4" i="31"/>
  <c r="M11" i="60" s="1"/>
  <c r="C12" i="30"/>
  <c r="C10" i="60" s="1"/>
  <c r="D12" i="30"/>
  <c r="D10" i="60" s="1"/>
  <c r="E12" i="30"/>
  <c r="E10" i="60" s="1"/>
  <c r="F12" i="30"/>
  <c r="F10" i="60" s="1"/>
  <c r="G12" i="30"/>
  <c r="G10" i="60" s="1"/>
  <c r="H12" i="30"/>
  <c r="H10" i="60" s="1"/>
  <c r="I12" i="30"/>
  <c r="I10" i="60" s="1"/>
  <c r="J12" i="30"/>
  <c r="J10" i="60" s="1"/>
  <c r="K12" i="30"/>
  <c r="K10" i="60" s="1"/>
  <c r="L12" i="30"/>
  <c r="L10" i="60" s="1"/>
  <c r="M12" i="30"/>
  <c r="M10" i="60" s="1"/>
  <c r="C6" i="59"/>
  <c r="C9" i="60" s="1"/>
  <c r="D6" i="59"/>
  <c r="D9" i="60" s="1"/>
  <c r="E6" i="59"/>
  <c r="E9" i="60" s="1"/>
  <c r="F6" i="59"/>
  <c r="F9" i="60" s="1"/>
  <c r="G6" i="59"/>
  <c r="G9" i="60" s="1"/>
  <c r="H6" i="59"/>
  <c r="H9" i="60" s="1"/>
  <c r="I6" i="59"/>
  <c r="I9" i="60" s="1"/>
  <c r="J6" i="59"/>
  <c r="J9" i="60" s="1"/>
  <c r="K6" i="59"/>
  <c r="K9" i="60" s="1"/>
  <c r="L6" i="59"/>
  <c r="L9" i="60" s="1"/>
  <c r="M6" i="59"/>
  <c r="M9" i="60" s="1"/>
  <c r="C4" i="28"/>
  <c r="C8" i="60" s="1"/>
  <c r="D4" i="28"/>
  <c r="D8" i="60" s="1"/>
  <c r="E4" i="28"/>
  <c r="E8" i="60" s="1"/>
  <c r="F4" i="28"/>
  <c r="F8" i="60" s="1"/>
  <c r="G4" i="28"/>
  <c r="G8" i="60" s="1"/>
  <c r="H4" i="28"/>
  <c r="H8" i="60" s="1"/>
  <c r="I4" i="28"/>
  <c r="I8" i="60" s="1"/>
  <c r="J4" i="28"/>
  <c r="J8" i="60" s="1"/>
  <c r="K4" i="28"/>
  <c r="K8" i="60" s="1"/>
  <c r="L4" i="28"/>
  <c r="L8" i="60" s="1"/>
  <c r="M4" i="28"/>
  <c r="M8" i="60" s="1"/>
  <c r="K9" i="27"/>
  <c r="C9" i="27"/>
  <c r="D9" i="27"/>
  <c r="E9" i="27"/>
  <c r="F9" i="27"/>
  <c r="G9" i="27"/>
  <c r="H9" i="27"/>
  <c r="I9" i="27"/>
  <c r="J9" i="27"/>
  <c r="L9" i="27"/>
  <c r="M9" i="27"/>
  <c r="C4" i="26"/>
  <c r="C7" i="60" s="1"/>
  <c r="D4" i="26"/>
  <c r="D7" i="60" s="1"/>
  <c r="E4" i="26"/>
  <c r="E7" i="60" s="1"/>
  <c r="F4" i="26"/>
  <c r="F7" i="60" s="1"/>
  <c r="G4" i="26"/>
  <c r="G7" i="60" s="1"/>
  <c r="H4" i="26"/>
  <c r="H7" i="60" s="1"/>
  <c r="I4" i="26"/>
  <c r="I7" i="60" s="1"/>
  <c r="J4" i="26"/>
  <c r="J7" i="60" s="1"/>
  <c r="K4" i="26"/>
  <c r="K7" i="60" s="1"/>
  <c r="L4" i="26"/>
  <c r="L7" i="60" s="1"/>
  <c r="M4" i="26"/>
  <c r="M7" i="60" s="1"/>
  <c r="N7" i="60" l="1"/>
  <c r="N12" i="60"/>
  <c r="N8" i="60"/>
  <c r="N11" i="60"/>
  <c r="N6" i="60"/>
  <c r="N14" i="60"/>
  <c r="N9" i="60"/>
  <c r="N13" i="60"/>
  <c r="N10" i="60"/>
  <c r="M16" i="1"/>
  <c r="M5" i="60" s="1"/>
  <c r="M58" i="60" s="1"/>
  <c r="C16" i="1" l="1"/>
  <c r="C5" i="60" s="1"/>
  <c r="D16" i="1"/>
  <c r="D5" i="60" s="1"/>
  <c r="D58" i="60" s="1"/>
  <c r="E16" i="1"/>
  <c r="E5" i="60" s="1"/>
  <c r="E58" i="60" s="1"/>
  <c r="F16" i="1"/>
  <c r="F5" i="60" s="1"/>
  <c r="F58" i="60" s="1"/>
  <c r="G16" i="1"/>
  <c r="G5" i="60" s="1"/>
  <c r="G58" i="60" s="1"/>
  <c r="H16" i="1"/>
  <c r="H5" i="60" s="1"/>
  <c r="H58" i="60" s="1"/>
  <c r="I16" i="1"/>
  <c r="I5" i="60" s="1"/>
  <c r="I58" i="60" s="1"/>
  <c r="J16" i="1"/>
  <c r="J5" i="60" s="1"/>
  <c r="J58" i="60" s="1"/>
  <c r="K16" i="1"/>
  <c r="K5" i="60" s="1"/>
  <c r="K58" i="60" s="1"/>
  <c r="L16" i="1"/>
  <c r="L5" i="60" s="1"/>
  <c r="L58" i="60" s="1"/>
  <c r="N5" i="60" l="1"/>
  <c r="N58" i="60" s="1"/>
  <c r="C58" i="60"/>
</calcChain>
</file>

<file path=xl/sharedStrings.xml><?xml version="1.0" encoding="utf-8"?>
<sst xmlns="http://schemas.openxmlformats.org/spreadsheetml/2006/main" count="1586" uniqueCount="805">
  <si>
    <t>Dublin Unified</t>
  </si>
  <si>
    <t>Hayward Unified</t>
  </si>
  <si>
    <t>Alameda Unified</t>
  </si>
  <si>
    <t>Albany Unified</t>
  </si>
  <si>
    <t>Participating Districts</t>
  </si>
  <si>
    <t>Participating Schools</t>
  </si>
  <si>
    <t>American Sign Language Total</t>
  </si>
  <si>
    <t>Cantonese Total</t>
  </si>
  <si>
    <t>French Total</t>
  </si>
  <si>
    <t>Korean Total</t>
  </si>
  <si>
    <t>Latin Total</t>
  </si>
  <si>
    <t>Mandarin Total</t>
  </si>
  <si>
    <t>Spanish Total</t>
  </si>
  <si>
    <t>Vietnamese Total</t>
  </si>
  <si>
    <t>Other Total</t>
  </si>
  <si>
    <t>Dublin High</t>
  </si>
  <si>
    <t>Castro Valley High</t>
  </si>
  <si>
    <t>Berkeley High</t>
  </si>
  <si>
    <t>Albany High</t>
  </si>
  <si>
    <t>Berkeley Unified</t>
  </si>
  <si>
    <t>Castro Valley Unified</t>
  </si>
  <si>
    <t>Fremont Unified</t>
  </si>
  <si>
    <t>Livermore Valley Joint Unified</t>
  </si>
  <si>
    <t>New Haven Unified</t>
  </si>
  <si>
    <t>Oakland Unified</t>
  </si>
  <si>
    <t>Piedmont Unified</t>
  </si>
  <si>
    <t>Pleasanton Unified</t>
  </si>
  <si>
    <t>San Lorenzo Unified</t>
  </si>
  <si>
    <t>James Logan High</t>
  </si>
  <si>
    <t>Piedmont High</t>
  </si>
  <si>
    <t>32</t>
  </si>
  <si>
    <t>German Total</t>
  </si>
  <si>
    <t xml:space="preserve"> Japanese Total</t>
  </si>
  <si>
    <t>Alameda County Total: 13</t>
  </si>
  <si>
    <t>2</t>
  </si>
  <si>
    <t>Butte County Office of Education</t>
  </si>
  <si>
    <t>Paradise High</t>
  </si>
  <si>
    <t>Biggs High</t>
  </si>
  <si>
    <t>CORE Butte Charter</t>
  </si>
  <si>
    <t>Durham High</t>
  </si>
  <si>
    <t>Amador County Total: 1</t>
  </si>
  <si>
    <t>Chico Unified</t>
  </si>
  <si>
    <t>Biggs Unified</t>
  </si>
  <si>
    <t>Amador County Unified</t>
  </si>
  <si>
    <t>Durham Unified</t>
  </si>
  <si>
    <t>Oroville Union</t>
  </si>
  <si>
    <t>Paradise Unified</t>
  </si>
  <si>
    <t>Butte County Total: 6</t>
  </si>
  <si>
    <t>8</t>
  </si>
  <si>
    <t>Contra Costa County Office of Education</t>
  </si>
  <si>
    <t>Bret Harte Union High</t>
  </si>
  <si>
    <t>Calaveras County Total: 1</t>
  </si>
  <si>
    <t>1</t>
  </si>
  <si>
    <t>Maxwell Unifed</t>
  </si>
  <si>
    <t>Colusa Unified</t>
  </si>
  <si>
    <t>Williams Unified</t>
  </si>
  <si>
    <t>Colusa High</t>
  </si>
  <si>
    <t>Maxwel High</t>
  </si>
  <si>
    <t>Williams High</t>
  </si>
  <si>
    <t>Colusa County Total: 3</t>
  </si>
  <si>
    <t>3</t>
  </si>
  <si>
    <t>Antioch Unified</t>
  </si>
  <si>
    <t>West Contra Costa Unified</t>
  </si>
  <si>
    <t>Pittsburg Senior High</t>
  </si>
  <si>
    <t>John Swett High</t>
  </si>
  <si>
    <t>John Swett Unified</t>
  </si>
  <si>
    <t>Liberty Union High</t>
  </si>
  <si>
    <t>Martinez Unified</t>
  </si>
  <si>
    <t>Mt. Diablo Unified</t>
  </si>
  <si>
    <t>Pittsburg Unified</t>
  </si>
  <si>
    <t>San Ramon Valley Unified</t>
  </si>
  <si>
    <t>Alhambra Senior High</t>
  </si>
  <si>
    <t>Contra Costa Total: 9</t>
  </si>
  <si>
    <t>29</t>
  </si>
  <si>
    <t>Del Norte Unified</t>
  </si>
  <si>
    <t>Del Norte High</t>
  </si>
  <si>
    <t>Del Norte County Total: 1</t>
  </si>
  <si>
    <t>El Dorado Union High</t>
  </si>
  <si>
    <t>El Dorado Total: 2</t>
  </si>
  <si>
    <t>5</t>
  </si>
  <si>
    <t>South Tahoe High</t>
  </si>
  <si>
    <t>Lake Tahoe Unified</t>
  </si>
  <si>
    <t>Washington Unified</t>
  </si>
  <si>
    <t>Laton Unified</t>
  </si>
  <si>
    <t>Kings Canyon Joint Unified</t>
  </si>
  <si>
    <t>Fowler Unified</t>
  </si>
  <si>
    <t>Central Unified</t>
  </si>
  <si>
    <t>Clovis Unified</t>
  </si>
  <si>
    <t>Coalinga-Huron Unified</t>
  </si>
  <si>
    <t>Firebaugh-Las Deltas Unified</t>
  </si>
  <si>
    <t>Fresno Unified</t>
  </si>
  <si>
    <t>Golden Plains Unified</t>
  </si>
  <si>
    <t>Kerman Unified</t>
  </si>
  <si>
    <t>Mendota Unified</t>
  </si>
  <si>
    <t>Sanger Unfied</t>
  </si>
  <si>
    <t>Selma Unified</t>
  </si>
  <si>
    <t>Fresno County Total: 14</t>
  </si>
  <si>
    <t>Central High</t>
  </si>
  <si>
    <t>Coalinga High</t>
  </si>
  <si>
    <t>Firebaugh High</t>
  </si>
  <si>
    <t>Fowler High</t>
  </si>
  <si>
    <t>Tranquillity High</t>
  </si>
  <si>
    <t>Kerman High</t>
  </si>
  <si>
    <t>Mendota High</t>
  </si>
  <si>
    <t>Sanger High</t>
  </si>
  <si>
    <t>Selma High</t>
  </si>
  <si>
    <t>Washington Union</t>
  </si>
  <si>
    <t>33</t>
  </si>
  <si>
    <t>Orland Joint Unified</t>
  </si>
  <si>
    <t>Orland High</t>
  </si>
  <si>
    <t>Glenn County Total: 1</t>
  </si>
  <si>
    <t>Humboldt County Office of Education</t>
  </si>
  <si>
    <t>Eureka City High</t>
  </si>
  <si>
    <t>Northcoast Preparatory Academy</t>
  </si>
  <si>
    <t>Fortuna Union High</t>
  </si>
  <si>
    <t>Northern Humboldt Union High</t>
  </si>
  <si>
    <t>Eureka High</t>
  </si>
  <si>
    <t>6</t>
  </si>
  <si>
    <t>Humboldt County Total: 4</t>
  </si>
  <si>
    <t>Holtville Unified</t>
  </si>
  <si>
    <t>Central Union High</t>
  </si>
  <si>
    <t>Brawley Union High</t>
  </si>
  <si>
    <t>Calexico Unified</t>
  </si>
  <si>
    <t>Calipatria Unified</t>
  </si>
  <si>
    <t>Calexico High</t>
  </si>
  <si>
    <t>Calipatria High</t>
  </si>
  <si>
    <t>Holtville High</t>
  </si>
  <si>
    <t>Imperial County Total: 5</t>
  </si>
  <si>
    <t>Sierra Sands Unified</t>
  </si>
  <si>
    <t>Delano Joint Union High</t>
  </si>
  <si>
    <t>Participating Counties</t>
  </si>
  <si>
    <t>Kern High</t>
  </si>
  <si>
    <t>McFarland Unified</t>
  </si>
  <si>
    <t>Tehachapi Unified</t>
  </si>
  <si>
    <t>Wasco Union High</t>
  </si>
  <si>
    <t>McFarland High</t>
  </si>
  <si>
    <t>Sherman E Burroughs High</t>
  </si>
  <si>
    <t>Tehachapi High</t>
  </si>
  <si>
    <t>Kern County Total: 6</t>
  </si>
  <si>
    <t>25</t>
  </si>
  <si>
    <t>Reef-Sunset Unified</t>
  </si>
  <si>
    <t>Hanford Joint Union High</t>
  </si>
  <si>
    <t>Lemoore Union High</t>
  </si>
  <si>
    <t>Avenal High</t>
  </si>
  <si>
    <t>Lemoore High</t>
  </si>
  <si>
    <t>Kings County Total: 3</t>
  </si>
  <si>
    <t>Middletown Unified</t>
  </si>
  <si>
    <t>California Connections Academy @ North Bay</t>
  </si>
  <si>
    <t>Kelseyville Unified</t>
  </si>
  <si>
    <t>Konocti Unified</t>
  </si>
  <si>
    <t>Upper Lake Unified</t>
  </si>
  <si>
    <t>Kelseyville High</t>
  </si>
  <si>
    <t>Lower Lake High</t>
  </si>
  <si>
    <t>Upper Lake High</t>
  </si>
  <si>
    <t>Lake County Total: 4</t>
  </si>
  <si>
    <t>4</t>
  </si>
  <si>
    <t>Lassen Union High</t>
  </si>
  <si>
    <t>Lassen County Total: 1</t>
  </si>
  <si>
    <t>Lassen High</t>
  </si>
  <si>
    <t>Japanese Total</t>
  </si>
  <si>
    <t>Acton-Agua Dulce Unified</t>
  </si>
  <si>
    <t>Anahuacalmecac International University Preparatory of North America</t>
  </si>
  <si>
    <t>Albert Einstein Academy</t>
  </si>
  <si>
    <t>Compass Charters Schools of Los Angeles</t>
  </si>
  <si>
    <t>Duarte Unified School</t>
  </si>
  <si>
    <t>Hawthorne Math and Science Academy</t>
  </si>
  <si>
    <t>Lawndale Elementary</t>
  </si>
  <si>
    <t>Lennox</t>
  </si>
  <si>
    <t>Los Angeles County Office of Education</t>
  </si>
  <si>
    <t>Los Angeles Unified</t>
  </si>
  <si>
    <t>Long Beach Unified</t>
  </si>
  <si>
    <t>Norwalk-La Mirada Unified</t>
  </si>
  <si>
    <t>School of Arts and Enterprise</t>
  </si>
  <si>
    <t>South Pasadena Unified</t>
  </si>
  <si>
    <t>West Covina Unified</t>
  </si>
  <si>
    <t>Port of Los Angeles High School</t>
  </si>
  <si>
    <t>San Marino Unified</t>
  </si>
  <si>
    <t>San Marino High</t>
  </si>
  <si>
    <t>Granada High; Livermore High</t>
  </si>
  <si>
    <t>Castlemont High; Coliseum College Prep Academy; Fremont High; Madison Park Academy; MetWest High; Oakland High</t>
  </si>
  <si>
    <t>Amador Valley High; Foothill High</t>
  </si>
  <si>
    <t>Alameda High; Encinal Junior/Senior High</t>
  </si>
  <si>
    <t xml:space="preserve">Amador High; Argonaut High </t>
  </si>
  <si>
    <t>Las Plumas High; Oroville High</t>
  </si>
  <si>
    <t>Antioch High; Deer Valley High; Dozier Libbey Medical High</t>
  </si>
  <si>
    <t>Clayton Valley Charter; Making Waves Academy</t>
  </si>
  <si>
    <t>Freedom High; Heritage High; Liberty High</t>
  </si>
  <si>
    <t>California High; Dougherty Valley High; Monte Vista High; San Ramon Valley High; Venture</t>
  </si>
  <si>
    <t>El Dorado High; Oak Ridge High; Ponderosa High; Union Mine High</t>
  </si>
  <si>
    <t>Central Union High; Southwest High</t>
  </si>
  <si>
    <t>Arvin High; Bakersfield High; Centennial High; East Bakersfield High; Foothill High; Frontier High; Golden Valley High; Highland High; Independence High; Kern Valley High; Liberty High; Mira Monte High; North High; Ridgeview High; Shafter High; South High; Stockdale High; West High</t>
  </si>
  <si>
    <t>Hanford High; Hanford West High; Sierra Pacific High</t>
  </si>
  <si>
    <t>ABC Unified</t>
  </si>
  <si>
    <t>Alhambra Unified</t>
  </si>
  <si>
    <t xml:space="preserve">Antelope Valley Union High </t>
  </si>
  <si>
    <t xml:space="preserve">Azusa Unified </t>
  </si>
  <si>
    <t xml:space="preserve">Bassett Unified </t>
  </si>
  <si>
    <t xml:space="preserve">Bellflower Unified </t>
  </si>
  <si>
    <t xml:space="preserve">Burbank Unified </t>
  </si>
  <si>
    <t xml:space="preserve">Centinela Valley Union High </t>
  </si>
  <si>
    <t xml:space="preserve">Charter Oak Unified </t>
  </si>
  <si>
    <t xml:space="preserve">Claremont Unified </t>
  </si>
  <si>
    <t xml:space="preserve">Compton Unified </t>
  </si>
  <si>
    <t xml:space="preserve">Covina-Valley Unified </t>
  </si>
  <si>
    <t xml:space="preserve">Culver City Unified </t>
  </si>
  <si>
    <t xml:space="preserve">Downey Unified </t>
  </si>
  <si>
    <t xml:space="preserve">El Monte Union High </t>
  </si>
  <si>
    <t xml:space="preserve">El Rancho Unified </t>
  </si>
  <si>
    <t xml:space="preserve">Glendale Unified </t>
  </si>
  <si>
    <t xml:space="preserve">Hawthorne </t>
  </si>
  <si>
    <t xml:space="preserve">Inglewood Unified </t>
  </si>
  <si>
    <t xml:space="preserve">La Cañada Unified </t>
  </si>
  <si>
    <t xml:space="preserve">Las Virgenes Unified </t>
  </si>
  <si>
    <t xml:space="preserve">Lynwood Unified </t>
  </si>
  <si>
    <t xml:space="preserve">Manhattan Beach Unified </t>
  </si>
  <si>
    <t xml:space="preserve">Monrovia Unified </t>
  </si>
  <si>
    <t xml:space="preserve">Montebello Unified </t>
  </si>
  <si>
    <t xml:space="preserve">Palos Verdes Peninsula Unified </t>
  </si>
  <si>
    <t xml:space="preserve">Paramount Unified </t>
  </si>
  <si>
    <t xml:space="preserve">Pasadena Unified </t>
  </si>
  <si>
    <t xml:space="preserve">Pomona Unified </t>
  </si>
  <si>
    <t xml:space="preserve">Redondo Beach Unified </t>
  </si>
  <si>
    <t xml:space="preserve">San Gabriel Unified </t>
  </si>
  <si>
    <t xml:space="preserve">Santa Monica-Malibu Unified </t>
  </si>
  <si>
    <t xml:space="preserve">Temple City Unified </t>
  </si>
  <si>
    <t xml:space="preserve">Torrance Unified </t>
  </si>
  <si>
    <t xml:space="preserve">Whittier Union High </t>
  </si>
  <si>
    <t xml:space="preserve">William S. Hart Union High </t>
  </si>
  <si>
    <t>Hacienda La Puente Unified</t>
  </si>
  <si>
    <t>Los Angeles County Total: 52</t>
  </si>
  <si>
    <t>Bassett High</t>
  </si>
  <si>
    <t>Charter Oak High</t>
  </si>
  <si>
    <t>Claremont High</t>
  </si>
  <si>
    <t>Culver City High</t>
  </si>
  <si>
    <t>Duarte High</t>
  </si>
  <si>
    <t>El Rancho High</t>
  </si>
  <si>
    <t>La Cañada High</t>
  </si>
  <si>
    <t>Environmental Charter High</t>
  </si>
  <si>
    <t>Temple City High</t>
  </si>
  <si>
    <t>South Pasadena High</t>
  </si>
  <si>
    <t>Gabrielino High</t>
  </si>
  <si>
    <t>Redondo Union High</t>
  </si>
  <si>
    <t>Port of Los Angeles High</t>
  </si>
  <si>
    <t>Monrovia High</t>
  </si>
  <si>
    <t>Paramount High</t>
  </si>
  <si>
    <t>Mira Costa High</t>
  </si>
  <si>
    <t>Artesia High; Cerritos High; Gahr High; Whitney High</t>
  </si>
  <si>
    <t>Alhambra High; Mark Keppel High; San Gabriel High</t>
  </si>
  <si>
    <t>Azusa High; Gladstone High</t>
  </si>
  <si>
    <t>Burbank High; John Burroughs High</t>
  </si>
  <si>
    <t>Hawthorne High; Lawndale High; Leuzinger High</t>
  </si>
  <si>
    <t>Covina High; Northview High; South Hills High</t>
  </si>
  <si>
    <t>Downey High; Warren High</t>
  </si>
  <si>
    <t>Arroyo High; El Monte High; Mountain View High; Rosemead High</t>
  </si>
  <si>
    <t>Clark Magnet High; Crescenta Valley High; Daily High; Glendale High</t>
  </si>
  <si>
    <t>Animo Inglewood Charter High; City Honors High; Inglewood High; Morningside High</t>
  </si>
  <si>
    <t>Agoura High; Calabasas High</t>
  </si>
  <si>
    <t>Animo Leadership Charter High; Lennox Math, Science and Technology Academy</t>
  </si>
  <si>
    <t>Avalon K-12; Cabrillo High; California Academy of Math and Science; Jordan High; Lakewood High; McBride High; Millikan High; Polytechnical High; Renaissance High School for the Hearts; Wilson High</t>
  </si>
  <si>
    <t>Academies of Education and Empowerment at Carson High; Academy for Multilingual Arts and Science at Mervyn M. Dymally High; Alain Leroy Locke College Preparatory Academy; Alliance Alice M. Baxter College-Ready High; Alliance Cindy and Bill Simon Technology High; Alliance Collins Family College-Ready High; Alliance Dr. Olga Mohan High; Alliance Gertz-Ressler Richard Merkin 6-12 Complex; Alliance Judy Ivie Burton Technology Academy High; Alliance Leichtman-Levine Family Foundation Environmental Science High; Alliance Marc and Eva Stern Math and Science School; Alliance Margaret M. Bloomfield Technology Academy High; Alliance Morgan McKinzie High; Alliance Ouchi-O'Donovan 6-12 Complex; Alliance Patti &amp; Peter Neuwirth Leadership Academy; Alliance Piera Barbaglia Shaheen Health Services Academy; Alliance Renee &amp; Meyer Luskin Academy High; Alliance Susan and Eric Smidt Technology High; Alliance Ted K. Tajima High; Alliance Tennenbaum Family Technology High; Angelou Community Senior High; Animo College Preparatory Academy; Animo Jackie Robinson Charter High; Animo Pat Brown Charter High; Animo Ralph Bunche Charter High; Animo South Los Angeles Charter High; Animo Venice Charter High; Animo Watts College Preparatory Academy; Arleta Senior High; Banning Senior High; Bell Senior High; Belmont Senior High; Bernstein Senior High; Birmingham Community Charter High; Boyle Heights High; Boyle Heights STEM High; Francisco Bravo Medical Magnet High; Camino Nuevo Charter Academy; Camino Nuevo High; Canoga Park Senior High; Carson Senior High; Cesar E. Chavez Learning Academies - Arts/Theatre/Entertain Mag; Cesar E. Chavez Learning Academies-Academy of Scientific Exploration (ASE); Cesar E. Chavez Learning Academies-Social Justice Humanitas Academy; Cesar E. Chavez Learning Academies-Technology Preparatory Academy; CHAMPS Charter High School of the Arts; Chatsworth Charter High; City of Angels; Cleveland Charter High; Cleveland H.S. Magnet; Communication and Technology at Diego Rivera Learning Complex; Contreras Learning Center-Academic Leadership Community; Contreras Learning Center-Los Angeles School of Global Studies; Contreras Learning Center-School of Social Justice; Crenshaw Science, Technology, Engineering, Math and Medicine Magnet; Daniel Pearl Journalism &amp; Communications Magnet; Dr. Richard A. Vladovic Harbor Teacher Preparation Academy; Eagle Rock High; East Valley Senior High; El Camino Real Charter High; Elizabeth Learning Center; Fairfax Senior High; Foshay Learning Center; Franklin High; Fremont Senior High; Fulton College Prep; Gardena Senior High; Garfield Senior High; Granada Hills Charter; Grant Senior High; Hamilton Senior High; Harbor Teacher Preparation Academy; Hilda L. Solis Learning Academy School of Technology, Business and Education; Hollywood Senior High; Huntington Park Senior High; International Studies Learning Center at Legacy High School Complex; Jefferson Senior High; Jordan Senior High; Kennedy Senior High; King/Drew Medical Magnet High; Larchmont Charter; Lincoln Senior High; Linda Esperanza Marquez High A Huntington Park Institute of Applied Medicine; Linda Esperanza Marquez High B LIBRA Academy; Linda Esperanza Marquez High C School of Social Justice; Los Angeles Academy of Arts and Enterprise; Los Angeles Leadership Academy; Los Angeles Senior High; Magnolia Science Academy 4; Manual Arts Senior High; Marquez Senior High Libra, Math and Science College Preparatory; Math, Science, &amp; Technology Magnet Academy at Roosevelt High; Maywood Academy Senior High; Mendez Senior High; Middle College High; Monroe Senior High; Narbonne H.S. Magnet; Nathaniel Narbonne Senior High; Nava College Prep; New Open World Academy K-12, North Hollywood Senior High; Northridge Academy Senior High; Orthopaedic Hospital; Oscar De La Hoya Animo Charter High; Panorama Senior High; Performing Arts Community at Diego Rivera Learning Complex; Polytechnic Senior High; Port of Los Angeles High; Public Service Community at Diego Rivera Learning Complex; Ramon C. Cortines School of Visual and Performing Arts; Rancho Domingz Prep; Reseda Senior High; Riley HS CYESIS; Roybal Learning Center; San Fernando Senior High; San Pedro Senior High; Santee Education Complex; School of Business and Tourism at Contreras Learning Complex; School of History and Dramatic Arts at Sonia Sotomayor Learning Academies; Science, Technology, Engineering, Arts and Mathematics at Legacy High School Complex; Stem Academy at Bernstein High; Susan Miller Dorsey Senior High; Synergy Quantum Academy; Theodore Roosevelt Senior High; UCLA Community K-12; Vaughn Next Century Learning Center; Visual and Performing Arts at Legacy High School Complex</t>
  </si>
  <si>
    <t>Firebaugh High; Lynwood High</t>
  </si>
  <si>
    <t>Palos Verdes High; Palos Verdes Peninsula High; Rancho del Mar High</t>
  </si>
  <si>
    <t>Diamond Ranch High; Fremont Academy of Engineering and Design; Ganesha High; Garey High; Ponoma High; Village Academy High</t>
  </si>
  <si>
    <t>California Virtual Academy @ Los Angeles; California Virtual Academy @ Maricopa; California Virtual Academy @ San Diego; California Virtual Academy @ Sutter; Edgewood High; West Covina High</t>
  </si>
  <si>
    <t>Pioneer High; Santa Fe High; Whittier High; California High; Le Serna High</t>
  </si>
  <si>
    <t>261</t>
  </si>
  <si>
    <t>American High; Circle of Independence Learning Irvington High; John F. Kennedy High; Mission San Jose High; Washington High</t>
  </si>
  <si>
    <t>Hayward High; Impact Academy of Arts &amp; Technology; Leadership Public Schools Hayward; Mt. Eden High; Tennyson High</t>
  </si>
  <si>
    <t xml:space="preserve">Arroyo High; East Bay Arts High; San Lorenzo High </t>
  </si>
  <si>
    <t>Chico High; Pleasant Valley High</t>
  </si>
  <si>
    <t>College Park High; Concord High; Mt. Diablo High; Northgate High; Pinole Valley High; Ygnacio Valley High</t>
  </si>
  <si>
    <t>El Cerrito High; De Anza High; Hercules High; Kennedy High; Leadership Public Schools: Richmond; Middle College High; Richmond High</t>
  </si>
  <si>
    <t xml:space="preserve">Buchanan High; Clovis East High; Clovis High; Clovis North High; Clovis West High </t>
  </si>
  <si>
    <t xml:space="preserve">Bullard High; Cambridge Continuation High; Design Science High; Dewolf Continuation High; Duncan Polytechnical High; Edison High; Fresno High; Hoover High; J. E. Young Academic Center; Mclane High; Patino Entrepreneurship High; Roosevelt High; Sunnyside High </t>
  </si>
  <si>
    <t>Orange Cove High; Reedley High; Reedley Middle College High</t>
  </si>
  <si>
    <t>Conejo Middle; Laton High</t>
  </si>
  <si>
    <t>Arcata High; McKinleyville High; Six Rivers Charter High</t>
  </si>
  <si>
    <t>Cesar E. Chavez High; Delano High; Robert F. Kennedy High</t>
  </si>
  <si>
    <t>Antelope Valley High; Eastside High; Highland High; Lancaster High; Littlerock High; Palmdale High; Quartz Hill High; SOAR High; William P. Knight High;</t>
  </si>
  <si>
    <t>Bellflower High; Mayfair High; Saint Joseph High;</t>
  </si>
  <si>
    <t>Centennial High; Compton High; Dominguez High</t>
  </si>
  <si>
    <t>Glen A. Wilson High; Hoover High; La Puente High; Los Altos High; William Workman High</t>
  </si>
  <si>
    <t xml:space="preserve">Aspire Ollin University Preparatory Academy; Los Angeles County High School for the Arts; Magnolia Science Academy 2; Magnolia Science Academy 3; Magnolia Science Academy Reseda </t>
  </si>
  <si>
    <t>Applied Technology Center; Bell Gardens High; Montebello High; Schurr High</t>
  </si>
  <si>
    <t>John Glenn High; La Mirada High; Norwalk High</t>
  </si>
  <si>
    <t>Blair High; John Muir High; Marshall Fundamental; Pasadena High</t>
  </si>
  <si>
    <t>Malibu High; Santa Monica High</t>
  </si>
  <si>
    <t>North High; South High; Torrance High; West High</t>
  </si>
  <si>
    <t>Academy of the Canyons; Jereann Bowman High; Learning Post High; William S. Hart High; Saugus High; Valencia High; Canyon High; West Ranch High; Golden Valley High</t>
  </si>
  <si>
    <t>Chowchilla Union High</t>
  </si>
  <si>
    <t>Madera Unified</t>
  </si>
  <si>
    <t>Shoreline Unified</t>
  </si>
  <si>
    <t>Yosemite Unified</t>
  </si>
  <si>
    <t>Madera High; Madera South High</t>
  </si>
  <si>
    <t>Tomales High</t>
  </si>
  <si>
    <t>Yosemite High</t>
  </si>
  <si>
    <t>Madera County Total: 3</t>
  </si>
  <si>
    <t>San Rafael City High</t>
  </si>
  <si>
    <t>San Rafael High; Terra Linda High</t>
  </si>
  <si>
    <t>Novato High; San Marin High</t>
  </si>
  <si>
    <t>Main County Total: 4</t>
  </si>
  <si>
    <t>Novato Unified</t>
  </si>
  <si>
    <t>Tamalpais Union High</t>
  </si>
  <si>
    <t>9</t>
  </si>
  <si>
    <t>Anderson Valley Unified</t>
  </si>
  <si>
    <t>Anderson Valley Jr-Sr High School</t>
  </si>
  <si>
    <t>Ukiah High; Ukiah Independent Study Academy</t>
  </si>
  <si>
    <t>Fort Bragg High</t>
  </si>
  <si>
    <t>Laytonville High</t>
  </si>
  <si>
    <t>Fort Bragg Unified</t>
  </si>
  <si>
    <t>Laytonville Unified</t>
  </si>
  <si>
    <t>Ukiah Unified</t>
  </si>
  <si>
    <t>Mendocino County Total: 4</t>
  </si>
  <si>
    <t>Delhi High School</t>
  </si>
  <si>
    <t>Hilmar High School</t>
  </si>
  <si>
    <t>Merced County Total: 2</t>
  </si>
  <si>
    <t>Delhi Unified</t>
  </si>
  <si>
    <t>Hilmar Unified</t>
  </si>
  <si>
    <t>Surprise Valley Joint Unified</t>
  </si>
  <si>
    <t>Tulelake Basin Joint Unified</t>
  </si>
  <si>
    <t>Surprise Valley High</t>
  </si>
  <si>
    <t>Tulelake High</t>
  </si>
  <si>
    <t>Modoc County Total: 2</t>
  </si>
  <si>
    <t>Mammoth High</t>
  </si>
  <si>
    <t>Mammoth Unified</t>
  </si>
  <si>
    <t>Mono County Total: 1</t>
  </si>
  <si>
    <t>Alisal High; Everett Alvarez High; North Salinas High</t>
  </si>
  <si>
    <t>Marina High; Monterey High; Seaside High</t>
  </si>
  <si>
    <t>North Monterey County High</t>
  </si>
  <si>
    <t>Pacific Grove High</t>
  </si>
  <si>
    <t>Soledad High</t>
  </si>
  <si>
    <t>South Monterey County Joint Union High</t>
  </si>
  <si>
    <t>Greenfield High; King City High</t>
  </si>
  <si>
    <t>Carmel Unified</t>
  </si>
  <si>
    <t>Monterey Peninsula Unified</t>
  </si>
  <si>
    <t>North Monterey County Unified</t>
  </si>
  <si>
    <t>Pacific Grove Unified</t>
  </si>
  <si>
    <t>Salinas Union High</t>
  </si>
  <si>
    <t>Soledad Unified</t>
  </si>
  <si>
    <t>Monterey County Total: 7</t>
  </si>
  <si>
    <t>12</t>
  </si>
  <si>
    <t>Carmel High</t>
  </si>
  <si>
    <t>St. Helena Unified</t>
  </si>
  <si>
    <t>Calistoga Joint Unified</t>
  </si>
  <si>
    <t>Napa Valley Unified</t>
  </si>
  <si>
    <t>Napa County Total: 3</t>
  </si>
  <si>
    <t>Calistoga Junior Senior High</t>
  </si>
  <si>
    <t>St. Helena High</t>
  </si>
  <si>
    <t>7</t>
  </si>
  <si>
    <t>Bear River High; Nevada Union High; William &amp; Marian Ghidotti High</t>
  </si>
  <si>
    <t>Nevada Joint Union High</t>
  </si>
  <si>
    <t>Nevada County Total: 1</t>
  </si>
  <si>
    <t>Santa Ana Unified</t>
  </si>
  <si>
    <t>Tustin Unified</t>
  </si>
  <si>
    <t>Laguna Beach Unified</t>
  </si>
  <si>
    <t>Capistrano Unified</t>
  </si>
  <si>
    <t>Los Alamitos Unified</t>
  </si>
  <si>
    <t>Magnolia Science Academy Santa Ana</t>
  </si>
  <si>
    <t>Buena Park High; Fullerton Union High; La Habra High; Sonora High; Sunny Hills High; Troy High</t>
  </si>
  <si>
    <t>Bolsa Grande High; Garden Grove High; La Quinta High; Los Amigos High; Pacifica High; Rancho Alamitos High; Santiago High</t>
  </si>
  <si>
    <t>Edison High; Fountain Valley High; Huntington Beach High; Marina High; Ocean View High; Westminister High</t>
  </si>
  <si>
    <t>Irvine High; Northwood High; University High; Woodbridge High</t>
  </si>
  <si>
    <t>Canyon High; El Modena High; Orange High; Villa Park High</t>
  </si>
  <si>
    <t>El Toro High; Laguna Hills High; Mission Viejo High; Trabuco Hills High</t>
  </si>
  <si>
    <t>Anaheim Union High</t>
  </si>
  <si>
    <t>Brea Olinda Unified</t>
  </si>
  <si>
    <t>Fullerton Jt. Union High</t>
  </si>
  <si>
    <t>Garden Grove Unified</t>
  </si>
  <si>
    <t>Huntington Beach Union High</t>
  </si>
  <si>
    <t>Irvine Unified</t>
  </si>
  <si>
    <t>Newport-Mesa Unified</t>
  </si>
  <si>
    <t>Orange Unified</t>
  </si>
  <si>
    <t>Placentia-Yorba Linda Unified</t>
  </si>
  <si>
    <t>Saddleback Valley Unified</t>
  </si>
  <si>
    <t>Orange County Total: 16</t>
  </si>
  <si>
    <t>Brea Olinda High</t>
  </si>
  <si>
    <t>Laguna Beach High</t>
  </si>
  <si>
    <t>Los Alamitos High</t>
  </si>
  <si>
    <t>76</t>
  </si>
  <si>
    <t>Rocklin Unified</t>
  </si>
  <si>
    <t>Western Sierra Collegiate Academy</t>
  </si>
  <si>
    <t>Tahoe Truckee High; North Tahoe High</t>
  </si>
  <si>
    <t>Placer Union High</t>
  </si>
  <si>
    <t>Roseville Joint Union High</t>
  </si>
  <si>
    <t>Tahoe Truckee Unified</t>
  </si>
  <si>
    <t>Western Placer Unified</t>
  </si>
  <si>
    <t>Placer County Total: 5</t>
  </si>
  <si>
    <t>15</t>
  </si>
  <si>
    <t>Plumas Unified</t>
  </si>
  <si>
    <t>Quincy High</t>
  </si>
  <si>
    <t>Plumas County Total: 1</t>
  </si>
  <si>
    <t>Riverside Unified</t>
  </si>
  <si>
    <t>Moreno Valley Unified</t>
  </si>
  <si>
    <t>Temecula Valley Unified</t>
  </si>
  <si>
    <t>Banning Unified</t>
  </si>
  <si>
    <t>Beaumont Unified</t>
  </si>
  <si>
    <t>Coachella Valley Unified</t>
  </si>
  <si>
    <t>Hemet Unified</t>
  </si>
  <si>
    <t>Lake Elsinore Unified</t>
  </si>
  <si>
    <t>San Jacinto Unified</t>
  </si>
  <si>
    <t>Val Verde Unified</t>
  </si>
  <si>
    <t>Desert Sands Unified</t>
  </si>
  <si>
    <t>Menifee Union Elementary</t>
  </si>
  <si>
    <t>Beaumont Senior High</t>
  </si>
  <si>
    <t>Coachella Valley High; Desert Mirage High; West Shore High</t>
  </si>
  <si>
    <t>Indio High; La Quinta High; Palm Desert High; Shadow Hills High</t>
  </si>
  <si>
    <t>Hamilton High; Hemet High; Tahquitz High; West Valley High</t>
  </si>
  <si>
    <t>Elsinore High; Lakeside High; Tamescal Canyon High</t>
  </si>
  <si>
    <t>Santa Rosa Academy</t>
  </si>
  <si>
    <t>Canyon Springs High; Moreno Valley High; Valley View High; Vista del Lago High</t>
  </si>
  <si>
    <t>Cathedral City High; Desert Hot Springs High; Palm Springs High; Rancho Mirage High</t>
  </si>
  <si>
    <t>Heritage High; Paloma Valley High; Perris High</t>
  </si>
  <si>
    <t>California School for the Deaf, Riverside</t>
  </si>
  <si>
    <t>San Jacinto High; San Jacinto Valley Academy</t>
  </si>
  <si>
    <t>Chaparral High; Great Oak High; Temecula Valley High</t>
  </si>
  <si>
    <t>Alvord Unified</t>
  </si>
  <si>
    <t>Corona-Norco Unified</t>
  </si>
  <si>
    <t>Jurupa Unified</t>
  </si>
  <si>
    <t>Palm Springs Unified</t>
  </si>
  <si>
    <t>Perris Union High</t>
  </si>
  <si>
    <t>Banning High</t>
  </si>
  <si>
    <t>Murrieta Valley Unified</t>
  </si>
  <si>
    <t>Riverside County Total: 19</t>
  </si>
  <si>
    <t>55</t>
  </si>
  <si>
    <t>Twin Rivers Unified</t>
  </si>
  <si>
    <t>Natomas Unified</t>
  </si>
  <si>
    <t>Sacramento City Unified</t>
  </si>
  <si>
    <t>Cosumnes Oaks High; Elk Grove High; Florin High; Franklin High; Laguna Creek High; Monterey Trail High; Pleasant Grove High; Sheldon High; Valley High</t>
  </si>
  <si>
    <t>Galt High; Liberty Ranch High</t>
  </si>
  <si>
    <t>Delta High; Rio Vista High</t>
  </si>
  <si>
    <t>Bella Vista High; Casa Roble Fundamental High; Del Campo High; El Camino Fundamental High; Encina Preparatory High; Mesa Verde High; Mira Loma High; Rio Americano High; San Juan Choices Charter; San Juan High; Visions in Education</t>
  </si>
  <si>
    <t>Center Joint Unified</t>
  </si>
  <si>
    <t>Elk Grove Unified</t>
  </si>
  <si>
    <t>Galt Joint Union High</t>
  </si>
  <si>
    <t>River Delta Unified</t>
  </si>
  <si>
    <t>San Juan Unified</t>
  </si>
  <si>
    <t>Center High</t>
  </si>
  <si>
    <t>Sacramento County Total: 8</t>
  </si>
  <si>
    <t>48</t>
  </si>
  <si>
    <t>San Benito High</t>
  </si>
  <si>
    <t>San Benito County Total: 1</t>
  </si>
  <si>
    <t>Oro Grande</t>
  </si>
  <si>
    <t>Chino Valley Unified</t>
  </si>
  <si>
    <t>Lucerne Valley Unified</t>
  </si>
  <si>
    <t>Apple Valley High; Granite Hills High</t>
  </si>
  <si>
    <t>Big Bear High</t>
  </si>
  <si>
    <t>Ayala High; Chino High; Chino Hills High; Don Lugo High</t>
  </si>
  <si>
    <t>Bloomington High; Grand Terrace High</t>
  </si>
  <si>
    <t>Hesperia High; Sultana High; Oak Hills High</t>
  </si>
  <si>
    <t>Sky Mountain Charter School</t>
  </si>
  <si>
    <t>Morongo Unified</t>
  </si>
  <si>
    <t>Riverside Preparatory</t>
  </si>
  <si>
    <t>Arroyo Valley High; Cajon High; Indian Springs High; Middle College High; Pacific High; San Bernadino High; San Gorgonio High</t>
  </si>
  <si>
    <t>Adelanto High; Cobalt Institute of Math and Science; Silverado High; University Preparatory; Victor Valley High</t>
  </si>
  <si>
    <t>Apple Valley Unified</t>
  </si>
  <si>
    <t>Bear Valley Unified</t>
  </si>
  <si>
    <t>Chaffey Joint Union High</t>
  </si>
  <si>
    <t>Colton Joint Unified</t>
  </si>
  <si>
    <t>Fontana Unified</t>
  </si>
  <si>
    <t>Hesperia Unified</t>
  </si>
  <si>
    <t>Redlands Unified</t>
  </si>
  <si>
    <t>Rialto Unified</t>
  </si>
  <si>
    <t>San Bernardino City Unified</t>
  </si>
  <si>
    <t>Snowline Joint Unified</t>
  </si>
  <si>
    <t>Upland Unified</t>
  </si>
  <si>
    <t>Silver Valley Unified</t>
  </si>
  <si>
    <t>Victor Valley Union High</t>
  </si>
  <si>
    <t>Yucaipa-Calimesa Joint Unified</t>
  </si>
  <si>
    <t>Silver Valley High</t>
  </si>
  <si>
    <t>Upland High</t>
  </si>
  <si>
    <t>Yucaipa High</t>
  </si>
  <si>
    <t>Poway Unified</t>
  </si>
  <si>
    <t>Escondido Union High</t>
  </si>
  <si>
    <t>San Marcos Unified</t>
  </si>
  <si>
    <t>Coronado Unified</t>
  </si>
  <si>
    <t>Ramona City Unified</t>
  </si>
  <si>
    <t>Mountain Empire Unified</t>
  </si>
  <si>
    <t>Carlsbad High; Sage Creek High</t>
  </si>
  <si>
    <t>Coronado High</t>
  </si>
  <si>
    <t>Escondido Charter High; Del Lago Academy of Applied Sciences; Escondido High; Orange Glen High; San Pasqual High</t>
  </si>
  <si>
    <t>River Valley Charter School</t>
  </si>
  <si>
    <t>Mountain Empire High School</t>
  </si>
  <si>
    <t>Oceanside High; El Camino High</t>
  </si>
  <si>
    <t>San Marcos High; Mission Hills High</t>
  </si>
  <si>
    <t>High Tech High Chula Vista; High Tech High North County</t>
  </si>
  <si>
    <t>Bonita Vista High; Castle Park High; Chula Vista High; Eastlake High; Hilltop High; Mar Vista High; Montgomery High; Olympian High; Otay Ranch High; San Ysidro High; Southwest High; Sweetwater High</t>
  </si>
  <si>
    <t>San Joaquin County Office of Education</t>
  </si>
  <si>
    <t>Lincoln Unified</t>
  </si>
  <si>
    <t>Escalon Unified</t>
  </si>
  <si>
    <t>Stockton Unified</t>
  </si>
  <si>
    <t>Lodi Unified</t>
  </si>
  <si>
    <t>Ripon Unified</t>
  </si>
  <si>
    <t>Lincoln High</t>
  </si>
  <si>
    <t>Venture Academy Family of Schools</t>
  </si>
  <si>
    <t>Kimball High; Tracy High; West High</t>
  </si>
  <si>
    <t>Paso Robles Joint Unified</t>
  </si>
  <si>
    <t>Arroyo Grande High; Nipomo High</t>
  </si>
  <si>
    <t>Morro Bay High; San Luis Obispo High</t>
  </si>
  <si>
    <t>Jefferson Union High</t>
  </si>
  <si>
    <t>Pescadero High School</t>
  </si>
  <si>
    <t>Aragon High; Capuchino High; Hillsdale High; Mills High; San Mateo High</t>
  </si>
  <si>
    <t>Orcutt Union Elementary</t>
  </si>
  <si>
    <t>Cabrillo High; Lompoc High</t>
  </si>
  <si>
    <t>Ernest Righetti High; Pioneer Valley High; Santa Maria High</t>
  </si>
  <si>
    <t>Morgan Hill Unified</t>
  </si>
  <si>
    <t>East Side Union High</t>
  </si>
  <si>
    <t>Santa Clara Unified</t>
  </si>
  <si>
    <t>Gilroy Unified School District</t>
  </si>
  <si>
    <t>San Jose Unified</t>
  </si>
  <si>
    <t>Santa Clara County Office of Education</t>
  </si>
  <si>
    <t>Mountain View-Los Altos Union High</t>
  </si>
  <si>
    <t>Cupertino High; Fremont High; Homestead High; Lynbrook High; Monta Vista High</t>
  </si>
  <si>
    <t>Los Gatos High; Saratoga High</t>
  </si>
  <si>
    <t>Live Oak High School</t>
  </si>
  <si>
    <t>Mountain View High; Los Altos High</t>
  </si>
  <si>
    <t>Henry M. Gunn High; Palo Alto High</t>
  </si>
  <si>
    <t>Downtown College Peparatory; Gunderson High; Leland High; Lincoln High; Pioneer High; San Jose High; Willow Glen High</t>
  </si>
  <si>
    <t>Downtown College Prep - Alum Rock; University Preparatory Academy</t>
  </si>
  <si>
    <t>Santa Clara High; Adrian Wilcox High</t>
  </si>
  <si>
    <t>Santa Cruz County Office of Education</t>
  </si>
  <si>
    <t>San Lorenzo Valley Unified</t>
  </si>
  <si>
    <t>Pacific Collegiate Charter School</t>
  </si>
  <si>
    <t>Gateway Unified</t>
  </si>
  <si>
    <t>Vallejo City Unified</t>
  </si>
  <si>
    <t>Roseland</t>
  </si>
  <si>
    <t>Santa Rosa High</t>
  </si>
  <si>
    <t>Cotati-Rohnert Park Unified</t>
  </si>
  <si>
    <t>Petaluma Joint Union High</t>
  </si>
  <si>
    <t>Cloverdale Unified</t>
  </si>
  <si>
    <t>Casa Grande High; Petaluma High</t>
  </si>
  <si>
    <t>Roseland Charter</t>
  </si>
  <si>
    <t>Modesto City High</t>
  </si>
  <si>
    <t>Ceres Unified</t>
  </si>
  <si>
    <t>Marcum-Illinois Union Elementary</t>
  </si>
  <si>
    <t>South Sutter Charter School</t>
  </si>
  <si>
    <t>Visalia Unified</t>
  </si>
  <si>
    <t>Alpaugh Unified</t>
  </si>
  <si>
    <t>California Connections Academy @ Central</t>
  </si>
  <si>
    <t>Summit Charter Collegiate Academy</t>
  </si>
  <si>
    <t>Moorpark Unified</t>
  </si>
  <si>
    <t>Fillmore Senior High</t>
  </si>
  <si>
    <t>Buena High; El Camino High; Foothill Technology High; Ventura High</t>
  </si>
  <si>
    <t>San Bernardino County Total: 18</t>
  </si>
  <si>
    <t>53</t>
  </si>
  <si>
    <t>Carlsbad Unified</t>
  </si>
  <si>
    <t>Grossmont Union High</t>
  </si>
  <si>
    <t>Lakeside Union</t>
  </si>
  <si>
    <t>Oceanside Unified</t>
  </si>
  <si>
    <t>San Diego Unified</t>
  </si>
  <si>
    <t>San Dieguito Union High</t>
  </si>
  <si>
    <t>SBC High Tech High</t>
  </si>
  <si>
    <t>Sweetwater Union High</t>
  </si>
  <si>
    <t>Vista Unified</t>
  </si>
  <si>
    <t>San Diego County Total: 15</t>
  </si>
  <si>
    <t>Alameda</t>
  </si>
  <si>
    <t>Amador</t>
  </si>
  <si>
    <t>Butte</t>
  </si>
  <si>
    <t>Calaveras</t>
  </si>
  <si>
    <t>Colusa</t>
  </si>
  <si>
    <t>Contra Costa</t>
  </si>
  <si>
    <t>Del Norte</t>
  </si>
  <si>
    <t>Participating Schools Total</t>
  </si>
  <si>
    <t>El Dorado</t>
  </si>
  <si>
    <t>Fresno</t>
  </si>
  <si>
    <t>Glenn</t>
  </si>
  <si>
    <t>Humboldt</t>
  </si>
  <si>
    <t>Imperial</t>
  </si>
  <si>
    <t>Kern</t>
  </si>
  <si>
    <t>Kings</t>
  </si>
  <si>
    <t>Lake</t>
  </si>
  <si>
    <t>Lassen</t>
  </si>
  <si>
    <t>Los Angeles</t>
  </si>
  <si>
    <t>Madera</t>
  </si>
  <si>
    <t>Marin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</si>
  <si>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</si>
  <si>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</si>
  <si>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</si>
  <si>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</si>
  <si>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</si>
  <si>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</si>
  <si>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</si>
  <si>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</si>
  <si>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</si>
  <si>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</si>
  <si>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</si>
  <si>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 xml:space="preserve">Sacramento 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</si>
  <si>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</si>
  <si>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</si>
  <si>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</si>
  <si>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</si>
  <si>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</si>
  <si>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</si>
  <si>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</si>
  <si>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</si>
  <si>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</si>
  <si>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</si>
  <si>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</si>
  <si>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Solano</t>
  </si>
  <si>
    <t>Sonoma</t>
  </si>
  <si>
    <t>Stanislaus</t>
  </si>
  <si>
    <t>Sutter</t>
  </si>
  <si>
    <t>Tehama</t>
  </si>
  <si>
    <t>Tulare</t>
  </si>
  <si>
    <t>Tuolumne</t>
  </si>
  <si>
    <t>Ventura</t>
  </si>
  <si>
    <t>Yolo</t>
  </si>
  <si>
    <t>Yuba</t>
  </si>
  <si>
    <t>Seal Total</t>
  </si>
  <si>
    <t>San Francisco Unified</t>
  </si>
  <si>
    <t>Redwood High; San Andreas High; Sir Francis Drake High; Tamalpais High; Tamiscal High</t>
  </si>
  <si>
    <t>American Canyon High; Napa High; Napa Valley Independent Studies; New Tech High; Vintage High</t>
  </si>
  <si>
    <t>Anaheim High; Cypress High; Gilbert High; Katella High; Kennedy High; Loara High; Magnolia High; Oxford Academy; Savanna High; Western High</t>
  </si>
  <si>
    <t xml:space="preserve">Aliso Niguel High; California Preparatory Academy; Capistrano Connections Academy; Capistrano Valley High; Clemente High; Dana Hills High; Junipero Serra High; San Juan Hills High; San Tesoro High </t>
  </si>
  <si>
    <t>Back Bay High; Corona del Mar High; Costa Mesa High; Early College High; Estancia High; Newport Harbor High</t>
  </si>
  <si>
    <t>El Dorado High; Esperanza High; Valencia High; Yorba Linda High</t>
  </si>
  <si>
    <t>Century High; Hector G. Godinez High; Middle College High; NOVA Academy Early College High; OCSA (Orange County School of the Arts); Saddleback High; Santa Ana High; Segerstrom High; Valley High</t>
  </si>
  <si>
    <t>Arnold O. Beckman High; Foothill High; Hillview High; Tustin High</t>
  </si>
  <si>
    <t>Colfax High; Del Oro High; Foresthill High; Placer High</t>
  </si>
  <si>
    <t>Antelope High; Granite Bay High; Oakmont High; Roseville High; Woodcreek High</t>
  </si>
  <si>
    <t>Horizon Charter; Lincoln High; Partnerships for Student-Centered Learning</t>
  </si>
  <si>
    <t>Hillcrest High; La Sierra High; Norte Vista High</t>
  </si>
  <si>
    <t>Jurupa Valley High; Patriot High; Rivercrest Preparatory Online School; Rubidoux High</t>
  </si>
  <si>
    <t>Murrieta Mesa High; Vista Murrieta High; Murrieta Valley High</t>
  </si>
  <si>
    <t>Arlington High; John W. North High; Martin Luther King Jr. High; Polytechnic High; Ramona High; Riverside STEM Academy; Riverside Virtual School; Summit View Independent Study</t>
  </si>
  <si>
    <t xml:space="preserve">Citrus Hill High; Rancho Verde High </t>
  </si>
  <si>
    <t>Inderkum High; Leroy Green Academy; Natomas Charter; Natomas High; Natomas Pacific Pathways Prep</t>
  </si>
  <si>
    <t>American Legion High; C. K. McClatchy High; Hiram W. Johnson High; John F. Kennedy High; Kit Carson International Academy; Luther Burbank High; New Technology High; Rosemont High; Sacramento Charter High; School of Engineering and Science; The Met High; West Campus</t>
  </si>
  <si>
    <t>Creative Connections Arts Academy; Foothill High; Futures High; Grant Union High; Heritage Peak Charter; Highlands High; Rio Linda High</t>
  </si>
  <si>
    <t>Alta Loma High; Chaffey High; Chaffey Online High; Colony High; Cucamonga High; Etiwanda High; Los Osos High; Montclair High; Ontario High; Rancho Cucamonga High</t>
  </si>
  <si>
    <t>Fontana A. B. Miller High; Fontana High; Henry J. Kaiser High; Jurupa Hills High; Summit High</t>
  </si>
  <si>
    <t xml:space="preserve">Twentynine Palms High; Yucca Valley High </t>
  </si>
  <si>
    <t>Citrus Valley High; Redlands East Valley High; Redlands High</t>
  </si>
  <si>
    <t>Eissenhower High; Rialto High; Wilmer Amina Carter High</t>
  </si>
  <si>
    <t>Chaparral High; Serrano High</t>
  </si>
  <si>
    <t>El Cajon Valley High; El Capitan High; Granite Hills High; Grossmont High; Grossmont Middle College High; Helix Charter High; Mount Miguel High; Monte Vista High; Santana High; Steele Canyon High; Valhalla High; West Hills High</t>
  </si>
  <si>
    <t>Del Norte High; Mt. Carmel High; Poway High; Rancho Bernardo High; Westview High</t>
  </si>
  <si>
    <t>Mountain Valley Academy; Ramona High</t>
  </si>
  <si>
    <t>e3 Civic High; Health Sciences High; High Tech High; High Tech High Media Arts; The O'Farrell Charter School; The Preuss School UCSD</t>
  </si>
  <si>
    <t>Canyon Crest Academy; La Costa Canyon High; San Dieguito Academy; Torrey Pines High</t>
  </si>
  <si>
    <t>Mission Vista High; Rancho Buena Vista High; Vista High</t>
  </si>
  <si>
    <t>61</t>
  </si>
  <si>
    <t>San Francisco County Total: 1</t>
  </si>
  <si>
    <t>Lammersville Unifed</t>
  </si>
  <si>
    <t>Linden Unified</t>
  </si>
  <si>
    <t>Manteca Unified</t>
  </si>
  <si>
    <t>Tracy Joint Unified</t>
  </si>
  <si>
    <t>San Joaquin County Total: 10</t>
  </si>
  <si>
    <t>Escalon High</t>
  </si>
  <si>
    <t>Mountain House High</t>
  </si>
  <si>
    <t>Linden High</t>
  </si>
  <si>
    <t>Bear Creek High; Lodi High; Middle College High; Tokay High</t>
  </si>
  <si>
    <t>Be.Tech; East Union High; Lathrop High; Manteca High; Sierra High; Weston Ranch High</t>
  </si>
  <si>
    <t>California Connections Academy @ Ripon; Ripon High</t>
  </si>
  <si>
    <t>Edison High; Franklin High; Pacific Law Academy; Stagg Senior High; Stockton Collegiate International Secondary School</t>
  </si>
  <si>
    <t>Atascadero Unified</t>
  </si>
  <si>
    <t>Lucia Mar Unified</t>
  </si>
  <si>
    <t>San Luis Coastal Unified</t>
  </si>
  <si>
    <t>San Luis Obispo County Total: 4</t>
  </si>
  <si>
    <t>Atascadero High</t>
  </si>
  <si>
    <t>Liberty High; Paso Robles High</t>
  </si>
  <si>
    <t>Cabrillo Unified</t>
  </si>
  <si>
    <t>La Honda Pescadero Unified</t>
  </si>
  <si>
    <t>San Mateo Union High</t>
  </si>
  <si>
    <t>Sequoia Union High</t>
  </si>
  <si>
    <t>South San Francisco Unified</t>
  </si>
  <si>
    <t>San Mateo County Total: 6</t>
  </si>
  <si>
    <t>El Camino High</t>
  </si>
  <si>
    <t>Half Moon Bay High</t>
  </si>
  <si>
    <t>19</t>
  </si>
  <si>
    <t>Jefferson High; Oceana High; Summit Public School: Shasta; Terra Nova High; Westmoor High</t>
  </si>
  <si>
    <t>Carlmont High; Everest Public High; Menlo-Atherton High; Sequoia High; Summit Preparatory Charter High; Woodside High</t>
  </si>
  <si>
    <t>Lompoc Unified</t>
  </si>
  <si>
    <t>Santa Barbara Unified</t>
  </si>
  <si>
    <t>Santa Maria Joint Union High</t>
  </si>
  <si>
    <t>Santa Ynez Valley Union High</t>
  </si>
  <si>
    <t>Dos Pueblos High; Santa Barbara High; San Marcos High</t>
  </si>
  <si>
    <t>Santa Ynez High Valley Union High</t>
  </si>
  <si>
    <t>Santa Barbara County Total: 5</t>
  </si>
  <si>
    <t>Orcutt Academy Charter High</t>
  </si>
  <si>
    <t>10</t>
  </si>
  <si>
    <t>Santa Clara County Total: 11</t>
  </si>
  <si>
    <t>Campbell Union High</t>
  </si>
  <si>
    <t>Fremont Union High</t>
  </si>
  <si>
    <t>Los Gatos Saratoga Union High</t>
  </si>
  <si>
    <t>Palo Alto Unified</t>
  </si>
  <si>
    <t>Branham High; Del Mar High; Leigh High; Prospect High; Westmont High</t>
  </si>
  <si>
    <t>Christopher High; Dr. TJ Owens Gilroy Early College Academy; Gilroy High; Mt. Madonna High</t>
  </si>
  <si>
    <t>Andrew P. Hill High; Apollo High; Calero High; Evergreen Valley High; Foothill High; Independence High; James Lick High; Latino College Preparatory Academy; Luis Valdez Leadership Academy; Mt. Pleasant High; Oak Grove High; Pegasus High; Phoenix High; Piedmont Hills High; Santa Teresa High; Silver Creek High; Summit Public School: Rainier; Summit Public School: Tahoma; William C. Overfelt High; Yerba Buena High</t>
  </si>
  <si>
    <t>Pajaro Valley Unified</t>
  </si>
  <si>
    <t>Scotts Valley Unified</t>
  </si>
  <si>
    <t>Santa Cruz County Total: 4</t>
  </si>
  <si>
    <t>Aptos High; Ceiba College Preparatory Academy; Pajaro Valley High; Watsonville High</t>
  </si>
  <si>
    <t>Ocean Grover Charter School; San Lorenzo Valley High</t>
  </si>
  <si>
    <t>Scotts Valley High</t>
  </si>
  <si>
    <t>Central Valley High</t>
  </si>
  <si>
    <t>Shasta County Total: 1</t>
  </si>
  <si>
    <t>Benicia Unified</t>
  </si>
  <si>
    <t>Fairfield-Suisun Unified</t>
  </si>
  <si>
    <t>Vacaville Unified</t>
  </si>
  <si>
    <t>Solano County Total: 4</t>
  </si>
  <si>
    <t>Benicia High</t>
  </si>
  <si>
    <t>Angelo Rodriguez High; Armijo High; Fairfield High; Public Safety Academy</t>
  </si>
  <si>
    <t>Buckingham Charter Magnet High; Vacaville High; Will C. Wood High</t>
  </si>
  <si>
    <t>MIT Academy High</t>
  </si>
  <si>
    <t>Healdsburg Unified</t>
  </si>
  <si>
    <t>Sonoma Valley Unified</t>
  </si>
  <si>
    <t>West Sonoma County Union High</t>
  </si>
  <si>
    <t>Sonoma County Total: 8</t>
  </si>
  <si>
    <t>Cloverdale High</t>
  </si>
  <si>
    <t>Credo High</t>
  </si>
  <si>
    <t>Healdsburg High</t>
  </si>
  <si>
    <t>Elsie Allen High; Maria Carrillo High; Montgomery High; Piner High; Santa Rosa High</t>
  </si>
  <si>
    <t>Sonoma Valley High</t>
  </si>
  <si>
    <t>Analy High; El Molino High</t>
  </si>
  <si>
    <t>14</t>
  </si>
  <si>
    <t>Oakdale Joint Unified</t>
  </si>
  <si>
    <t>Patterson Joint Unified</t>
  </si>
  <si>
    <t>Turlock Unified</t>
  </si>
  <si>
    <t>Waterford Unified</t>
  </si>
  <si>
    <t>Stanislaus County Total: 6</t>
  </si>
  <si>
    <t>Central Valley High; Ceres High</t>
  </si>
  <si>
    <t>Beyer High; Davis High; Enochs High; Gregori High; Johansen High; Modesto High; Thomas Downey High</t>
  </si>
  <si>
    <t>Oakdale High</t>
  </si>
  <si>
    <t>Patterson High</t>
  </si>
  <si>
    <t>Pitman High; Turlock High</t>
  </si>
  <si>
    <t>Waterford High</t>
  </si>
  <si>
    <t>Live Oak Unified</t>
  </si>
  <si>
    <t>Sutter Union High</t>
  </si>
  <si>
    <t>Yuba City Unified</t>
  </si>
  <si>
    <t>East Nicolaus Joint Union</t>
  </si>
  <si>
    <t>East Nicolaus High</t>
  </si>
  <si>
    <t>Live Oak High</t>
  </si>
  <si>
    <t>Sutter High</t>
  </si>
  <si>
    <t>River Valley High; Yuba City High</t>
  </si>
  <si>
    <t>Sutter County Total: 5</t>
  </si>
  <si>
    <t>Los Molinos Unified</t>
  </si>
  <si>
    <t>Red Bluff High</t>
  </si>
  <si>
    <t>Tehama County Total: 2</t>
  </si>
  <si>
    <t>Los Molinos High</t>
  </si>
  <si>
    <t>Dinuba Unified</t>
  </si>
  <si>
    <t>Dinuba High</t>
  </si>
  <si>
    <t>Exeter Unified</t>
  </si>
  <si>
    <t>Burton Elementary</t>
  </si>
  <si>
    <t>Farmersville Unified</t>
  </si>
  <si>
    <t>Lindsay Unified</t>
  </si>
  <si>
    <t>Porterville Unified</t>
  </si>
  <si>
    <t>Tulare Joint Union High</t>
  </si>
  <si>
    <t>Woodlake Unified</t>
  </si>
  <si>
    <t>Exeter Union High</t>
  </si>
  <si>
    <t>Farmersville High</t>
  </si>
  <si>
    <t>Lindsay High</t>
  </si>
  <si>
    <t>El Diamante High; Golden West High; Mt. Whitney High; Redwood High</t>
  </si>
  <si>
    <t>Woodlake High</t>
  </si>
  <si>
    <t>Granite HIlls High; Harmony Magnet Academy; Monache High; Porterville High; Strathmore High</t>
  </si>
  <si>
    <t>Mission Oak High; Tulare Union High; Tulare Western High</t>
  </si>
  <si>
    <t>Tulare County Total: 10</t>
  </si>
  <si>
    <t>Big Oak Flat Groveland Unified</t>
  </si>
  <si>
    <t>Tioga High</t>
  </si>
  <si>
    <t>Tuolumne County Total: 1</t>
  </si>
  <si>
    <t>Conejo Valley Unified</t>
  </si>
  <si>
    <t>Fillmore Unified</t>
  </si>
  <si>
    <t>Oak Park Unified</t>
  </si>
  <si>
    <t>Oxnard Union High</t>
  </si>
  <si>
    <t>Santa Paula Unified</t>
  </si>
  <si>
    <t>Simi Valley Unified</t>
  </si>
  <si>
    <t>Ventura Unified</t>
  </si>
  <si>
    <t>Thousand Oaks High</t>
  </si>
  <si>
    <t>Moorpark High</t>
  </si>
  <si>
    <t>Oak Park High</t>
  </si>
  <si>
    <t xml:space="preserve">Adolfo Camarillo High; Channel Islands High; Hueneme High; Oxnard High; Pacifica High; Rancho Campana High; Rio Mesa High </t>
  </si>
  <si>
    <t>Santa Paula High</t>
  </si>
  <si>
    <t>Royal High; Santa Susana High; Simi Valley High</t>
  </si>
  <si>
    <t>Ventura County Total: 8</t>
  </si>
  <si>
    <t>Davis Joint Unified</t>
  </si>
  <si>
    <t>Esparto Unified</t>
  </si>
  <si>
    <t>Winters Joint Unified</t>
  </si>
  <si>
    <t>Woodland Joint Unified</t>
  </si>
  <si>
    <t>Yolo County Total: 5</t>
  </si>
  <si>
    <t>Davis School for Independent Study; Davis Senior High; Leonardo DaVinci High</t>
  </si>
  <si>
    <t>Esparto High</t>
  </si>
  <si>
    <t>River City High</t>
  </si>
  <si>
    <t>Winters High</t>
  </si>
  <si>
    <t>Pioneer High; Woodland Senior High</t>
  </si>
  <si>
    <t>Wheatland Union High</t>
  </si>
  <si>
    <t>Yuba County Total: 1</t>
  </si>
  <si>
    <t>995</t>
  </si>
  <si>
    <t>Asawa (Ruth) SOTA High; Balboa High; Burton (Phillip and Sala) High; Galileo High; Independence High; Jordan (June) High; Lincoln (Abraham) High; Lowell High; Marshall (Thurgood) High; Mission High; O'Connell (John) High; The Academy - SF @ McAteer High; Wallenberg (Raoul) High; Washingon (George) High; Wells (Ida B) High</t>
  </si>
  <si>
    <t>State Seal of Biliteracy: 2017-18 List of Participating Schools and Districts</t>
  </si>
  <si>
    <t>Sacramento</t>
  </si>
  <si>
    <t xml:space="preserve">Marysville Joint Unified </t>
  </si>
  <si>
    <t>Lindhurst High; Marysville Charter Academy of the Arts</t>
  </si>
  <si>
    <t xml:space="preserve">Rim of the World Unified </t>
  </si>
  <si>
    <t>Rim of the World Senior High</t>
  </si>
  <si>
    <t>Carpinteria Unified</t>
  </si>
  <si>
    <t>Carpinteria High</t>
  </si>
  <si>
    <t>California Department of Education</t>
  </si>
  <si>
    <t>Milpitas Unified School District</t>
  </si>
  <si>
    <t>Milpitas High School</t>
  </si>
  <si>
    <t>Inyo</t>
  </si>
  <si>
    <t>Lone Pine Unified</t>
  </si>
  <si>
    <t>Corona High; Eleanor Roosevelt High School</t>
  </si>
  <si>
    <t>April, 2019</t>
  </si>
  <si>
    <t>Lone Pine High</t>
  </si>
  <si>
    <t>Inyo County Total: 1</t>
  </si>
  <si>
    <t>Grand Total: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</si>
</sst>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6"/>
      <name val="Arial"/>
      <family val="2"/>
    </font>
    <font>
      <b/>
      <sz val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5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slantDashDot">
        <color rgb="FF002060"/>
      </left>
      <right/>
      <top/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5" borderId="0" xfId="1" applyFill="1" applyAlignment="1">
      <alignment vertical="center"/>
    </xf>
    <xf numFmtId="0" fontId="1" fillId="4" borderId="0" xfId="2" applyFill="1" applyAlignment="1">
      <alignment vertical="center"/>
    </xf>
    <xf numFmtId="3" fontId="0" fillId="0" borderId="0" xfId="0" applyNumberFormat="1" applyAlignment="1">
      <alignment horizontal="right"/>
    </xf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right" wrapText="1"/>
    </xf>
    <xf numFmtId="0" fontId="0" fillId="6" borderId="3" xfId="0" applyFill="1" applyBorder="1"/>
    <xf numFmtId="0" fontId="0" fillId="6" borderId="1" xfId="0" applyFill="1" applyBorder="1"/>
    <xf numFmtId="3" fontId="0" fillId="0" borderId="0" xfId="0" applyNumberFormat="1" applyAlignment="1">
      <alignment vertical="center"/>
    </xf>
    <xf numFmtId="0" fontId="0" fillId="0" borderId="4" xfId="0" applyBorder="1" applyAlignment="1">
      <alignment vertical="center" wrapText="1"/>
    </xf>
    <xf numFmtId="3" fontId="0" fillId="0" borderId="4" xfId="0" applyNumberFormat="1" applyBorder="1"/>
    <xf numFmtId="0" fontId="3" fillId="0" borderId="0" xfId="3"/>
    <xf numFmtId="0" fontId="2" fillId="0" borderId="0" xfId="4"/>
  </cellXfs>
  <cellStyles count="5">
    <cellStyle name="20% - Accent1" xfId="1" builtinId="30"/>
    <cellStyle name="40% - Accent1" xfId="2" builtinId="31"/>
    <cellStyle name="Heading 1" xfId="3" builtinId="16" customBuiltin="1"/>
    <cellStyle name="Heading 2" xfId="4" builtinId="17" customBuiltin="1"/>
    <cellStyle name="Normal" xfId="0" builtinId="0"/>
  </cellStyles>
  <dxfs count="498"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  <border diagonalUp="0" diagonalDown="0">
        <left style="slantDashDot">
          <color rgb="FF002060"/>
        </left>
        <right/>
        <top/>
        <bottom/>
        <vertical/>
        <horizontal/>
      </border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00000000}" name="Table30" displayName="Table30" ref="A4:N58" totalsRowCount="1" headerRowDxfId="497">
  <autoFilter ref="A4:N57" xr:uid="{00000000-0009-0000-0100-00001E000000}"/>
  <tableColumns count="14">
    <tableColumn id="1" xr3:uid="{00000000-0010-0000-0000-000001000000}" name="Participating Counties" totalsRowLabel="Grand Total: 53"/>
    <tableColumn id="2" xr3:uid="{00000000-0010-0000-0000-000002000000}" name="Participating Schools Total" totalsRowLabel="995" dataDxfId="496" totalsRowDxfId="495"/>
    <tableColumn id="3" xr3:uid="{00000000-0010-0000-0000-000003000000}" name="American Sign Language Total" totalsRowFunction="custom" dataDxfId="494" totalsRowDxfId="493">
      <totalsRowFormula>SUM(Table30[American Sign Language Total])</totalsRowFormula>
    </tableColumn>
    <tableColumn id="4" xr3:uid="{00000000-0010-0000-0000-000004000000}" name="Cantonese Total" totalsRowFunction="custom" dataDxfId="492" totalsRowDxfId="491">
      <totalsRowFormula>SUM(Table30[Cantonese Total])</totalsRowFormula>
    </tableColumn>
    <tableColumn id="5" xr3:uid="{00000000-0010-0000-0000-000005000000}" name="French Total" totalsRowFunction="custom" dataDxfId="490" totalsRowDxfId="489">
      <totalsRowFormula>SUM(Table30[French Total])</totalsRowFormula>
    </tableColumn>
    <tableColumn id="6" xr3:uid="{00000000-0010-0000-0000-000006000000}" name="German Total" totalsRowFunction="custom" dataDxfId="488" totalsRowDxfId="487">
      <totalsRowFormula>SUM(Table30[German Total])</totalsRowFormula>
    </tableColumn>
    <tableColumn id="7" xr3:uid="{00000000-0010-0000-0000-000007000000}" name=" Japanese Total" totalsRowFunction="custom" dataDxfId="486" totalsRowDxfId="485">
      <totalsRowFormula>SUM(Table30[[ Japanese Total]])</totalsRowFormula>
    </tableColumn>
    <tableColumn id="8" xr3:uid="{00000000-0010-0000-0000-000008000000}" name="Korean Total" totalsRowFunction="custom" dataDxfId="484" totalsRowDxfId="483">
      <totalsRowFormula>SUM(Table30[Korean Total])</totalsRowFormula>
    </tableColumn>
    <tableColumn id="9" xr3:uid="{00000000-0010-0000-0000-000009000000}" name="Latin Total" totalsRowFunction="custom" dataDxfId="482" totalsRowDxfId="481">
      <totalsRowFormula>SUM(Table30[Latin Total])</totalsRowFormula>
    </tableColumn>
    <tableColumn id="10" xr3:uid="{00000000-0010-0000-0000-00000A000000}" name="Mandarin Total" totalsRowFunction="custom" dataDxfId="480" totalsRowDxfId="479">
      <totalsRowFormula>SUM(Table30[Mandarin Total])</totalsRowFormula>
    </tableColumn>
    <tableColumn id="11" xr3:uid="{00000000-0010-0000-0000-00000B000000}" name="Spanish Total" totalsRowFunction="custom" dataDxfId="478" totalsRowDxfId="477">
      <totalsRowFormula>SUM(Table30[Spanish Total])</totalsRowFormula>
    </tableColumn>
    <tableColumn id="12" xr3:uid="{00000000-0010-0000-0000-00000C000000}" name="Vietnamese Total" totalsRowFunction="custom" dataDxfId="476" totalsRowDxfId="475">
      <totalsRowFormula>SUM(Table30[Vietnamese Total])</totalsRowFormula>
    </tableColumn>
    <tableColumn id="13" xr3:uid="{00000000-0010-0000-0000-00000D000000}" name="Other Total" totalsRowFunction="custom" dataDxfId="474" totalsRowDxfId="473">
      <totalsRowFormula>SUM(Table30[Other Total])</totalsRowFormula>
    </tableColumn>
    <tableColumn id="15" xr3:uid="{00000000-0010-0000-0000-00000F000000}" name="Seal Total" totalsRowFunction="custom" dataDxfId="472" totalsRowDxfId="471">
      <calculatedColumnFormula>SUM(Table30[[#This Row],[American Sign Language Total]:[Other Total]])</calculatedColumnFormula>
      <totalsRowFormula>SUM(Table30[Seal Total])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that participated in the 2017-18 State Seal of Biliteracy program for every county and also includes language totals for every county.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10" displayName="Table10" ref="A2:M17" totalsRowCount="1" headerRowDxfId="402">
  <autoFilter ref="A2:M16" xr:uid="{00000000-0009-0000-0100-00000A000000}"/>
  <tableColumns count="13">
    <tableColumn id="1" xr3:uid="{00000000-0010-0000-0900-000001000000}" name="Participating Districts" totalsRowLabel="Fresno County Total: 14" dataDxfId="401"/>
    <tableColumn id="2" xr3:uid="{00000000-0010-0000-0900-000002000000}" name="Participating Schools" totalsRowLabel="33" totalsRowDxfId="400"/>
    <tableColumn id="3" xr3:uid="{00000000-0010-0000-0900-000003000000}" name="American Sign Language Total" totalsRowFunction="custom" totalsRowDxfId="399">
      <totalsRowFormula>SUM(Table10[American Sign Language Total])</totalsRowFormula>
    </tableColumn>
    <tableColumn id="4" xr3:uid="{00000000-0010-0000-0900-000004000000}" name="Cantonese Total" totalsRowFunction="custom" totalsRowDxfId="398">
      <totalsRowFormula>SUM(Table10[Cantonese Total])</totalsRowFormula>
    </tableColumn>
    <tableColumn id="5" xr3:uid="{00000000-0010-0000-0900-000005000000}" name="French Total" totalsRowFunction="custom" totalsRowDxfId="397">
      <totalsRowFormula>SUM(Table10[French Total])</totalsRowFormula>
    </tableColumn>
    <tableColumn id="6" xr3:uid="{00000000-0010-0000-0900-000006000000}" name="German Total" totalsRowFunction="custom" totalsRowDxfId="396">
      <totalsRowFormula>SUM(Table10[German Total])</totalsRowFormula>
    </tableColumn>
    <tableColumn id="7" xr3:uid="{00000000-0010-0000-0900-000007000000}" name=" Japanese Total" totalsRowFunction="custom" totalsRowDxfId="395">
      <totalsRowFormula>SUM(Table10[[ Japanese Total]])</totalsRowFormula>
    </tableColumn>
    <tableColumn id="8" xr3:uid="{00000000-0010-0000-0900-000008000000}" name="Korean Total" totalsRowFunction="custom" totalsRowDxfId="394">
      <totalsRowFormula>SUM(Table10[Korean Total])</totalsRowFormula>
    </tableColumn>
    <tableColumn id="9" xr3:uid="{00000000-0010-0000-0900-000009000000}" name="Latin Total" totalsRowFunction="custom" totalsRowDxfId="393">
      <totalsRowFormula>SUM(Table10[Latin Total])</totalsRowFormula>
    </tableColumn>
    <tableColumn id="10" xr3:uid="{00000000-0010-0000-0900-00000A000000}" name="Mandarin Total" totalsRowFunction="custom" totalsRowDxfId="392">
      <totalsRowFormula>SUM(Table10[Mandarin Total])</totalsRowFormula>
    </tableColumn>
    <tableColumn id="11" xr3:uid="{00000000-0010-0000-0900-00000B000000}" name="Spanish Total" totalsRowFunction="custom" totalsRowDxfId="391">
      <totalsRowFormula>SUM(Table10[Spanish Total])</totalsRowFormula>
    </tableColumn>
    <tableColumn id="12" xr3:uid="{00000000-0010-0000-0900-00000C000000}" name="Vietnamese Total" totalsRowFunction="custom" totalsRowDxfId="390">
      <totalsRowFormula>SUM(Table10[Vietnamese Total])</totalsRowFormula>
    </tableColumn>
    <tableColumn id="13" xr3:uid="{00000000-0010-0000-0900-00000D000000}" name="Other Total" totalsRowFunction="custom" totalsRowDxfId="389">
      <totalsRowFormula>SUM(Table10[Other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Fresno county and also includes language totals.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A000000}" name="Table2" displayName="Table2" ref="A2:M4" totalsRowCount="1" headerRowDxfId="388">
  <autoFilter ref="A2:M3" xr:uid="{00000000-0009-0000-0100-000002000000}"/>
  <tableColumns count="13">
    <tableColumn id="1" xr3:uid="{00000000-0010-0000-0A00-000001000000}" name="Participating Districts" totalsRowLabel="Glenn County Total: 1"/>
    <tableColumn id="2" xr3:uid="{00000000-0010-0000-0A00-000002000000}" name="Participating Schools" totalsRowLabel="1" totalsRowDxfId="387"/>
    <tableColumn id="3" xr3:uid="{00000000-0010-0000-0A00-000003000000}" name="American Sign Language Total" totalsRowFunction="custom">
      <totalsRowFormula>SUM(Table2[American Sign Language Total])</totalsRowFormula>
    </tableColumn>
    <tableColumn id="4" xr3:uid="{00000000-0010-0000-0A00-000004000000}" name="Cantonese Total" totalsRowFunction="custom">
      <totalsRowFormula>SUM(Table2[Cantonese Total])</totalsRowFormula>
    </tableColumn>
    <tableColumn id="5" xr3:uid="{00000000-0010-0000-0A00-000005000000}" name="French Total" totalsRowFunction="custom">
      <totalsRowFormula>SUM(Table2[French Total])</totalsRowFormula>
    </tableColumn>
    <tableColumn id="6" xr3:uid="{00000000-0010-0000-0A00-000006000000}" name="German Total" totalsRowFunction="custom">
      <totalsRowFormula>SUM(Table2[German Total])</totalsRowFormula>
    </tableColumn>
    <tableColumn id="7" xr3:uid="{00000000-0010-0000-0A00-000007000000}" name=" Japanese Total" totalsRowFunction="custom">
      <totalsRowFormula>SUM(Table2[[ Japanese Total]])</totalsRowFormula>
    </tableColumn>
    <tableColumn id="8" xr3:uid="{00000000-0010-0000-0A00-000008000000}" name="Korean Total" totalsRowFunction="custom">
      <totalsRowFormula>SUM(Table2[Korean Total])</totalsRowFormula>
    </tableColumn>
    <tableColumn id="9" xr3:uid="{00000000-0010-0000-0A00-000009000000}" name="Latin Total" totalsRowFunction="custom">
      <totalsRowFormula>SUM(Table2[Latin Total])</totalsRowFormula>
    </tableColumn>
    <tableColumn id="10" xr3:uid="{00000000-0010-0000-0A00-00000A000000}" name="Mandarin Total" totalsRowFunction="custom">
      <totalsRowFormula>SUM(Table2[Mandarin Total])</totalsRowFormula>
    </tableColumn>
    <tableColumn id="11" xr3:uid="{00000000-0010-0000-0A00-00000B000000}" name="Spanish Total" totalsRowFunction="custom">
      <totalsRowFormula>SUM(Table2[Spanish Total])</totalsRowFormula>
    </tableColumn>
    <tableColumn id="12" xr3:uid="{00000000-0010-0000-0A00-00000C000000}" name="Vietnamese Total" totalsRowFunction="custom">
      <totalsRowFormula>SUM(Table2[Vietnamese Total])</totalsRowFormula>
    </tableColumn>
    <tableColumn id="13" xr3:uid="{00000000-0010-0000-0A00-00000D000000}" name="Other Total" totalsRowFunction="custom">
      <totalsRowFormula>SUM(Table2[Other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Glenn county and also includes language totals.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B000000}" name="Table11" displayName="Table11" ref="A2:M7" totalsRowCount="1" headerRowDxfId="386">
  <autoFilter ref="A2:M6" xr:uid="{00000000-0009-0000-0100-00000B000000}"/>
  <tableColumns count="13">
    <tableColumn id="1" xr3:uid="{00000000-0010-0000-0B00-000001000000}" name="Participating Districts" totalsRowLabel="Humboldt County Total: 4"/>
    <tableColumn id="2" xr3:uid="{00000000-0010-0000-0B00-000002000000}" name="Participating Schools" totalsRowLabel="6" totalsRowDxfId="385"/>
    <tableColumn id="3" xr3:uid="{00000000-0010-0000-0B00-000003000000}" name="American Sign Language Total" totalsRowFunction="custom">
      <totalsRowFormula>SUM(Table11[American Sign Language Total])</totalsRowFormula>
    </tableColumn>
    <tableColumn id="4" xr3:uid="{00000000-0010-0000-0B00-000004000000}" name="Cantonese Total" totalsRowFunction="custom">
      <totalsRowFormula>SUM(Table11[Cantonese Total])</totalsRowFormula>
    </tableColumn>
    <tableColumn id="5" xr3:uid="{00000000-0010-0000-0B00-000005000000}" name="French Total" totalsRowFunction="custom">
      <totalsRowFormula>SUM(Table11[French Total])</totalsRowFormula>
    </tableColumn>
    <tableColumn id="6" xr3:uid="{00000000-0010-0000-0B00-000006000000}" name="German Total" totalsRowFunction="custom">
      <totalsRowFormula>SUM(Table11[German Total])</totalsRowFormula>
    </tableColumn>
    <tableColumn id="7" xr3:uid="{00000000-0010-0000-0B00-000007000000}" name=" Japanese Total" totalsRowFunction="custom">
      <totalsRowFormula>SUM(Table11[[ Japanese Total]])</totalsRowFormula>
    </tableColumn>
    <tableColumn id="8" xr3:uid="{00000000-0010-0000-0B00-000008000000}" name="Korean Total" totalsRowFunction="custom">
      <totalsRowFormula>SUM(Table11[Korean Total])</totalsRowFormula>
    </tableColumn>
    <tableColumn id="9" xr3:uid="{00000000-0010-0000-0B00-000009000000}" name="Latin Total" totalsRowFunction="custom">
      <totalsRowFormula>SUM(Table11[Latin Total])</totalsRowFormula>
    </tableColumn>
    <tableColumn id="10" xr3:uid="{00000000-0010-0000-0B00-00000A000000}" name="Mandarin Total" totalsRowFunction="custom">
      <totalsRowFormula>SUM(Table11[Mandarin Total])</totalsRowFormula>
    </tableColumn>
    <tableColumn id="11" xr3:uid="{00000000-0010-0000-0B00-00000B000000}" name="Spanish Total" totalsRowFunction="custom">
      <totalsRowFormula>SUM(Table11[Spanish Total])</totalsRowFormula>
    </tableColumn>
    <tableColumn id="12" xr3:uid="{00000000-0010-0000-0B00-00000C000000}" name="Vietnamese Total" totalsRowFunction="custom">
      <totalsRowFormula>SUM(Table11[Vietnamese Total])</totalsRowFormula>
    </tableColumn>
    <tableColumn id="13" xr3:uid="{00000000-0010-0000-0B00-00000D000000}" name="Other Total" totalsRowFunction="custom">
      <totalsRowFormula>SUM(Table11[Other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Humboldt county and also includes language totals.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C000000}" name="Table12" displayName="Table12" ref="A2:M8" totalsRowCount="1" headerRowDxfId="384">
  <autoFilter ref="A2:M7" xr:uid="{00000000-0009-0000-0100-00000C000000}"/>
  <tableColumns count="13">
    <tableColumn id="1" xr3:uid="{00000000-0010-0000-0C00-000001000000}" name="Participating Districts" totalsRowLabel="Imperial County Total: 5" dataDxfId="383"/>
    <tableColumn id="2" xr3:uid="{00000000-0010-0000-0C00-000002000000}" name="Participating Schools" totalsRowLabel="6" totalsRowDxfId="382"/>
    <tableColumn id="3" xr3:uid="{00000000-0010-0000-0C00-000003000000}" name="American Sign Language Total" totalsRowFunction="custom">
      <totalsRowFormula>SUM(Table12[American Sign Language Total])</totalsRowFormula>
    </tableColumn>
    <tableColumn id="4" xr3:uid="{00000000-0010-0000-0C00-000004000000}" name="Cantonese Total" totalsRowFunction="custom">
      <totalsRowFormula>SUM(Table12[Cantonese Total])</totalsRowFormula>
    </tableColumn>
    <tableColumn id="5" xr3:uid="{00000000-0010-0000-0C00-000005000000}" name="French Total" totalsRowFunction="custom">
      <totalsRowFormula>SUM(Table12[French Total])</totalsRowFormula>
    </tableColumn>
    <tableColumn id="6" xr3:uid="{00000000-0010-0000-0C00-000006000000}" name="German Total" totalsRowFunction="custom">
      <totalsRowFormula>SUM(Table12[German Total])</totalsRowFormula>
    </tableColumn>
    <tableColumn id="7" xr3:uid="{00000000-0010-0000-0C00-000007000000}" name=" Japanese Total" totalsRowFunction="custom">
      <totalsRowFormula>SUM(Table12[[ Japanese Total]])</totalsRowFormula>
    </tableColumn>
    <tableColumn id="8" xr3:uid="{00000000-0010-0000-0C00-000008000000}" name="Korean Total" totalsRowFunction="custom">
      <totalsRowFormula>SUM(Table12[Korean Total])</totalsRowFormula>
    </tableColumn>
    <tableColumn id="9" xr3:uid="{00000000-0010-0000-0C00-000009000000}" name="Latin Total" totalsRowFunction="custom">
      <totalsRowFormula>SUM(Table12[Latin Total])</totalsRowFormula>
    </tableColumn>
    <tableColumn id="10" xr3:uid="{00000000-0010-0000-0C00-00000A000000}" name="Mandarin Total" totalsRowFunction="custom">
      <totalsRowFormula>SUM(Table12[Mandarin Total])</totalsRowFormula>
    </tableColumn>
    <tableColumn id="11" xr3:uid="{00000000-0010-0000-0C00-00000B000000}" name="Spanish Total" totalsRowFunction="custom">
      <totalsRowFormula>SUM(Table12[Spanish Total])</totalsRowFormula>
    </tableColumn>
    <tableColumn id="12" xr3:uid="{00000000-0010-0000-0C00-00000C000000}" name="Vietnamese Total" totalsRowFunction="custom">
      <totalsRowFormula>SUM(Table12[Vietnamese Total])</totalsRowFormula>
    </tableColumn>
    <tableColumn id="13" xr3:uid="{00000000-0010-0000-0C00-00000D000000}" name="Other Total" totalsRowFunction="custom">
      <totalsRowFormula>SUM(Table12[Other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Imperial county and also includes language totals.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00000000-000C-0000-FFFF-FFFF0D000000}" name="Table1255" displayName="Table1255" ref="A2:M4" totalsRowCount="1" headerRowDxfId="381">
  <autoFilter ref="A2:M3" xr:uid="{00000000-0009-0000-0100-000036000000}"/>
  <tableColumns count="13">
    <tableColumn id="1" xr3:uid="{00000000-0010-0000-0D00-000001000000}" name="Participating Districts" totalsRowLabel="Inyo County Total: 1" dataDxfId="380"/>
    <tableColumn id="2" xr3:uid="{00000000-0010-0000-0D00-000002000000}" name="Participating Schools" totalsRowLabel="1" totalsRowDxfId="379"/>
    <tableColumn id="3" xr3:uid="{00000000-0010-0000-0D00-000003000000}" name="American Sign Language Total" totalsRowFunction="custom">
      <totalsRowFormula>SUM(Table1255[American Sign Language Total])</totalsRowFormula>
    </tableColumn>
    <tableColumn id="4" xr3:uid="{00000000-0010-0000-0D00-000004000000}" name="Cantonese Total" totalsRowFunction="custom">
      <totalsRowFormula>SUM(Table1255[Cantonese Total])</totalsRowFormula>
    </tableColumn>
    <tableColumn id="5" xr3:uid="{00000000-0010-0000-0D00-000005000000}" name="French Total" totalsRowFunction="custom">
      <totalsRowFormula>SUM(Table1255[French Total])</totalsRowFormula>
    </tableColumn>
    <tableColumn id="6" xr3:uid="{00000000-0010-0000-0D00-000006000000}" name="German Total" totalsRowFunction="custom">
      <totalsRowFormula>SUM(Table1255[German Total])</totalsRowFormula>
    </tableColumn>
    <tableColumn id="7" xr3:uid="{00000000-0010-0000-0D00-000007000000}" name=" Japanese Total" totalsRowFunction="custom">
      <totalsRowFormula>SUM(Table1255[[ Japanese Total]])</totalsRowFormula>
    </tableColumn>
    <tableColumn id="8" xr3:uid="{00000000-0010-0000-0D00-000008000000}" name="Korean Total" totalsRowFunction="custom">
      <totalsRowFormula>SUM(Table1255[Korean Total])</totalsRowFormula>
    </tableColumn>
    <tableColumn id="9" xr3:uid="{00000000-0010-0000-0D00-000009000000}" name="Latin Total" totalsRowFunction="custom">
      <totalsRowFormula>SUM(Table1255[Latin Total])</totalsRowFormula>
    </tableColumn>
    <tableColumn id="10" xr3:uid="{00000000-0010-0000-0D00-00000A000000}" name="Mandarin Total" totalsRowFunction="custom">
      <totalsRowFormula>SUM(Table1255[Mandarin Total])</totalsRowFormula>
    </tableColumn>
    <tableColumn id="11" xr3:uid="{00000000-0010-0000-0D00-00000B000000}" name="Spanish Total" totalsRowFunction="custom">
      <totalsRowFormula>SUM(Table1255[Spanish Total])</totalsRowFormula>
    </tableColumn>
    <tableColumn id="12" xr3:uid="{00000000-0010-0000-0D00-00000C000000}" name="Vietnamese Total" totalsRowFunction="custom">
      <totalsRowFormula>SUM(Table1255[Vietnamese Total])</totalsRowFormula>
    </tableColumn>
    <tableColumn id="13" xr3:uid="{00000000-0010-0000-0D00-00000D000000}" name="Other Total" totalsRowFunction="custom">
      <totalsRowFormula>SUM(Table1255[Other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Imperial county and also includes language totals.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E000000}" name="Table13" displayName="Table13" ref="A2:M9" totalsRowCount="1" headerRowDxfId="378">
  <autoFilter ref="A2:M8" xr:uid="{00000000-0009-0000-0100-00000D000000}"/>
  <tableColumns count="13">
    <tableColumn id="1" xr3:uid="{00000000-0010-0000-0E00-000001000000}" name="Participating Districts" totalsRowLabel="Kern County Total: 6" dataDxfId="377"/>
    <tableColumn id="2" xr3:uid="{00000000-0010-0000-0E00-000002000000}" name="Participating Schools" totalsRowLabel="25" dataDxfId="376" totalsRowDxfId="375"/>
    <tableColumn id="3" xr3:uid="{00000000-0010-0000-0E00-000003000000}" name="American Sign Language Total" totalsRowFunction="custom">
      <totalsRowFormula>SUM(Table13[American Sign Language Total])</totalsRowFormula>
    </tableColumn>
    <tableColumn id="4" xr3:uid="{00000000-0010-0000-0E00-000004000000}" name="Cantonese Total" totalsRowFunction="custom">
      <totalsRowFormula>SUM(Table13[Cantonese Total])</totalsRowFormula>
    </tableColumn>
    <tableColumn id="5" xr3:uid="{00000000-0010-0000-0E00-000005000000}" name="French Total" totalsRowFunction="custom">
      <totalsRowFormula>SUM(Table13[French Total])</totalsRowFormula>
    </tableColumn>
    <tableColumn id="6" xr3:uid="{00000000-0010-0000-0E00-000006000000}" name="German Total" totalsRowFunction="custom">
      <totalsRowFormula>SUM(Table13[German Total])</totalsRowFormula>
    </tableColumn>
    <tableColumn id="7" xr3:uid="{00000000-0010-0000-0E00-000007000000}" name=" Japanese Total" totalsRowFunction="custom">
      <totalsRowFormula>SUM(Table13[[ Japanese Total]])</totalsRowFormula>
    </tableColumn>
    <tableColumn id="8" xr3:uid="{00000000-0010-0000-0E00-000008000000}" name="Korean Total" totalsRowFunction="custom">
      <totalsRowFormula>SUM(Table13[Korean Total])</totalsRowFormula>
    </tableColumn>
    <tableColumn id="9" xr3:uid="{00000000-0010-0000-0E00-000009000000}" name="Latin Total" totalsRowFunction="custom">
      <totalsRowFormula>SUM(Table13[Latin Total])</totalsRowFormula>
    </tableColumn>
    <tableColumn id="10" xr3:uid="{00000000-0010-0000-0E00-00000A000000}" name="Mandarin Total" totalsRowFunction="custom">
      <totalsRowFormula>SUM(Table13[Mandarin Total])</totalsRowFormula>
    </tableColumn>
    <tableColumn id="11" xr3:uid="{00000000-0010-0000-0E00-00000B000000}" name="Spanish Total" totalsRowFunction="custom">
      <totalsRowFormula>SUM(Table13[Spanish Total])</totalsRowFormula>
    </tableColumn>
    <tableColumn id="12" xr3:uid="{00000000-0010-0000-0E00-00000C000000}" name="Vietnamese Total" totalsRowFunction="custom">
      <totalsRowFormula>SUM(Table13[Vietnamese Total])</totalsRowFormula>
    </tableColumn>
    <tableColumn id="13" xr3:uid="{00000000-0010-0000-0E00-00000D000000}" name="Other Total" totalsRowFunction="custom">
      <totalsRowFormula>SUM(Table13[Other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Kern county and also includes language totals.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F000000}" name="Table14" displayName="Table14" ref="A2:M6" totalsRowCount="1" headerRowDxfId="374">
  <autoFilter ref="A2:M5" xr:uid="{00000000-0009-0000-0100-00000E000000}"/>
  <tableColumns count="13">
    <tableColumn id="1" xr3:uid="{00000000-0010-0000-0F00-000001000000}" name="Participating Districts" totalsRowLabel="Kings County Total: 3"/>
    <tableColumn id="2" xr3:uid="{00000000-0010-0000-0F00-000002000000}" name="Participating Schools" totalsRowLabel="5" dataDxfId="373" totalsRowDxfId="372"/>
    <tableColumn id="3" xr3:uid="{00000000-0010-0000-0F00-000003000000}" name="American Sign Language Total" totalsRowFunction="custom">
      <totalsRowFormula>SUM(Table14[American Sign Language Total])</totalsRowFormula>
    </tableColumn>
    <tableColumn id="4" xr3:uid="{00000000-0010-0000-0F00-000004000000}" name="Cantonese Total" totalsRowFunction="custom">
      <totalsRowFormula>SUM(Table14[Cantonese Total])</totalsRowFormula>
    </tableColumn>
    <tableColumn id="5" xr3:uid="{00000000-0010-0000-0F00-000005000000}" name="French Total" totalsRowFunction="custom">
      <totalsRowFormula>SUM(Table14[French Total])</totalsRowFormula>
    </tableColumn>
    <tableColumn id="6" xr3:uid="{00000000-0010-0000-0F00-000006000000}" name="German Total" totalsRowFunction="custom">
      <totalsRowFormula>SUM(Table14[German Total])</totalsRowFormula>
    </tableColumn>
    <tableColumn id="7" xr3:uid="{00000000-0010-0000-0F00-000007000000}" name=" Japanese Total" totalsRowFunction="custom">
      <totalsRowFormula>SUM(Table14[[ Japanese Total]])</totalsRowFormula>
    </tableColumn>
    <tableColumn id="8" xr3:uid="{00000000-0010-0000-0F00-000008000000}" name="Korean Total" totalsRowFunction="custom">
      <totalsRowFormula>SUM(Table14[Korean Total])</totalsRowFormula>
    </tableColumn>
    <tableColumn id="9" xr3:uid="{00000000-0010-0000-0F00-000009000000}" name="Latin Total" totalsRowFunction="custom">
      <totalsRowFormula>SUM(Table14[Latin Total])</totalsRowFormula>
    </tableColumn>
    <tableColumn id="10" xr3:uid="{00000000-0010-0000-0F00-00000A000000}" name="Mandarin Total" totalsRowFunction="custom">
      <totalsRowFormula>SUM(Table14[Mandarin Total])</totalsRowFormula>
    </tableColumn>
    <tableColumn id="11" xr3:uid="{00000000-0010-0000-0F00-00000B000000}" name="Spanish Total" totalsRowFunction="custom">
      <totalsRowFormula>SUM(Table14[Spanish Total])</totalsRowFormula>
    </tableColumn>
    <tableColumn id="12" xr3:uid="{00000000-0010-0000-0F00-00000C000000}" name="Vietnamese Total" totalsRowFunction="custom">
      <totalsRowFormula>SUM(Table14[Vietnamese Total])</totalsRowFormula>
    </tableColumn>
    <tableColumn id="13" xr3:uid="{00000000-0010-0000-0F00-00000D000000}" name="Other Total" totalsRowFunction="custom">
      <totalsRowFormula>SUM(Table14[Other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Kings county and also includes language totals.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10000000}" name="Table15" displayName="Table15" ref="A2:M7" totalsRowCount="1" headerRowDxfId="371">
  <autoFilter ref="A2:M6" xr:uid="{00000000-0009-0000-0100-00000F000000}"/>
  <tableColumns count="13">
    <tableColumn id="1" xr3:uid="{00000000-0010-0000-1000-000001000000}" name="Participating Districts" totalsRowLabel="Lake County Total: 4"/>
    <tableColumn id="2" xr3:uid="{00000000-0010-0000-1000-000002000000}" name="Participating Schools" totalsRowLabel="4" totalsRowDxfId="370"/>
    <tableColumn id="3" xr3:uid="{00000000-0010-0000-1000-000003000000}" name="American Sign Language Total" totalsRowFunction="custom">
      <totalsRowFormula>SUM(Table15[American Sign Language Total])</totalsRowFormula>
    </tableColumn>
    <tableColumn id="4" xr3:uid="{00000000-0010-0000-1000-000004000000}" name="Cantonese Total" totalsRowFunction="custom">
      <totalsRowFormula>SUM(Table15[Cantonese Total])</totalsRowFormula>
    </tableColumn>
    <tableColumn id="5" xr3:uid="{00000000-0010-0000-1000-000005000000}" name="French Total" totalsRowFunction="custom">
      <totalsRowFormula>SUM(Table15[French Total])</totalsRowFormula>
    </tableColumn>
    <tableColumn id="6" xr3:uid="{00000000-0010-0000-1000-000006000000}" name="German Total" totalsRowFunction="custom">
      <totalsRowFormula>SUM(Table15[German Total])</totalsRowFormula>
    </tableColumn>
    <tableColumn id="7" xr3:uid="{00000000-0010-0000-1000-000007000000}" name=" Japanese Total" totalsRowFunction="custom">
      <totalsRowFormula>SUM(Table15[[ Japanese Total]])</totalsRowFormula>
    </tableColumn>
    <tableColumn id="8" xr3:uid="{00000000-0010-0000-1000-000008000000}" name="Korean Total" totalsRowFunction="custom">
      <totalsRowFormula>SUM(Table15[Korean Total])</totalsRowFormula>
    </tableColumn>
    <tableColumn id="9" xr3:uid="{00000000-0010-0000-1000-000009000000}" name="Latin Total" totalsRowFunction="custom">
      <totalsRowFormula>SUM(Table15[Latin Total])</totalsRowFormula>
    </tableColumn>
    <tableColumn id="10" xr3:uid="{00000000-0010-0000-1000-00000A000000}" name="Mandarin Total" totalsRowFunction="custom">
      <totalsRowFormula>SUM(Table15[Mandarin Total])</totalsRowFormula>
    </tableColumn>
    <tableColumn id="11" xr3:uid="{00000000-0010-0000-1000-00000B000000}" name="Spanish Total" totalsRowFunction="custom">
      <totalsRowFormula>SUM(Table15[Spanish Total])</totalsRowFormula>
    </tableColumn>
    <tableColumn id="12" xr3:uid="{00000000-0010-0000-1000-00000C000000}" name="Vietnamese Total" totalsRowFunction="custom">
      <totalsRowFormula>SUM(Table15[Vietnamese Total])</totalsRowFormula>
    </tableColumn>
    <tableColumn id="13" xr3:uid="{00000000-0010-0000-1000-00000D000000}" name="Other Total" totalsRowFunction="custom">
      <totalsRowFormula>SUM(Table15[Other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Lake county and also includes language totals.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11000000}" name="Table16" displayName="Table16" ref="A2:M4" totalsRowCount="1">
  <autoFilter ref="A2:M3" xr:uid="{00000000-0009-0000-0100-000010000000}"/>
  <tableColumns count="13">
    <tableColumn id="1" xr3:uid="{00000000-0010-0000-1100-000001000000}" name="Participating Districts" totalsRowLabel="Lassen County Total: 1"/>
    <tableColumn id="2" xr3:uid="{00000000-0010-0000-1100-000002000000}" name="Participating Schools" totalsRowLabel="1" totalsRowDxfId="369"/>
    <tableColumn id="3" xr3:uid="{00000000-0010-0000-1100-000003000000}" name="American Sign Language Total" totalsRowFunction="custom">
      <totalsRowFormula>SUM(Table16[American Sign Language Total])</totalsRowFormula>
    </tableColumn>
    <tableColumn id="4" xr3:uid="{00000000-0010-0000-1100-000004000000}" name="Cantonese Total" totalsRowFunction="custom">
      <totalsRowFormula>SUM(Table16[Cantonese Total])</totalsRowFormula>
    </tableColumn>
    <tableColumn id="5" xr3:uid="{00000000-0010-0000-1100-000005000000}" name="French Total" totalsRowFunction="custom">
      <totalsRowFormula>SUM(Table16[French Total])</totalsRowFormula>
    </tableColumn>
    <tableColumn id="6" xr3:uid="{00000000-0010-0000-1100-000006000000}" name="German Total" totalsRowFunction="custom">
      <totalsRowFormula>SUM(Table16[German Total])</totalsRowFormula>
    </tableColumn>
    <tableColumn id="7" xr3:uid="{00000000-0010-0000-1100-000007000000}" name=" Japanese Total" totalsRowFunction="custom">
      <totalsRowFormula>SUM(Table16[[ Japanese Total]])</totalsRowFormula>
    </tableColumn>
    <tableColumn id="8" xr3:uid="{00000000-0010-0000-1100-000008000000}" name="Korean Total" totalsRowFunction="custom">
      <totalsRowFormula>SUM(Table16[Korean Total])</totalsRowFormula>
    </tableColumn>
    <tableColumn id="9" xr3:uid="{00000000-0010-0000-1100-000009000000}" name="Latin Total" totalsRowFunction="custom">
      <totalsRowFormula>SUM(Table16[Latin Total])</totalsRowFormula>
    </tableColumn>
    <tableColumn id="10" xr3:uid="{00000000-0010-0000-1100-00000A000000}" name="Mandarin Total" totalsRowFunction="custom">
      <totalsRowFormula>SUM(Table16[Mandarin Total])</totalsRowFormula>
    </tableColumn>
    <tableColumn id="11" xr3:uid="{00000000-0010-0000-1100-00000B000000}" name="Spanish Total" totalsRowFunction="custom">
      <totalsRowFormula>SUM(Table16[Spanish Total])</totalsRowFormula>
    </tableColumn>
    <tableColumn id="12" xr3:uid="{00000000-0010-0000-1100-00000C000000}" name="Vietnamese Total" totalsRowFunction="custom">
      <totalsRowFormula>SUM(Table16[Vietnamese Total])</totalsRowFormula>
    </tableColumn>
    <tableColumn id="13" xr3:uid="{00000000-0010-0000-1100-00000D000000}" name="Other Total" totalsRowFunction="custom">
      <totalsRowFormula>SUM(Table16[Other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Lassen county and also includes language totals.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2000000}" name="Table17" displayName="Table17" ref="A2:M55" totalsRowCount="1" headerRowDxfId="368">
  <autoFilter ref="A2:M54" xr:uid="{00000000-0009-0000-0100-000011000000}"/>
  <tableColumns count="13">
    <tableColumn id="1" xr3:uid="{00000000-0010-0000-1200-000001000000}" name="Participating Districts" totalsRowLabel="Los Angeles County Total: 52" dataDxfId="367"/>
    <tableColumn id="2" xr3:uid="{00000000-0010-0000-1200-000002000000}" name="Participating Schools" totalsRowLabel="261" dataDxfId="366" totalsRowDxfId="365"/>
    <tableColumn id="3" xr3:uid="{00000000-0010-0000-1200-000003000000}" name="American Sign Language Total" totalsRowFunction="custom" dataDxfId="364" totalsRowDxfId="363">
      <totalsRowFormula>SUM(Table17[American Sign Language Total])</totalsRowFormula>
    </tableColumn>
    <tableColumn id="4" xr3:uid="{00000000-0010-0000-1200-000004000000}" name="Cantonese Total" totalsRowFunction="custom" dataDxfId="362" totalsRowDxfId="361">
      <totalsRowFormula>SUM(Table17[Cantonese Total])</totalsRowFormula>
    </tableColumn>
    <tableColumn id="5" xr3:uid="{00000000-0010-0000-1200-000005000000}" name="French Total" totalsRowFunction="custom" dataDxfId="360" totalsRowDxfId="359">
      <totalsRowFormula>SUM(Table17[French Total])</totalsRowFormula>
    </tableColumn>
    <tableColumn id="6" xr3:uid="{00000000-0010-0000-1200-000006000000}" name="German Total" totalsRowFunction="custom" dataDxfId="358" totalsRowDxfId="357">
      <totalsRowFormula>SUM(Table17[German Total])</totalsRowFormula>
    </tableColumn>
    <tableColumn id="7" xr3:uid="{00000000-0010-0000-1200-000007000000}" name=" Japanese Total" totalsRowFunction="custom" dataDxfId="356" totalsRowDxfId="355">
      <totalsRowFormula>SUM(Table17[[ Japanese Total]])</totalsRowFormula>
    </tableColumn>
    <tableColumn id="8" xr3:uid="{00000000-0010-0000-1200-000008000000}" name="Korean Total" totalsRowFunction="custom" dataDxfId="354" totalsRowDxfId="353">
      <totalsRowFormula>SUM(Table17[Korean Total])</totalsRowFormula>
    </tableColumn>
    <tableColumn id="9" xr3:uid="{00000000-0010-0000-1200-000009000000}" name="Latin Total" totalsRowFunction="custom" dataDxfId="352" totalsRowDxfId="351">
      <totalsRowFormula>SUM(Table17[Latin Total])</totalsRowFormula>
    </tableColumn>
    <tableColumn id="10" xr3:uid="{00000000-0010-0000-1200-00000A000000}" name="Mandarin Total" totalsRowFunction="custom" dataDxfId="350" totalsRowDxfId="349">
      <totalsRowFormula>SUM(Table17[Mandarin Total])</totalsRowFormula>
    </tableColumn>
    <tableColumn id="11" xr3:uid="{00000000-0010-0000-1200-00000B000000}" name="Spanish Total" totalsRowFunction="custom" dataDxfId="348" totalsRowDxfId="347">
      <totalsRowFormula>SUM(Table17[Spanish Total])</totalsRowFormula>
    </tableColumn>
    <tableColumn id="12" xr3:uid="{00000000-0010-0000-1200-00000C000000}" name="Vietnamese Total" totalsRowFunction="custom" dataDxfId="346" totalsRowDxfId="345">
      <totalsRowFormula>SUM(Table17[Vietnamese Total])</totalsRowFormula>
    </tableColumn>
    <tableColumn id="13" xr3:uid="{00000000-0010-0000-1200-00000D000000}" name="Other Total" totalsRowFunction="custom" dataDxfId="344" totalsRowDxfId="343">
      <totalsRowFormula>SUM(Table17[Other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Los Angeles county and also includes language total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2:M16" totalsRowCount="1" headerRowDxfId="470">
  <autoFilter ref="A2:M15" xr:uid="{00000000-0009-0000-0100-000001000000}"/>
  <tableColumns count="13">
    <tableColumn id="1" xr3:uid="{00000000-0010-0000-0100-000001000000}" name="Participating Districts" totalsRowLabel="Alameda County Total: 13" totalsRowDxfId="469"/>
    <tableColumn id="2" xr3:uid="{00000000-0010-0000-0100-000002000000}" name="Participating Schools" totalsRowLabel="32" totalsRowDxfId="468"/>
    <tableColumn id="3" xr3:uid="{00000000-0010-0000-0100-000003000000}" name="American Sign Language Total" totalsRowFunction="custom" totalsRowDxfId="467">
      <totalsRowFormula>SUBTOTAL(109,C3:C15)</totalsRowFormula>
    </tableColumn>
    <tableColumn id="4" xr3:uid="{00000000-0010-0000-0100-000004000000}" name="Cantonese Total" totalsRowFunction="custom" totalsRowDxfId="466">
      <totalsRowFormula>SUBTOTAL(109,D3:D15)</totalsRowFormula>
    </tableColumn>
    <tableColumn id="5" xr3:uid="{00000000-0010-0000-0100-000005000000}" name="French Total" totalsRowFunction="custom" totalsRowDxfId="465">
      <totalsRowFormula>SUBTOTAL(109,E3:E15)</totalsRowFormula>
    </tableColumn>
    <tableColumn id="6" xr3:uid="{00000000-0010-0000-0100-000006000000}" name="German Total" totalsRowFunction="custom" totalsRowDxfId="464">
      <totalsRowFormula>SUBTOTAL(109,F3:F15)</totalsRowFormula>
    </tableColumn>
    <tableColumn id="7" xr3:uid="{00000000-0010-0000-0100-000007000000}" name="Japanese Total" totalsRowFunction="custom" totalsRowDxfId="463">
      <totalsRowFormula>SUBTOTAL(109,G3:G15)</totalsRowFormula>
    </tableColumn>
    <tableColumn id="8" xr3:uid="{00000000-0010-0000-0100-000008000000}" name="Korean Total" totalsRowFunction="custom" totalsRowDxfId="462">
      <totalsRowFormula>SUBTOTAL(109,H3:H15)</totalsRowFormula>
    </tableColumn>
    <tableColumn id="9" xr3:uid="{00000000-0010-0000-0100-000009000000}" name="Latin Total" totalsRowFunction="custom" totalsRowDxfId="461">
      <totalsRowFormula>SUBTOTAL(109,I3:I15)</totalsRowFormula>
    </tableColumn>
    <tableColumn id="10" xr3:uid="{00000000-0010-0000-0100-00000A000000}" name="Mandarin Total" totalsRowFunction="custom" totalsRowDxfId="460">
      <totalsRowFormula>SUBTOTAL(109,J3:J15)</totalsRowFormula>
    </tableColumn>
    <tableColumn id="11" xr3:uid="{00000000-0010-0000-0100-00000B000000}" name="Spanish Total" totalsRowFunction="custom" totalsRowDxfId="459">
      <totalsRowFormula>SUBTOTAL(109,K3:K15)</totalsRowFormula>
    </tableColumn>
    <tableColumn id="12" xr3:uid="{00000000-0010-0000-0100-00000C000000}" name="Vietnamese Total" totalsRowFunction="custom" totalsRowDxfId="458">
      <totalsRowFormula>SUBTOTAL(109,L3:L15)</totalsRowFormula>
    </tableColumn>
    <tableColumn id="13" xr3:uid="{00000000-0010-0000-0100-00000D000000}" name="Other Total" totalsRowFunction="sum" totalsRowDxfId="457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Alameda county and also includes language totals.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3000000}" name="Table18" displayName="Table18" ref="A2:M6" totalsRowCount="1">
  <autoFilter ref="A2:M5" xr:uid="{00000000-0009-0000-0100-000012000000}"/>
  <tableColumns count="13">
    <tableColumn id="1" xr3:uid="{00000000-0010-0000-1300-000001000000}" name="Participating Districts" totalsRowLabel="Madera County Total: 3"/>
    <tableColumn id="2" xr3:uid="{00000000-0010-0000-1300-000002000000}" name="Participating Schools" totalsRowLabel="4" totalsRowDxfId="342"/>
    <tableColumn id="3" xr3:uid="{00000000-0010-0000-1300-000003000000}" name="American Sign Language Total" totalsRowFunction="custom">
      <totalsRowFormula>SUM(Table18[American Sign Language Total])</totalsRowFormula>
    </tableColumn>
    <tableColumn id="4" xr3:uid="{00000000-0010-0000-1300-000004000000}" name="Cantonese Total" totalsRowFunction="custom">
      <totalsRowFormula>SUM(Table18[Cantonese Total])</totalsRowFormula>
    </tableColumn>
    <tableColumn id="5" xr3:uid="{00000000-0010-0000-1300-000005000000}" name="French Total" totalsRowFunction="custom">
      <totalsRowFormula>SUM(Table18[French Total])</totalsRowFormula>
    </tableColumn>
    <tableColumn id="6" xr3:uid="{00000000-0010-0000-1300-000006000000}" name="German Total" totalsRowFunction="custom">
      <totalsRowFormula>SUM(Table18[German Total])</totalsRowFormula>
    </tableColumn>
    <tableColumn id="7" xr3:uid="{00000000-0010-0000-1300-000007000000}" name=" Japanese Total" totalsRowFunction="custom">
      <totalsRowFormula>SUM(Table18[[ Japanese Total]])</totalsRowFormula>
    </tableColumn>
    <tableColumn id="8" xr3:uid="{00000000-0010-0000-1300-000008000000}" name="Korean Total" totalsRowFunction="custom">
      <totalsRowFormula>SUM(Table18[Korean Total])</totalsRowFormula>
    </tableColumn>
    <tableColumn id="9" xr3:uid="{00000000-0010-0000-1300-000009000000}" name="Latin Total" totalsRowFunction="custom">
      <totalsRowFormula>SUM(Table18[Latin Total])</totalsRowFormula>
    </tableColumn>
    <tableColumn id="10" xr3:uid="{00000000-0010-0000-1300-00000A000000}" name="Mandarin Total" totalsRowFunction="custom">
      <totalsRowFormula>SUM(Table18[Mandarin Total])</totalsRowFormula>
    </tableColumn>
    <tableColumn id="11" xr3:uid="{00000000-0010-0000-1300-00000B000000}" name="Spanish Total" totalsRowFunction="custom">
      <totalsRowFormula>SUM(Table18[Spanish Total])</totalsRowFormula>
    </tableColumn>
    <tableColumn id="12" xr3:uid="{00000000-0010-0000-1300-00000C000000}" name="Vietnamese Total" totalsRowFunction="custom">
      <totalsRowFormula>SUM(Table18[Vietnamese Total])</totalsRowFormula>
    </tableColumn>
    <tableColumn id="13" xr3:uid="{00000000-0010-0000-1300-00000D000000}" name="Other Total" totalsRowFunction="custom">
      <totalsRowFormula>SUM(Table18[Other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Madera county and also includes language totals."/>
    </ext>
  </extLst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4000000}" name="Table19" displayName="Table19" ref="A2:M7" totalsRowCount="1">
  <autoFilter ref="A2:M6" xr:uid="{00000000-0009-0000-0100-000013000000}"/>
  <tableColumns count="13">
    <tableColumn id="1" xr3:uid="{00000000-0010-0000-1400-000001000000}" name="Participating Districts" totalsRowLabel="Main County Total: 4"/>
    <tableColumn id="2" xr3:uid="{00000000-0010-0000-1400-000002000000}" name="Participating Schools" totalsRowLabel="9" totalsRowDxfId="341"/>
    <tableColumn id="3" xr3:uid="{00000000-0010-0000-1400-000003000000}" name="American Sign Language Total" totalsRowFunction="custom">
      <totalsRowFormula>SUM(Table19[American Sign Language Total])</totalsRowFormula>
    </tableColumn>
    <tableColumn id="4" xr3:uid="{00000000-0010-0000-1400-000004000000}" name="Cantonese Total" totalsRowFunction="custom">
      <totalsRowFormula>SUM(Table19[Cantonese Total])</totalsRowFormula>
    </tableColumn>
    <tableColumn id="5" xr3:uid="{00000000-0010-0000-1400-000005000000}" name="French Total" totalsRowFunction="custom">
      <totalsRowFormula>SUM(Table19[French Total])</totalsRowFormula>
    </tableColumn>
    <tableColumn id="6" xr3:uid="{00000000-0010-0000-1400-000006000000}" name="German Total" totalsRowFunction="custom">
      <totalsRowFormula>SUM(Table19[German Total])</totalsRowFormula>
    </tableColumn>
    <tableColumn id="7" xr3:uid="{00000000-0010-0000-1400-000007000000}" name=" Japanese Total" totalsRowFunction="custom">
      <totalsRowFormula>SUM(Table19[[ Japanese Total]])</totalsRowFormula>
    </tableColumn>
    <tableColumn id="8" xr3:uid="{00000000-0010-0000-1400-000008000000}" name="Korean Total" totalsRowFunction="custom">
      <totalsRowFormula>SUM(Table19[Korean Total])</totalsRowFormula>
    </tableColumn>
    <tableColumn id="9" xr3:uid="{00000000-0010-0000-1400-000009000000}" name="Latin Total" totalsRowFunction="custom">
      <totalsRowFormula>SUM(Table19[Latin Total])</totalsRowFormula>
    </tableColumn>
    <tableColumn id="10" xr3:uid="{00000000-0010-0000-1400-00000A000000}" name="Mandarin Total" totalsRowFunction="custom">
      <totalsRowFormula>SUM(Table19[Mandarin Total])</totalsRowFormula>
    </tableColumn>
    <tableColumn id="11" xr3:uid="{00000000-0010-0000-1400-00000B000000}" name="Spanish Total" totalsRowFunction="custom">
      <totalsRowFormula>SUM(Table19[Spanish Total])</totalsRowFormula>
    </tableColumn>
    <tableColumn id="12" xr3:uid="{00000000-0010-0000-1400-00000C000000}" name="Vietnamese Total" totalsRowFunction="custom">
      <totalsRowFormula>SUM(Table19[Vietnamese Total])</totalsRowFormula>
    </tableColumn>
    <tableColumn id="13" xr3:uid="{00000000-0010-0000-1400-00000D000000}" name="Other Total" totalsRowFunction="custom">
      <totalsRowFormula>SUM(Table19[Other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Marin county and also includes language totals."/>
    </ext>
  </extLst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5000000}" name="Table20" displayName="Table20" ref="A2:M7" totalsRowCount="1" headerRowDxfId="340">
  <autoFilter ref="A2:M6" xr:uid="{00000000-0009-0000-0100-000014000000}"/>
  <tableColumns count="13">
    <tableColumn id="1" xr3:uid="{00000000-0010-0000-1500-000001000000}" name="Participating Districts" totalsRowLabel="Mendocino County Total: 4"/>
    <tableColumn id="2" xr3:uid="{00000000-0010-0000-1500-000002000000}" name="Participating Schools" totalsRowLabel="5" totalsRowDxfId="339"/>
    <tableColumn id="3" xr3:uid="{00000000-0010-0000-1500-000003000000}" name="American Sign Language Total" totalsRowFunction="custom">
      <totalsRowFormula>SUM(Table20[American Sign Language Total])</totalsRowFormula>
    </tableColumn>
    <tableColumn id="4" xr3:uid="{00000000-0010-0000-1500-000004000000}" name="Cantonese Total" totalsRowFunction="custom">
      <totalsRowFormula>SUM(Table20[Cantonese Total])</totalsRowFormula>
    </tableColumn>
    <tableColumn id="5" xr3:uid="{00000000-0010-0000-1500-000005000000}" name="French Total" totalsRowFunction="custom">
      <totalsRowFormula>SUM(Table20[French Total])</totalsRowFormula>
    </tableColumn>
    <tableColumn id="6" xr3:uid="{00000000-0010-0000-1500-000006000000}" name="German Total" totalsRowFunction="custom">
      <totalsRowFormula>SUM(Table20[German Total])</totalsRowFormula>
    </tableColumn>
    <tableColumn id="7" xr3:uid="{00000000-0010-0000-1500-000007000000}" name=" Japanese Total" totalsRowFunction="custom">
      <totalsRowFormula>SUM(Table20[[ Japanese Total]])</totalsRowFormula>
    </tableColumn>
    <tableColumn id="8" xr3:uid="{00000000-0010-0000-1500-000008000000}" name="Korean Total" totalsRowFunction="custom">
      <totalsRowFormula>SUM(Table20[Korean Total])</totalsRowFormula>
    </tableColumn>
    <tableColumn id="9" xr3:uid="{00000000-0010-0000-1500-000009000000}" name="Latin Total" totalsRowFunction="custom">
      <totalsRowFormula>SUM(Table20[Latin Total])</totalsRowFormula>
    </tableColumn>
    <tableColumn id="10" xr3:uid="{00000000-0010-0000-1500-00000A000000}" name="Mandarin Total" totalsRowFunction="custom">
      <totalsRowFormula>SUM(Table20[Mandarin Total])</totalsRowFormula>
    </tableColumn>
    <tableColumn id="11" xr3:uid="{00000000-0010-0000-1500-00000B000000}" name="Spanish Total" totalsRowFunction="custom">
      <totalsRowFormula>SUM(Table20[Spanish Total])</totalsRowFormula>
    </tableColumn>
    <tableColumn id="12" xr3:uid="{00000000-0010-0000-1500-00000C000000}" name="Vietnamese Total" totalsRowFunction="custom">
      <totalsRowFormula>SUM(Table20[Vietnamese Total])</totalsRowFormula>
    </tableColumn>
    <tableColumn id="13" xr3:uid="{00000000-0010-0000-1500-00000D000000}" name="Other Total" totalsRowFunction="custom">
      <totalsRowFormula>SUM(Table20[Other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Mendocino county and also includes language totals."/>
    </ext>
  </extLst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6000000}" name="Table21" displayName="Table21" ref="A2:M5" totalsRowCount="1">
  <autoFilter ref="A2:M4" xr:uid="{00000000-0009-0000-0100-000015000000}"/>
  <tableColumns count="13">
    <tableColumn id="1" xr3:uid="{00000000-0010-0000-1600-000001000000}" name="Participating Districts" totalsRowLabel="Merced County Total: 2"/>
    <tableColumn id="2" xr3:uid="{00000000-0010-0000-1600-000002000000}" name="Participating Schools" totalsRowLabel="2" totalsRowDxfId="338"/>
    <tableColumn id="3" xr3:uid="{00000000-0010-0000-1600-000003000000}" name="American Sign Language Total" totalsRowFunction="custom">
      <totalsRowFormula>SUM(Table21[American Sign Language Total])</totalsRowFormula>
    </tableColumn>
    <tableColumn id="4" xr3:uid="{00000000-0010-0000-1600-000004000000}" name="Cantonese Total" totalsRowFunction="custom">
      <totalsRowFormula>SUM(Table21[Cantonese Total])</totalsRowFormula>
    </tableColumn>
    <tableColumn id="5" xr3:uid="{00000000-0010-0000-1600-000005000000}" name="French Total" totalsRowFunction="custom">
      <totalsRowFormula>SUM(Table21[French Total])</totalsRowFormula>
    </tableColumn>
    <tableColumn id="6" xr3:uid="{00000000-0010-0000-1600-000006000000}" name="German Total" totalsRowFunction="custom">
      <totalsRowFormula>SUM(Table21[German Total])</totalsRowFormula>
    </tableColumn>
    <tableColumn id="7" xr3:uid="{00000000-0010-0000-1600-000007000000}" name=" Japanese Total" totalsRowFunction="custom">
      <totalsRowFormula>SUM(Table21[[ Japanese Total]])</totalsRowFormula>
    </tableColumn>
    <tableColumn id="8" xr3:uid="{00000000-0010-0000-1600-000008000000}" name="Korean Total" totalsRowFunction="custom">
      <totalsRowFormula>SUM(Table21[Korean Total])</totalsRowFormula>
    </tableColumn>
    <tableColumn id="9" xr3:uid="{00000000-0010-0000-1600-000009000000}" name="Latin Total" totalsRowFunction="custom">
      <totalsRowFormula>SUM(Table21[Latin Total])</totalsRowFormula>
    </tableColumn>
    <tableColumn id="10" xr3:uid="{00000000-0010-0000-1600-00000A000000}" name="Mandarin Total" totalsRowFunction="custom">
      <totalsRowFormula>SUM(Table21[Mandarin Total])</totalsRowFormula>
    </tableColumn>
    <tableColumn id="11" xr3:uid="{00000000-0010-0000-1600-00000B000000}" name="Spanish Total" totalsRowFunction="custom">
      <totalsRowFormula>SUM(Table21[Spanish Total])</totalsRowFormula>
    </tableColumn>
    <tableColumn id="12" xr3:uid="{00000000-0010-0000-1600-00000C000000}" name="Vietnamese Total" totalsRowFunction="custom">
      <totalsRowFormula>SUM(Table21[Vietnamese Total])</totalsRowFormula>
    </tableColumn>
    <tableColumn id="13" xr3:uid="{00000000-0010-0000-1600-00000D000000}" name="Other Total" totalsRowFunction="custom">
      <totalsRowFormula>SUM(Table21[Other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Merced county and also includes language totals."/>
    </ext>
  </extLst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7000000}" name="Table22" displayName="Table22" ref="A2:M5" totalsRowCount="1">
  <autoFilter ref="A2:M4" xr:uid="{00000000-0009-0000-0100-000016000000}"/>
  <tableColumns count="13">
    <tableColumn id="1" xr3:uid="{00000000-0010-0000-1700-000001000000}" name="Participating Districts" totalsRowLabel="Modoc County Total: 2"/>
    <tableColumn id="2" xr3:uid="{00000000-0010-0000-1700-000002000000}" name="Participating Schools" totalsRowLabel="2" totalsRowDxfId="337"/>
    <tableColumn id="3" xr3:uid="{00000000-0010-0000-1700-000003000000}" name="American Sign Language Total" totalsRowFunction="custom">
      <totalsRowFormula>SUM(Table22[American Sign Language Total])</totalsRowFormula>
    </tableColumn>
    <tableColumn id="4" xr3:uid="{00000000-0010-0000-1700-000004000000}" name="Cantonese Total" totalsRowFunction="custom">
      <totalsRowFormula>SUM(Table22[Cantonese Total])</totalsRowFormula>
    </tableColumn>
    <tableColumn id="5" xr3:uid="{00000000-0010-0000-1700-000005000000}" name="French Total" totalsRowFunction="custom">
      <totalsRowFormula>SUM(Table22[French Total])</totalsRowFormula>
    </tableColumn>
    <tableColumn id="6" xr3:uid="{00000000-0010-0000-1700-000006000000}" name="German Total" totalsRowFunction="custom">
      <totalsRowFormula>SUM(Table22[German Total])</totalsRowFormula>
    </tableColumn>
    <tableColumn id="7" xr3:uid="{00000000-0010-0000-1700-000007000000}" name=" Japanese Total" totalsRowFunction="custom">
      <totalsRowFormula>SUM(Table22[[ Japanese Total]])</totalsRowFormula>
    </tableColumn>
    <tableColumn id="8" xr3:uid="{00000000-0010-0000-1700-000008000000}" name="Korean Total" totalsRowFunction="custom">
      <totalsRowFormula>SUM(Table22[Korean Total])</totalsRowFormula>
    </tableColumn>
    <tableColumn id="9" xr3:uid="{00000000-0010-0000-1700-000009000000}" name="Latin Total" totalsRowFunction="custom">
      <totalsRowFormula>SUM(Table22[Latin Total])</totalsRowFormula>
    </tableColumn>
    <tableColumn id="10" xr3:uid="{00000000-0010-0000-1700-00000A000000}" name="Mandarin Total" totalsRowFunction="custom">
      <totalsRowFormula>SUM(Table22[Mandarin Total])</totalsRowFormula>
    </tableColumn>
    <tableColumn id="11" xr3:uid="{00000000-0010-0000-1700-00000B000000}" name="Spanish Total" totalsRowFunction="custom">
      <totalsRowFormula>SUM(Table22[Spanish Total])</totalsRowFormula>
    </tableColumn>
    <tableColumn id="12" xr3:uid="{00000000-0010-0000-1700-00000C000000}" name="Vietnamese Total" totalsRowFunction="custom">
      <totalsRowFormula>SUM(Table22[Vietnamese Total])</totalsRowFormula>
    </tableColumn>
    <tableColumn id="13" xr3:uid="{00000000-0010-0000-1700-00000D000000}" name="Other Total" totalsRowFunction="custom">
      <totalsRowFormula>SUM(Table22[Other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Modoc county and also includes language totals."/>
    </ext>
  </extLst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8000000}" name="Table23" displayName="Table23" ref="A2:M4" totalsRowCount="1">
  <autoFilter ref="A2:M3" xr:uid="{00000000-0009-0000-0100-000017000000}"/>
  <tableColumns count="13">
    <tableColumn id="1" xr3:uid="{00000000-0010-0000-1800-000001000000}" name="Participating Districts" totalsRowLabel="Mono County Total: 1"/>
    <tableColumn id="2" xr3:uid="{00000000-0010-0000-1800-000002000000}" name="Participating Schools" totalsRowLabel="1" totalsRowDxfId="336"/>
    <tableColumn id="3" xr3:uid="{00000000-0010-0000-1800-000003000000}" name="American Sign Language Total" totalsRowFunction="custom">
      <totalsRowFormula>SUM(Table23[American Sign Language Total])</totalsRowFormula>
    </tableColumn>
    <tableColumn id="4" xr3:uid="{00000000-0010-0000-1800-000004000000}" name="Cantonese Total" totalsRowFunction="custom">
      <totalsRowFormula>SUM(Table23[Cantonese Total])</totalsRowFormula>
    </tableColumn>
    <tableColumn id="5" xr3:uid="{00000000-0010-0000-1800-000005000000}" name="French Total" totalsRowFunction="custom">
      <totalsRowFormula>SUM(Table23[French Total])</totalsRowFormula>
    </tableColumn>
    <tableColumn id="6" xr3:uid="{00000000-0010-0000-1800-000006000000}" name="German Total" totalsRowFunction="custom">
      <totalsRowFormula>SUM(Table23[German Total])</totalsRowFormula>
    </tableColumn>
    <tableColumn id="7" xr3:uid="{00000000-0010-0000-1800-000007000000}" name=" Japanese Total" totalsRowFunction="custom">
      <totalsRowFormula>SUM(Table23[[ Japanese Total]])</totalsRowFormula>
    </tableColumn>
    <tableColumn id="8" xr3:uid="{00000000-0010-0000-1800-000008000000}" name="Korean Total" totalsRowFunction="custom">
      <totalsRowFormula>SUM(Table23[Korean Total])</totalsRowFormula>
    </tableColumn>
    <tableColumn id="9" xr3:uid="{00000000-0010-0000-1800-000009000000}" name="Latin Total" totalsRowFunction="custom">
      <totalsRowFormula>SUM(Table23[Latin Total])</totalsRowFormula>
    </tableColumn>
    <tableColumn id="10" xr3:uid="{00000000-0010-0000-1800-00000A000000}" name="Mandarin Total" totalsRowFunction="custom">
      <totalsRowFormula>SUM(Table23[Mandarin Total])</totalsRowFormula>
    </tableColumn>
    <tableColumn id="11" xr3:uid="{00000000-0010-0000-1800-00000B000000}" name="Spanish Total" totalsRowFunction="custom">
      <totalsRowFormula>SUM(Table23[Spanish Total])</totalsRowFormula>
    </tableColumn>
    <tableColumn id="12" xr3:uid="{00000000-0010-0000-1800-00000C000000}" name="Vietnamese Total" totalsRowFunction="custom">
      <totalsRowFormula>SUM(Table23[Vietnamese Total])</totalsRowFormula>
    </tableColumn>
    <tableColumn id="13" xr3:uid="{00000000-0010-0000-1800-00000D000000}" name="Other Total" totalsRowFunction="custom">
      <totalsRowFormula>SUM(Table23[Other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Mono county and also includes language totals."/>
    </ext>
  </extLst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9000000}" name="Table24" displayName="Table24" ref="A2:M10" totalsRowCount="1">
  <autoFilter ref="A2:M9" xr:uid="{00000000-0009-0000-0100-000018000000}"/>
  <tableColumns count="13">
    <tableColumn id="1" xr3:uid="{00000000-0010-0000-1900-000001000000}" name="Participating Districts" totalsRowLabel="Monterey County Total: 7"/>
    <tableColumn id="2" xr3:uid="{00000000-0010-0000-1900-000002000000}" name="Participating Schools" totalsRowLabel="12" totalsRowDxfId="335"/>
    <tableColumn id="3" xr3:uid="{00000000-0010-0000-1900-000003000000}" name="American Sign Language Total" totalsRowFunction="custom">
      <totalsRowFormula>SUM(Table24[American Sign Language Total])</totalsRowFormula>
    </tableColumn>
    <tableColumn id="4" xr3:uid="{00000000-0010-0000-1900-000004000000}" name="Cantonese Total" totalsRowFunction="custom">
      <totalsRowFormula>SUM(Table24[Cantonese Total])</totalsRowFormula>
    </tableColumn>
    <tableColumn id="5" xr3:uid="{00000000-0010-0000-1900-000005000000}" name="French Total" totalsRowFunction="custom">
      <totalsRowFormula>SUM(Table24[French Total])</totalsRowFormula>
    </tableColumn>
    <tableColumn id="6" xr3:uid="{00000000-0010-0000-1900-000006000000}" name="German Total" totalsRowFunction="custom">
      <totalsRowFormula>SUM(Table24[German Total])</totalsRowFormula>
    </tableColumn>
    <tableColumn id="7" xr3:uid="{00000000-0010-0000-1900-000007000000}" name=" Japanese Total" totalsRowFunction="custom">
      <totalsRowFormula>SUM(Table24[[ Japanese Total]])</totalsRowFormula>
    </tableColumn>
    <tableColumn id="8" xr3:uid="{00000000-0010-0000-1900-000008000000}" name="Korean Total" totalsRowFunction="custom">
      <totalsRowFormula>SUM(Table24[Korean Total])</totalsRowFormula>
    </tableColumn>
    <tableColumn id="9" xr3:uid="{00000000-0010-0000-1900-000009000000}" name="Latin Total" totalsRowFunction="custom">
      <totalsRowFormula>SUM(Table24[Latin Total])</totalsRowFormula>
    </tableColumn>
    <tableColumn id="10" xr3:uid="{00000000-0010-0000-1900-00000A000000}" name="Mandarin Total" totalsRowFunction="custom">
      <totalsRowFormula>SUM(Table24[Mandarin Total])</totalsRowFormula>
    </tableColumn>
    <tableColumn id="11" xr3:uid="{00000000-0010-0000-1900-00000B000000}" name="Spanish Total" totalsRowFunction="custom">
      <totalsRowFormula>SUM(Table24[Spanish Total])</totalsRowFormula>
    </tableColumn>
    <tableColumn id="12" xr3:uid="{00000000-0010-0000-1900-00000C000000}" name="Vietnamese Total" totalsRowFunction="custom">
      <totalsRowFormula>SUM(Table24[Vietnamese Total])</totalsRowFormula>
    </tableColumn>
    <tableColumn id="13" xr3:uid="{00000000-0010-0000-1900-00000D000000}" name="Other Total" totalsRowFunction="custom">
      <totalsRowFormula>SUM(Table24[Other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Monterey county and also includes language totals."/>
    </ext>
  </extLst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A000000}" name="Table25" displayName="Table25" ref="A2:M6" totalsRowCount="1">
  <autoFilter ref="A2:M5" xr:uid="{00000000-0009-0000-0100-000019000000}"/>
  <tableColumns count="13">
    <tableColumn id="1" xr3:uid="{00000000-0010-0000-1A00-000001000000}" name="Participating Districts" totalsRowLabel="Napa County Total: 3"/>
    <tableColumn id="2" xr3:uid="{00000000-0010-0000-1A00-000002000000}" name="Participating Schools" totalsRowLabel="7" totalsRowDxfId="334"/>
    <tableColumn id="3" xr3:uid="{00000000-0010-0000-1A00-000003000000}" name="American Sign Language Total" totalsRowFunction="custom">
      <totalsRowFormula>SUM(Table25[American Sign Language Total])</totalsRowFormula>
    </tableColumn>
    <tableColumn id="4" xr3:uid="{00000000-0010-0000-1A00-000004000000}" name="Cantonese Total" totalsRowFunction="custom">
      <totalsRowFormula>SUM(Table25[Cantonese Total])</totalsRowFormula>
    </tableColumn>
    <tableColumn id="5" xr3:uid="{00000000-0010-0000-1A00-000005000000}" name="French Total" totalsRowFunction="custom">
      <totalsRowFormula>SUM(Table25[French Total])</totalsRowFormula>
    </tableColumn>
    <tableColumn id="6" xr3:uid="{00000000-0010-0000-1A00-000006000000}" name="German Total" totalsRowFunction="custom">
      <totalsRowFormula>SUM(Table25[German Total])</totalsRowFormula>
    </tableColumn>
    <tableColumn id="7" xr3:uid="{00000000-0010-0000-1A00-000007000000}" name=" Japanese Total" totalsRowFunction="custom">
      <totalsRowFormula>SUM(Table25[[ Japanese Total]])</totalsRowFormula>
    </tableColumn>
    <tableColumn id="8" xr3:uid="{00000000-0010-0000-1A00-000008000000}" name="Korean Total" totalsRowFunction="custom">
      <totalsRowFormula>SUM(Table25[Korean Total])</totalsRowFormula>
    </tableColumn>
    <tableColumn id="9" xr3:uid="{00000000-0010-0000-1A00-000009000000}" name="Latin Total" totalsRowFunction="custom">
      <totalsRowFormula>SUM(Table25[Latin Total])</totalsRowFormula>
    </tableColumn>
    <tableColumn id="10" xr3:uid="{00000000-0010-0000-1A00-00000A000000}" name="Mandarin Total" totalsRowFunction="custom">
      <totalsRowFormula>SUM(Table25[Mandarin Total])</totalsRowFormula>
    </tableColumn>
    <tableColumn id="11" xr3:uid="{00000000-0010-0000-1A00-00000B000000}" name="Spanish Total" totalsRowFunction="custom">
      <totalsRowFormula>SUM(Table25[Spanish Total])</totalsRowFormula>
    </tableColumn>
    <tableColumn id="12" xr3:uid="{00000000-0010-0000-1A00-00000C000000}" name="Vietnamese Total" totalsRowFunction="custom">
      <totalsRowFormula>SUM(Table25[Vietnamese Total])</totalsRowFormula>
    </tableColumn>
    <tableColumn id="13" xr3:uid="{00000000-0010-0000-1A00-00000D000000}" name="Other Total" totalsRowFunction="custom">
      <totalsRowFormula>SUM(Table25[Other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Napa county and also includes language totals."/>
    </ext>
  </extLst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B000000}" name="Table26" displayName="Table26" ref="A2:M4" totalsRowCount="1" headerRowDxfId="333">
  <autoFilter ref="A2:M3" xr:uid="{00000000-0009-0000-0100-00001A000000}"/>
  <tableColumns count="13">
    <tableColumn id="1" xr3:uid="{00000000-0010-0000-1B00-000001000000}" name="Participating Districts" totalsRowLabel="Nevada County Total: 1" dataDxfId="332"/>
    <tableColumn id="2" xr3:uid="{00000000-0010-0000-1B00-000002000000}" name="Participating Schools" totalsRowLabel="3" dataDxfId="331" totalsRowDxfId="330"/>
    <tableColumn id="3" xr3:uid="{00000000-0010-0000-1B00-000003000000}" name="American Sign Language Total" totalsRowFunction="custom" dataDxfId="329">
      <totalsRowFormula>SUM(Table26[American Sign Language Total])</totalsRowFormula>
    </tableColumn>
    <tableColumn id="4" xr3:uid="{00000000-0010-0000-1B00-000004000000}" name="Cantonese Total" totalsRowFunction="custom" dataDxfId="328">
      <totalsRowFormula>SUM(Table26[Cantonese Total])</totalsRowFormula>
    </tableColumn>
    <tableColumn id="5" xr3:uid="{00000000-0010-0000-1B00-000005000000}" name="French Total" totalsRowFunction="custom" dataDxfId="327">
      <totalsRowFormula>SUM(Table26[French Total])</totalsRowFormula>
    </tableColumn>
    <tableColumn id="6" xr3:uid="{00000000-0010-0000-1B00-000006000000}" name="German Total" totalsRowFunction="custom" dataDxfId="326">
      <totalsRowFormula>SUM(Table26[German Total])</totalsRowFormula>
    </tableColumn>
    <tableColumn id="7" xr3:uid="{00000000-0010-0000-1B00-000007000000}" name=" Japanese Total" totalsRowFunction="custom" dataDxfId="325">
      <totalsRowFormula>SUM(Table26[[ Japanese Total]])</totalsRowFormula>
    </tableColumn>
    <tableColumn id="8" xr3:uid="{00000000-0010-0000-1B00-000008000000}" name="Korean Total" totalsRowFunction="custom" dataDxfId="324">
      <totalsRowFormula>SUM(Table26[Korean Total])</totalsRowFormula>
    </tableColumn>
    <tableColumn id="9" xr3:uid="{00000000-0010-0000-1B00-000009000000}" name="Latin Total" totalsRowFunction="custom" dataDxfId="323">
      <totalsRowFormula>SUM(Table26[Latin Total])</totalsRowFormula>
    </tableColumn>
    <tableColumn id="10" xr3:uid="{00000000-0010-0000-1B00-00000A000000}" name="Mandarin Total" totalsRowFunction="custom" dataDxfId="322">
      <totalsRowFormula>SUM(Table26[Mandarin Total])</totalsRowFormula>
    </tableColumn>
    <tableColumn id="11" xr3:uid="{00000000-0010-0000-1B00-00000B000000}" name="Spanish Total" totalsRowFunction="custom" dataDxfId="321">
      <totalsRowFormula>SUM(Table26[Spanish Total])</totalsRowFormula>
    </tableColumn>
    <tableColumn id="12" xr3:uid="{00000000-0010-0000-1B00-00000C000000}" name="Vietnamese Total" totalsRowFunction="custom" dataDxfId="320">
      <totalsRowFormula>SUM(Table26[Vietnamese Total])</totalsRowFormula>
    </tableColumn>
    <tableColumn id="13" xr3:uid="{00000000-0010-0000-1B00-00000D000000}" name="Other Total" totalsRowFunction="custom" dataDxfId="319">
      <totalsRowFormula>SUM(Table26[Other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Nevada county and also includes language totals."/>
    </ext>
  </extLst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C000000}" name="Table27" displayName="Table27" ref="A2:M19" totalsRowCount="1" headerRowDxfId="318" dataDxfId="317">
  <autoFilter ref="A2:M18" xr:uid="{00000000-0009-0000-0100-00001B000000}"/>
  <tableColumns count="13">
    <tableColumn id="1" xr3:uid="{00000000-0010-0000-1C00-000001000000}" name="Participating Districts" totalsRowLabel="Orange County Total: 16" dataDxfId="316"/>
    <tableColumn id="2" xr3:uid="{00000000-0010-0000-1C00-000002000000}" name="Participating Schools" totalsRowLabel="76" dataDxfId="315" totalsRowDxfId="314"/>
    <tableColumn id="3" xr3:uid="{00000000-0010-0000-1C00-000003000000}" name="American Sign Language Total" totalsRowFunction="custom" dataDxfId="313" totalsRowDxfId="312">
      <totalsRowFormula>SUM(Table27[American Sign Language Total])</totalsRowFormula>
    </tableColumn>
    <tableColumn id="4" xr3:uid="{00000000-0010-0000-1C00-000004000000}" name="Cantonese Total" totalsRowFunction="custom" dataDxfId="311" totalsRowDxfId="310">
      <totalsRowFormula>SUM(Table27[Cantonese Total])</totalsRowFormula>
    </tableColumn>
    <tableColumn id="5" xr3:uid="{00000000-0010-0000-1C00-000005000000}" name="French Total" totalsRowFunction="custom" dataDxfId="309" totalsRowDxfId="308">
      <totalsRowFormula>SUM(Table27[French Total])</totalsRowFormula>
    </tableColumn>
    <tableColumn id="6" xr3:uid="{00000000-0010-0000-1C00-000006000000}" name="German Total" totalsRowFunction="custom" dataDxfId="307" totalsRowDxfId="306">
      <totalsRowFormula>SUM(Table27[German Total])</totalsRowFormula>
    </tableColumn>
    <tableColumn id="7" xr3:uid="{00000000-0010-0000-1C00-000007000000}" name=" Japanese Total" totalsRowFunction="custom" dataDxfId="305" totalsRowDxfId="304">
      <totalsRowFormula>SUM(Table27[[ Japanese Total]])</totalsRowFormula>
    </tableColumn>
    <tableColumn id="8" xr3:uid="{00000000-0010-0000-1C00-000008000000}" name="Korean Total" totalsRowFunction="custom" dataDxfId="303" totalsRowDxfId="302">
      <totalsRowFormula>SUM(Table27[Korean Total])</totalsRowFormula>
    </tableColumn>
    <tableColumn id="9" xr3:uid="{00000000-0010-0000-1C00-000009000000}" name="Latin Total" totalsRowFunction="custom" dataDxfId="301" totalsRowDxfId="300">
      <totalsRowFormula>SUM(Table27[Latin Total])</totalsRowFormula>
    </tableColumn>
    <tableColumn id="10" xr3:uid="{00000000-0010-0000-1C00-00000A000000}" name="Mandarin Total" totalsRowFunction="custom" dataDxfId="299" totalsRowDxfId="298">
      <totalsRowFormula>SUM(Table27[Mandarin Total])</totalsRowFormula>
    </tableColumn>
    <tableColumn id="11" xr3:uid="{00000000-0010-0000-1C00-00000B000000}" name="Spanish Total" totalsRowFunction="custom" dataDxfId="297" totalsRowDxfId="296">
      <totalsRowFormula>SUM(Table27[Spanish Total])</totalsRowFormula>
    </tableColumn>
    <tableColumn id="12" xr3:uid="{00000000-0010-0000-1C00-00000C000000}" name="Vietnamese Total" totalsRowFunction="custom" dataDxfId="295" totalsRowDxfId="294">
      <totalsRowFormula>SUM(Table27[Vietnamese Total])</totalsRowFormula>
    </tableColumn>
    <tableColumn id="13" xr3:uid="{00000000-0010-0000-1C00-00000D000000}" name="Other Total" totalsRowFunction="custom" dataDxfId="293" totalsRowDxfId="292">
      <totalsRowFormula>SUM(Table27[Other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Orange county and also includes language totals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2:M4" totalsRowCount="1" headerRowDxfId="456">
  <autoFilter ref="A2:M3" xr:uid="{00000000-0009-0000-0100-000003000000}"/>
  <tableColumns count="13">
    <tableColumn id="1" xr3:uid="{00000000-0010-0000-0200-000001000000}" name="Participating Districts" totalsRowLabel="Amador County Total: 1" totalsRowDxfId="455"/>
    <tableColumn id="2" xr3:uid="{00000000-0010-0000-0200-000002000000}" name="Participating Schools" totalsRowLabel="2" totalsRowDxfId="454"/>
    <tableColumn id="3" xr3:uid="{00000000-0010-0000-0200-000003000000}" name="American Sign Language Total" totalsRowFunction="custom" totalsRowDxfId="453">
      <totalsRowFormula>SUM(Table3[American Sign Language Total])</totalsRowFormula>
    </tableColumn>
    <tableColumn id="4" xr3:uid="{00000000-0010-0000-0200-000004000000}" name="Cantonese Total" totalsRowFunction="custom" totalsRowDxfId="452">
      <totalsRowFormula>SUM(Table3[Cantonese Total])</totalsRowFormula>
    </tableColumn>
    <tableColumn id="5" xr3:uid="{00000000-0010-0000-0200-000005000000}" name="French Total" totalsRowFunction="custom" totalsRowDxfId="451">
      <totalsRowFormula>SUM(Table3[French Total])</totalsRowFormula>
    </tableColumn>
    <tableColumn id="6" xr3:uid="{00000000-0010-0000-0200-000006000000}" name="German Total" totalsRowFunction="custom" totalsRowDxfId="450">
      <totalsRowFormula>SUM(Table3[German Total])</totalsRowFormula>
    </tableColumn>
    <tableColumn id="7" xr3:uid="{00000000-0010-0000-0200-000007000000}" name=" Japanese Total" totalsRowFunction="custom" totalsRowDxfId="449">
      <totalsRowFormula>SUM(Table3[[ Japanese Total]])</totalsRowFormula>
    </tableColumn>
    <tableColumn id="8" xr3:uid="{00000000-0010-0000-0200-000008000000}" name="Korean Total" totalsRowFunction="custom" totalsRowDxfId="448">
      <totalsRowFormula>SUM(Table3[Korean Total])</totalsRowFormula>
    </tableColumn>
    <tableColumn id="9" xr3:uid="{00000000-0010-0000-0200-000009000000}" name="Latin Total" totalsRowFunction="custom" totalsRowDxfId="447">
      <totalsRowFormula>SUM(Table3[Latin Total])</totalsRowFormula>
    </tableColumn>
    <tableColumn id="10" xr3:uid="{00000000-0010-0000-0200-00000A000000}" name="Mandarin Total" totalsRowFunction="custom" totalsRowDxfId="446">
      <totalsRowFormula>SUM(Table3[Mandarin Total])</totalsRowFormula>
    </tableColumn>
    <tableColumn id="11" xr3:uid="{00000000-0010-0000-0200-00000B000000}" name="Spanish Total" totalsRowFunction="custom" totalsRowDxfId="445">
      <totalsRowFormula>SUM(Table3[Spanish Total])</totalsRowFormula>
    </tableColumn>
    <tableColumn id="12" xr3:uid="{00000000-0010-0000-0200-00000C000000}" name="Vietnamese Total" totalsRowFunction="custom" totalsRowDxfId="444">
      <totalsRowFormula>SUM(Table3[Vietnamese Total])</totalsRowFormula>
    </tableColumn>
    <tableColumn id="13" xr3:uid="{00000000-0010-0000-0200-00000D000000}" name="Other Total" totalsRowFunction="custom" totalsRowDxfId="443">
      <totalsRowFormula>SUM(Table3[Other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Amador county and also includes language totals."/>
    </ext>
  </extLst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D000000}" name="Table28" displayName="Table28" ref="A2:M8" totalsRowCount="1" dataDxfId="291">
  <autoFilter ref="A2:M7" xr:uid="{00000000-0009-0000-0100-00001C000000}"/>
  <tableColumns count="13">
    <tableColumn id="1" xr3:uid="{00000000-0010-0000-1D00-000001000000}" name="Participating Districts" totalsRowLabel="Placer County Total: 5" dataDxfId="290"/>
    <tableColumn id="2" xr3:uid="{00000000-0010-0000-1D00-000002000000}" name="Participating Schools" totalsRowLabel="15" dataDxfId="289" totalsRowDxfId="288"/>
    <tableColumn id="3" xr3:uid="{00000000-0010-0000-1D00-000003000000}" name="American Sign Language Total" totalsRowFunction="custom" dataDxfId="287">
      <totalsRowFormula>SUM(Table28[American Sign Language Total])</totalsRowFormula>
    </tableColumn>
    <tableColumn id="4" xr3:uid="{00000000-0010-0000-1D00-000004000000}" name="Cantonese Total" totalsRowFunction="custom" dataDxfId="286">
      <totalsRowFormula>SUM(Table28[Cantonese Total])</totalsRowFormula>
    </tableColumn>
    <tableColumn id="5" xr3:uid="{00000000-0010-0000-1D00-000005000000}" name="French Total" totalsRowFunction="custom" dataDxfId="285">
      <totalsRowFormula>SUM(Table28[French Total])</totalsRowFormula>
    </tableColumn>
    <tableColumn id="6" xr3:uid="{00000000-0010-0000-1D00-000006000000}" name="German Total" totalsRowFunction="custom" dataDxfId="284">
      <totalsRowFormula>SUM(Table28[German Total])</totalsRowFormula>
    </tableColumn>
    <tableColumn id="7" xr3:uid="{00000000-0010-0000-1D00-000007000000}" name=" Japanese Total" totalsRowFunction="custom" dataDxfId="283">
      <totalsRowFormula>SUM(Table28[[ Japanese Total]])</totalsRowFormula>
    </tableColumn>
    <tableColumn id="8" xr3:uid="{00000000-0010-0000-1D00-000008000000}" name="Korean Total" totalsRowFunction="custom" dataDxfId="282">
      <totalsRowFormula>SUM(Table28[Korean Total])</totalsRowFormula>
    </tableColumn>
    <tableColumn id="9" xr3:uid="{00000000-0010-0000-1D00-000009000000}" name="Latin Total" totalsRowFunction="custom" dataDxfId="281">
      <totalsRowFormula>SUM(Table28[Latin Total])</totalsRowFormula>
    </tableColumn>
    <tableColumn id="10" xr3:uid="{00000000-0010-0000-1D00-00000A000000}" name="Mandarin Total" totalsRowFunction="custom" dataDxfId="280">
      <totalsRowFormula>SUM(Table28[Mandarin Total])</totalsRowFormula>
    </tableColumn>
    <tableColumn id="11" xr3:uid="{00000000-0010-0000-1D00-00000B000000}" name="Spanish Total" totalsRowFunction="custom" dataDxfId="279">
      <totalsRowFormula>SUM(Table28[Spanish Total])</totalsRowFormula>
    </tableColumn>
    <tableColumn id="12" xr3:uid="{00000000-0010-0000-1D00-00000C000000}" name="Vietnamese Total" totalsRowFunction="custom" dataDxfId="278">
      <totalsRowFormula>SUM(Table28[Vietnamese Total])</totalsRowFormula>
    </tableColumn>
    <tableColumn id="13" xr3:uid="{00000000-0010-0000-1D00-00000D000000}" name="Other Total" totalsRowFunction="custom" dataDxfId="277">
      <totalsRowFormula>SUM(Table28[Other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Placer county and also includes language totals."/>
    </ext>
  </extLst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E000000}" name="Table29" displayName="Table29" ref="A2:M4" totalsRowCount="1" headerRowDxfId="276">
  <autoFilter ref="A2:M3" xr:uid="{00000000-0009-0000-0100-00001D000000}"/>
  <tableColumns count="13">
    <tableColumn id="1" xr3:uid="{00000000-0010-0000-1E00-000001000000}" name="Participating Districts" totalsRowLabel="Plumas County Total: 1"/>
    <tableColumn id="2" xr3:uid="{00000000-0010-0000-1E00-000002000000}" name="Participating Schools" totalsRowLabel="1" totalsRowDxfId="275"/>
    <tableColumn id="3" xr3:uid="{00000000-0010-0000-1E00-000003000000}" name="American Sign Language Total" totalsRowFunction="custom">
      <totalsRowFormula>SUM(Table29[American Sign Language Total])</totalsRowFormula>
    </tableColumn>
    <tableColumn id="4" xr3:uid="{00000000-0010-0000-1E00-000004000000}" name="Cantonese Total" totalsRowFunction="custom">
      <totalsRowFormula>SUM(Table29[Cantonese Total])</totalsRowFormula>
    </tableColumn>
    <tableColumn id="5" xr3:uid="{00000000-0010-0000-1E00-000005000000}" name="French Total" totalsRowFunction="custom">
      <totalsRowFormula>SUM(Table29[French Total])</totalsRowFormula>
    </tableColumn>
    <tableColumn id="6" xr3:uid="{00000000-0010-0000-1E00-000006000000}" name="German Total" totalsRowFunction="custom">
      <totalsRowFormula>SUM(Table29[German Total])</totalsRowFormula>
    </tableColumn>
    <tableColumn id="7" xr3:uid="{00000000-0010-0000-1E00-000007000000}" name=" Japanese Total" totalsRowFunction="custom">
      <totalsRowFormula>SUM(Table29[[ Japanese Total]])</totalsRowFormula>
    </tableColumn>
    <tableColumn id="8" xr3:uid="{00000000-0010-0000-1E00-000008000000}" name="Korean Total" totalsRowFunction="custom">
      <totalsRowFormula>SUM(Table29[Korean Total])</totalsRowFormula>
    </tableColumn>
    <tableColumn id="9" xr3:uid="{00000000-0010-0000-1E00-000009000000}" name="Latin Total" totalsRowFunction="custom">
      <totalsRowFormula>SUM(Table29[Latin Total])</totalsRowFormula>
    </tableColumn>
    <tableColumn id="10" xr3:uid="{00000000-0010-0000-1E00-00000A000000}" name="Mandarin Total" totalsRowFunction="custom">
      <totalsRowFormula>SUM(Table29[Mandarin Total])</totalsRowFormula>
    </tableColumn>
    <tableColumn id="11" xr3:uid="{00000000-0010-0000-1E00-00000B000000}" name="Spanish Total" totalsRowFunction="custom">
      <totalsRowFormula>SUM(Table29[Spanish Total])</totalsRowFormula>
    </tableColumn>
    <tableColumn id="12" xr3:uid="{00000000-0010-0000-1E00-00000C000000}" name="Vietnamese Total" totalsRowFunction="custom">
      <totalsRowFormula>SUM(Table29[Vietnamese Total])</totalsRowFormula>
    </tableColumn>
    <tableColumn id="13" xr3:uid="{00000000-0010-0000-1E00-00000D000000}" name="Other Total" totalsRowFunction="custom">
      <totalsRowFormula>SUM(Table29[Other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Plumas county and also includes language totals."/>
    </ext>
  </extLst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F000000}" name="Table31" displayName="Table31" ref="A2:M22" totalsRowCount="1" headerRowDxfId="274" dataDxfId="273">
  <autoFilter ref="A2:M21" xr:uid="{00000000-0009-0000-0100-00001F000000}"/>
  <tableColumns count="13">
    <tableColumn id="1" xr3:uid="{00000000-0010-0000-1F00-000001000000}" name="Participating Districts" totalsRowLabel="Riverside County Total: 19" dataDxfId="272"/>
    <tableColumn id="2" xr3:uid="{00000000-0010-0000-1F00-000002000000}" name="Participating Schools" totalsRowLabel="55" dataDxfId="271" totalsRowDxfId="270"/>
    <tableColumn id="3" xr3:uid="{00000000-0010-0000-1F00-000003000000}" name="American Sign Language Total" totalsRowFunction="custom" dataDxfId="269" totalsRowDxfId="268">
      <totalsRowFormula>SUM(Table31[American Sign Language Total])</totalsRowFormula>
    </tableColumn>
    <tableColumn id="4" xr3:uid="{00000000-0010-0000-1F00-000004000000}" name="Cantonese Total" totalsRowFunction="custom" dataDxfId="267" totalsRowDxfId="266">
      <totalsRowFormula>SUM(Table31[Cantonese Total])</totalsRowFormula>
    </tableColumn>
    <tableColumn id="5" xr3:uid="{00000000-0010-0000-1F00-000005000000}" name="French Total" totalsRowFunction="custom" dataDxfId="265" totalsRowDxfId="264">
      <totalsRowFormula>SUM(Table31[French Total])</totalsRowFormula>
    </tableColumn>
    <tableColumn id="6" xr3:uid="{00000000-0010-0000-1F00-000006000000}" name="German Total" totalsRowFunction="custom" dataDxfId="263" totalsRowDxfId="262">
      <totalsRowFormula>SUM(Table31[German Total])</totalsRowFormula>
    </tableColumn>
    <tableColumn id="7" xr3:uid="{00000000-0010-0000-1F00-000007000000}" name=" Japanese Total" totalsRowFunction="custom" dataDxfId="261" totalsRowDxfId="260">
      <totalsRowFormula>SUM(Table31[[ Japanese Total]])</totalsRowFormula>
    </tableColumn>
    <tableColumn id="8" xr3:uid="{00000000-0010-0000-1F00-000008000000}" name="Korean Total" totalsRowFunction="custom" dataDxfId="259" totalsRowDxfId="258">
      <totalsRowFormula>SUM(Table31[Korean Total])</totalsRowFormula>
    </tableColumn>
    <tableColumn id="9" xr3:uid="{00000000-0010-0000-1F00-000009000000}" name="Latin Total" totalsRowFunction="custom" dataDxfId="257" totalsRowDxfId="256">
      <totalsRowFormula>SUM(Table31[Latin Total])</totalsRowFormula>
    </tableColumn>
    <tableColumn id="10" xr3:uid="{00000000-0010-0000-1F00-00000A000000}" name="Mandarin Total" totalsRowFunction="custom" dataDxfId="255" totalsRowDxfId="254">
      <totalsRowFormula>SUM(Table31[Mandarin Total])</totalsRowFormula>
    </tableColumn>
    <tableColumn id="11" xr3:uid="{00000000-0010-0000-1F00-00000B000000}" name="Spanish Total" totalsRowFunction="custom" dataDxfId="253" totalsRowDxfId="252">
      <totalsRowFormula>SUM(Table31[Spanish Total])</totalsRowFormula>
    </tableColumn>
    <tableColumn id="12" xr3:uid="{00000000-0010-0000-1F00-00000C000000}" name="Vietnamese Total" totalsRowFunction="custom" dataDxfId="251" totalsRowDxfId="250">
      <totalsRowFormula>SUM(Table31[Vietnamese Total])</totalsRowFormula>
    </tableColumn>
    <tableColumn id="13" xr3:uid="{00000000-0010-0000-1F00-00000D000000}" name="Other Total" totalsRowFunction="custom" dataDxfId="249" totalsRowDxfId="248">
      <totalsRowFormula>SUM(Table31[Other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Riverside county and also includes language totals."/>
    </ext>
  </extLst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20000000}" name="Table32" displayName="Table32" ref="A2:M11" totalsRowCount="1" headerRowDxfId="247">
  <autoFilter ref="A2:M10" xr:uid="{00000000-0009-0000-0100-000020000000}"/>
  <tableColumns count="13">
    <tableColumn id="1" xr3:uid="{00000000-0010-0000-2000-000001000000}" name="Participating Districts" totalsRowLabel="Sacramento County Total: 8"/>
    <tableColumn id="2" xr3:uid="{00000000-0010-0000-2000-000002000000}" name="Participating Schools" totalsRowLabel="48" totalsRowDxfId="246"/>
    <tableColumn id="3" xr3:uid="{00000000-0010-0000-2000-000003000000}" name="American Sign Language Total" totalsRowFunction="custom" totalsRowDxfId="245">
      <totalsRowFormula>SUM(Table32[American Sign Language Total])</totalsRowFormula>
    </tableColumn>
    <tableColumn id="4" xr3:uid="{00000000-0010-0000-2000-000004000000}" name="Cantonese Total" totalsRowFunction="custom" totalsRowDxfId="244">
      <totalsRowFormula>SUM(Table32[Cantonese Total])</totalsRowFormula>
    </tableColumn>
    <tableColumn id="5" xr3:uid="{00000000-0010-0000-2000-000005000000}" name="French Total" totalsRowFunction="custom" totalsRowDxfId="243">
      <totalsRowFormula>SUM(Table32[French Total])</totalsRowFormula>
    </tableColumn>
    <tableColumn id="6" xr3:uid="{00000000-0010-0000-2000-000006000000}" name="German Total" totalsRowFunction="custom" totalsRowDxfId="242">
      <totalsRowFormula>SUM(Table32[German Total])</totalsRowFormula>
    </tableColumn>
    <tableColumn id="7" xr3:uid="{00000000-0010-0000-2000-000007000000}" name=" Japanese Total" totalsRowFunction="custom" totalsRowDxfId="241">
      <totalsRowFormula>SUM(Table32[[ Japanese Total]])</totalsRowFormula>
    </tableColumn>
    <tableColumn id="8" xr3:uid="{00000000-0010-0000-2000-000008000000}" name="Korean Total" totalsRowFunction="custom" totalsRowDxfId="240">
      <totalsRowFormula>SUM(Table32[Korean Total])</totalsRowFormula>
    </tableColumn>
    <tableColumn id="9" xr3:uid="{00000000-0010-0000-2000-000009000000}" name="Latin Total" totalsRowFunction="custom" totalsRowDxfId="239">
      <totalsRowFormula>SUM(Table32[Latin Total])</totalsRowFormula>
    </tableColumn>
    <tableColumn id="10" xr3:uid="{00000000-0010-0000-2000-00000A000000}" name="Mandarin Total" totalsRowFunction="custom" totalsRowDxfId="238">
      <totalsRowFormula>SUM(Table32[Mandarin Total])</totalsRowFormula>
    </tableColumn>
    <tableColumn id="11" xr3:uid="{00000000-0010-0000-2000-00000B000000}" name="Spanish Total" totalsRowFunction="custom" totalsRowDxfId="237">
      <totalsRowFormula>SUM(Table32[Spanish Total])</totalsRowFormula>
    </tableColumn>
    <tableColumn id="12" xr3:uid="{00000000-0010-0000-2000-00000C000000}" name="Vietnamese Total" totalsRowFunction="custom" totalsRowDxfId="236">
      <totalsRowFormula>SUM(Table32[Vietnamese Total])</totalsRowFormula>
    </tableColumn>
    <tableColumn id="13" xr3:uid="{00000000-0010-0000-2000-00000D000000}" name="Other Total" totalsRowFunction="custom" totalsRowDxfId="235">
      <totalsRowFormula>SUM(Table32[Other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Sacramento county and also includes language totals."/>
    </ext>
  </extLst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1000000}" name="Table33" displayName="Table33" ref="A2:M4" totalsRowCount="1">
  <autoFilter ref="A2:M3" xr:uid="{00000000-0009-0000-0100-000021000000}"/>
  <tableColumns count="13">
    <tableColumn id="1" xr3:uid="{00000000-0010-0000-2100-000001000000}" name="Participating Districts" totalsRowLabel="San Benito County Total: 1"/>
    <tableColumn id="2" xr3:uid="{00000000-0010-0000-2100-000002000000}" name="Participating Schools" totalsRowLabel="1" totalsRowDxfId="234"/>
    <tableColumn id="3" xr3:uid="{00000000-0010-0000-2100-000003000000}" name="American Sign Language Total" totalsRowFunction="custom">
      <totalsRowFormula>SUM(Table33[American Sign Language Total])</totalsRowFormula>
    </tableColumn>
    <tableColumn id="4" xr3:uid="{00000000-0010-0000-2100-000004000000}" name="Cantonese Total" totalsRowFunction="custom">
      <totalsRowFormula>SUM(Table33[Cantonese Total])</totalsRowFormula>
    </tableColumn>
    <tableColumn id="5" xr3:uid="{00000000-0010-0000-2100-000005000000}" name="French Total" totalsRowFunction="custom">
      <totalsRowFormula>SUM(Table33[French Total])</totalsRowFormula>
    </tableColumn>
    <tableColumn id="6" xr3:uid="{00000000-0010-0000-2100-000006000000}" name="German Total" totalsRowFunction="custom">
      <totalsRowFormula>SUM(Table33[German Total])</totalsRowFormula>
    </tableColumn>
    <tableColumn id="7" xr3:uid="{00000000-0010-0000-2100-000007000000}" name=" Japanese Total" totalsRowFunction="custom">
      <totalsRowFormula>SUM(Table33[[ Japanese Total]])</totalsRowFormula>
    </tableColumn>
    <tableColumn id="8" xr3:uid="{00000000-0010-0000-2100-000008000000}" name="Korean Total" totalsRowFunction="custom">
      <totalsRowFormula>SUM(Table33[Korean Total])</totalsRowFormula>
    </tableColumn>
    <tableColumn id="9" xr3:uid="{00000000-0010-0000-2100-000009000000}" name="Latin Total" totalsRowFunction="custom">
      <totalsRowFormula>SUM(Table33[Latin Total])</totalsRowFormula>
    </tableColumn>
    <tableColumn id="10" xr3:uid="{00000000-0010-0000-2100-00000A000000}" name="Mandarin Total" totalsRowFunction="custom">
      <totalsRowFormula>SUM(Table33[Mandarin Total])</totalsRowFormula>
    </tableColumn>
    <tableColumn id="11" xr3:uid="{00000000-0010-0000-2100-00000B000000}" name="Spanish Total" totalsRowFunction="custom">
      <totalsRowFormula>SUM(Table33[Spanish Total])</totalsRowFormula>
    </tableColumn>
    <tableColumn id="12" xr3:uid="{00000000-0010-0000-2100-00000C000000}" name="Vietnamese Total" totalsRowFunction="custom">
      <totalsRowFormula>SUM(Table33[Vietnamese Total])</totalsRowFormula>
    </tableColumn>
    <tableColumn id="13" xr3:uid="{00000000-0010-0000-2100-00000D000000}" name="Other Total" totalsRowFunction="custom">
      <totalsRowFormula>SUM(Table33[Other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San Benito county and also includes language totals."/>
    </ext>
  </extLst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2000000}" name="Table34" displayName="Table34" ref="A2:M22" totalsRowCount="1" dataDxfId="233">
  <autoFilter ref="A2:M21" xr:uid="{00000000-0009-0000-0100-000022000000}"/>
  <tableColumns count="13">
    <tableColumn id="1" xr3:uid="{00000000-0010-0000-2200-000001000000}" name="Participating Districts" totalsRowLabel="San Bernardino County Total: 18" dataDxfId="232"/>
    <tableColumn id="2" xr3:uid="{00000000-0010-0000-2200-000002000000}" name="Participating Schools" totalsRowLabel="53" dataDxfId="231" totalsRowDxfId="230"/>
    <tableColumn id="3" xr3:uid="{00000000-0010-0000-2200-000003000000}" name="American Sign Language Total" totalsRowFunction="custom" dataDxfId="229" totalsRowDxfId="228">
      <totalsRowFormula>SUM(Table34[American Sign Language Total])</totalsRowFormula>
    </tableColumn>
    <tableColumn id="4" xr3:uid="{00000000-0010-0000-2200-000004000000}" name="Cantonese Total" totalsRowFunction="custom" dataDxfId="227" totalsRowDxfId="226">
      <totalsRowFormula>SUM(Table34[Cantonese Total])</totalsRowFormula>
    </tableColumn>
    <tableColumn id="5" xr3:uid="{00000000-0010-0000-2200-000005000000}" name="French Total" totalsRowFunction="custom" dataDxfId="225" totalsRowDxfId="224">
      <totalsRowFormula>SUM(Table34[French Total])</totalsRowFormula>
    </tableColumn>
    <tableColumn id="6" xr3:uid="{00000000-0010-0000-2200-000006000000}" name="German Total" totalsRowFunction="custom" dataDxfId="223" totalsRowDxfId="222">
      <totalsRowFormula>SUM(Table34[German Total])</totalsRowFormula>
    </tableColumn>
    <tableColumn id="7" xr3:uid="{00000000-0010-0000-2200-000007000000}" name=" Japanese Total" totalsRowFunction="custom" dataDxfId="221" totalsRowDxfId="220">
      <totalsRowFormula>SUM(Table34[[ Japanese Total]])</totalsRowFormula>
    </tableColumn>
    <tableColumn id="8" xr3:uid="{00000000-0010-0000-2200-000008000000}" name="Korean Total" totalsRowFunction="custom" dataDxfId="219" totalsRowDxfId="218">
      <totalsRowFormula>SUM(Table34[Korean Total])</totalsRowFormula>
    </tableColumn>
    <tableColumn id="9" xr3:uid="{00000000-0010-0000-2200-000009000000}" name="Latin Total" totalsRowFunction="custom" dataDxfId="217" totalsRowDxfId="216">
      <totalsRowFormula>SUM(Table34[Latin Total])</totalsRowFormula>
    </tableColumn>
    <tableColumn id="10" xr3:uid="{00000000-0010-0000-2200-00000A000000}" name="Mandarin Total" totalsRowFunction="custom" dataDxfId="215" totalsRowDxfId="214">
      <totalsRowFormula>SUM(Table34[Mandarin Total])</totalsRowFormula>
    </tableColumn>
    <tableColumn id="11" xr3:uid="{00000000-0010-0000-2200-00000B000000}" name="Spanish Total" totalsRowFunction="custom" dataDxfId="213" totalsRowDxfId="212">
      <totalsRowFormula>SUM(Table34[Spanish Total])</totalsRowFormula>
    </tableColumn>
    <tableColumn id="12" xr3:uid="{00000000-0010-0000-2200-00000C000000}" name="Vietnamese Total" totalsRowFunction="custom" dataDxfId="211" totalsRowDxfId="210">
      <totalsRowFormula>SUM(Table34[Vietnamese Total])</totalsRowFormula>
    </tableColumn>
    <tableColumn id="13" xr3:uid="{00000000-0010-0000-2200-00000D000000}" name="Other Total" totalsRowFunction="custom" dataDxfId="209" totalsRowDxfId="208">
      <totalsRowFormula>SUM(Table34[Other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San Bernardino county and also includes language totals."/>
    </ext>
  </extLst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3000000}" name="Table35" displayName="Table35" ref="A2:M18" totalsRowCount="1" dataDxfId="207">
  <autoFilter ref="A2:M17" xr:uid="{00000000-0009-0000-0100-000023000000}"/>
  <tableColumns count="13">
    <tableColumn id="1" xr3:uid="{00000000-0010-0000-2300-000001000000}" name="Participating Districts" totalsRowLabel="San Diego County Total: 15" dataDxfId="206"/>
    <tableColumn id="2" xr3:uid="{00000000-0010-0000-2300-000002000000}" name="Participating Schools" totalsRowLabel="61" dataDxfId="205" totalsRowDxfId="204"/>
    <tableColumn id="3" xr3:uid="{00000000-0010-0000-2300-000003000000}" name="American Sign Language Total" totalsRowFunction="custom" dataDxfId="203" totalsRowDxfId="202">
      <totalsRowFormula>SUM(Table35[American Sign Language Total])</totalsRowFormula>
    </tableColumn>
    <tableColumn id="4" xr3:uid="{00000000-0010-0000-2300-000004000000}" name="Cantonese Total" totalsRowFunction="custom" dataDxfId="201" totalsRowDxfId="200">
      <totalsRowFormula>SUM(Table35[Cantonese Total])</totalsRowFormula>
    </tableColumn>
    <tableColumn id="5" xr3:uid="{00000000-0010-0000-2300-000005000000}" name="French Total" totalsRowFunction="custom" dataDxfId="199" totalsRowDxfId="198">
      <totalsRowFormula>SUM(Table35[French Total])</totalsRowFormula>
    </tableColumn>
    <tableColumn id="6" xr3:uid="{00000000-0010-0000-2300-000006000000}" name="German Total" totalsRowFunction="custom" dataDxfId="197" totalsRowDxfId="196">
      <totalsRowFormula>SUM(Table35[German Total])</totalsRowFormula>
    </tableColumn>
    <tableColumn id="7" xr3:uid="{00000000-0010-0000-2300-000007000000}" name=" Japanese Total" totalsRowFunction="custom" dataDxfId="195" totalsRowDxfId="194">
      <totalsRowFormula>SUM(Table35[[ Japanese Total]])</totalsRowFormula>
    </tableColumn>
    <tableColumn id="8" xr3:uid="{00000000-0010-0000-2300-000008000000}" name="Korean Total" totalsRowFunction="custom" dataDxfId="193" totalsRowDxfId="192">
      <totalsRowFormula>SUM(Table35[Korean Total])</totalsRowFormula>
    </tableColumn>
    <tableColumn id="9" xr3:uid="{00000000-0010-0000-2300-000009000000}" name="Latin Total" totalsRowFunction="custom" dataDxfId="191" totalsRowDxfId="190">
      <totalsRowFormula>SUM(Table35[Latin Total])</totalsRowFormula>
    </tableColumn>
    <tableColumn id="10" xr3:uid="{00000000-0010-0000-2300-00000A000000}" name="Mandarin Total" totalsRowFunction="custom" dataDxfId="189" totalsRowDxfId="188">
      <totalsRowFormula>SUM(Table35[Mandarin Total])</totalsRowFormula>
    </tableColumn>
    <tableColumn id="11" xr3:uid="{00000000-0010-0000-2300-00000B000000}" name="Spanish Total" totalsRowFunction="custom" dataDxfId="187" totalsRowDxfId="186">
      <totalsRowFormula>SUM(Table35[Spanish Total])</totalsRowFormula>
    </tableColumn>
    <tableColumn id="12" xr3:uid="{00000000-0010-0000-2300-00000C000000}" name="Vietnamese Total" totalsRowFunction="custom" dataDxfId="185" totalsRowDxfId="184">
      <totalsRowFormula>SUM(Table35[Vietnamese Total])</totalsRowFormula>
    </tableColumn>
    <tableColumn id="13" xr3:uid="{00000000-0010-0000-2300-00000D000000}" name="Other Total" totalsRowFunction="custom" dataDxfId="183" totalsRowDxfId="182">
      <totalsRowFormula>SUM(Table35[Other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San Diego county and also includes language totals."/>
    </ext>
  </extLst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4000000}" name="Table36" displayName="Table36" ref="A2:M4" totalsRowCount="1" dataDxfId="181">
  <autoFilter ref="A2:M3" xr:uid="{00000000-0009-0000-0100-000024000000}"/>
  <tableColumns count="13">
    <tableColumn id="1" xr3:uid="{00000000-0010-0000-2400-000001000000}" name="Participating Districts" totalsRowLabel="San Francisco County Total: 1" dataDxfId="180"/>
    <tableColumn id="2" xr3:uid="{00000000-0010-0000-2400-000002000000}" name="Participating Schools" totalsRowLabel="15" dataDxfId="179" totalsRowDxfId="178"/>
    <tableColumn id="3" xr3:uid="{00000000-0010-0000-2400-000003000000}" name="American Sign Language Total" totalsRowFunction="custom" dataDxfId="177">
      <totalsRowFormula>SUM(Table36[American Sign Language Total])</totalsRowFormula>
    </tableColumn>
    <tableColumn id="4" xr3:uid="{00000000-0010-0000-2400-000004000000}" name="Cantonese Total" totalsRowFunction="custom" dataDxfId="176">
      <totalsRowFormula>SUM(Table36[Cantonese Total])</totalsRowFormula>
    </tableColumn>
    <tableColumn id="5" xr3:uid="{00000000-0010-0000-2400-000005000000}" name="French Total" totalsRowFunction="custom" dataDxfId="175">
      <totalsRowFormula>SUM(Table36[French Total])</totalsRowFormula>
    </tableColumn>
    <tableColumn id="6" xr3:uid="{00000000-0010-0000-2400-000006000000}" name="German Total" totalsRowFunction="custom" dataDxfId="174">
      <totalsRowFormula>SUM(Table36[German Total])</totalsRowFormula>
    </tableColumn>
    <tableColumn id="7" xr3:uid="{00000000-0010-0000-2400-000007000000}" name=" Japanese Total" totalsRowFunction="custom" dataDxfId="173">
      <totalsRowFormula>SUM(Table36[[ Japanese Total]])</totalsRowFormula>
    </tableColumn>
    <tableColumn id="8" xr3:uid="{00000000-0010-0000-2400-000008000000}" name="Korean Total" totalsRowFunction="custom" dataDxfId="172">
      <totalsRowFormula>SUM(Table36[Korean Total])</totalsRowFormula>
    </tableColumn>
    <tableColumn id="9" xr3:uid="{00000000-0010-0000-2400-000009000000}" name="Latin Total" totalsRowFunction="custom" dataDxfId="171">
      <totalsRowFormula>SUM(Table36[Latin Total])</totalsRowFormula>
    </tableColumn>
    <tableColumn id="10" xr3:uid="{00000000-0010-0000-2400-00000A000000}" name="Mandarin Total" totalsRowFunction="custom" dataDxfId="170">
      <totalsRowFormula>SUM(Table36[Mandarin Total])</totalsRowFormula>
    </tableColumn>
    <tableColumn id="11" xr3:uid="{00000000-0010-0000-2400-00000B000000}" name="Spanish Total" totalsRowFunction="custom" dataDxfId="169">
      <totalsRowFormula>SUM(Table36[Spanish Total])</totalsRowFormula>
    </tableColumn>
    <tableColumn id="12" xr3:uid="{00000000-0010-0000-2400-00000C000000}" name="Vietnamese Total" totalsRowFunction="custom" dataDxfId="168">
      <totalsRowFormula>SUM(Table36[Vietnamese Total])</totalsRowFormula>
    </tableColumn>
    <tableColumn id="13" xr3:uid="{00000000-0010-0000-2400-00000D000000}" name="Other Total" totalsRowFunction="custom" dataDxfId="167">
      <totalsRowFormula>SUM(Table36[Other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San Francisco county and also includes language totals."/>
    </ext>
  </extLst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5000000}" name="Table37" displayName="Table37" ref="A2:M13" totalsRowCount="1" dataDxfId="166">
  <autoFilter ref="A2:M12" xr:uid="{00000000-0009-0000-0100-000025000000}"/>
  <tableColumns count="13">
    <tableColumn id="1" xr3:uid="{00000000-0010-0000-2500-000001000000}" name="Participating Districts" totalsRowLabel="San Joaquin County Total: 10" dataDxfId="165"/>
    <tableColumn id="2" xr3:uid="{00000000-0010-0000-2500-000002000000}" name="Participating Schools" totalsRowLabel="25" dataDxfId="164" totalsRowDxfId="163"/>
    <tableColumn id="3" xr3:uid="{00000000-0010-0000-2500-000003000000}" name="American Sign Language Total" totalsRowFunction="custom" dataDxfId="162">
      <totalsRowFormula>SUM(Table37[American Sign Language Total])</totalsRowFormula>
    </tableColumn>
    <tableColumn id="4" xr3:uid="{00000000-0010-0000-2500-000004000000}" name="Cantonese Total" totalsRowFunction="custom" dataDxfId="161">
      <totalsRowFormula>SUM(Table37[Cantonese Total])</totalsRowFormula>
    </tableColumn>
    <tableColumn id="5" xr3:uid="{00000000-0010-0000-2500-000005000000}" name="French Total" totalsRowFunction="custom" dataDxfId="160">
      <totalsRowFormula>SUM(Table37[French Total])</totalsRowFormula>
    </tableColumn>
    <tableColumn id="6" xr3:uid="{00000000-0010-0000-2500-000006000000}" name="German Total" totalsRowFunction="custom" dataDxfId="159">
      <totalsRowFormula>SUM(Table37[German Total])</totalsRowFormula>
    </tableColumn>
    <tableColumn id="7" xr3:uid="{00000000-0010-0000-2500-000007000000}" name=" Japanese Total" totalsRowFunction="custom" dataDxfId="158">
      <totalsRowFormula>SUM(Table37[[ Japanese Total]])</totalsRowFormula>
    </tableColumn>
    <tableColumn id="8" xr3:uid="{00000000-0010-0000-2500-000008000000}" name="Korean Total" totalsRowFunction="custom" dataDxfId="157">
      <totalsRowFormula>SUM(Table37[Korean Total])</totalsRowFormula>
    </tableColumn>
    <tableColumn id="9" xr3:uid="{00000000-0010-0000-2500-000009000000}" name="Latin Total" totalsRowFunction="custom" dataDxfId="156">
      <totalsRowFormula>SUM(Table37[Latin Total])</totalsRowFormula>
    </tableColumn>
    <tableColumn id="10" xr3:uid="{00000000-0010-0000-2500-00000A000000}" name="Mandarin Total" totalsRowFunction="custom" dataDxfId="155">
      <totalsRowFormula>SUM(Table37[Mandarin Total])</totalsRowFormula>
    </tableColumn>
    <tableColumn id="11" xr3:uid="{00000000-0010-0000-2500-00000B000000}" name="Spanish Total" totalsRowFunction="custom" dataDxfId="154">
      <totalsRowFormula>SUM(Table37[Spanish Total])</totalsRowFormula>
    </tableColumn>
    <tableColumn id="12" xr3:uid="{00000000-0010-0000-2500-00000C000000}" name="Vietnamese Total" totalsRowFunction="custom" dataDxfId="153">
      <totalsRowFormula>SUM(Table37[Vietnamese Total])</totalsRowFormula>
    </tableColumn>
    <tableColumn id="13" xr3:uid="{00000000-0010-0000-2500-00000D000000}" name="Other Total" totalsRowFunction="custom" dataDxfId="152">
      <totalsRowFormula>SUM(Table37[Other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San Joaquin county and also includes language totals."/>
    </ext>
  </extLst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6000000}" name="Table38" displayName="Table38" ref="A2:M7" totalsRowCount="1">
  <autoFilter ref="A2:M6" xr:uid="{00000000-0009-0000-0100-000026000000}"/>
  <tableColumns count="13">
    <tableColumn id="1" xr3:uid="{00000000-0010-0000-2600-000001000000}" name="Participating Districts" totalsRowLabel="San Luis Obispo County Total: 4"/>
    <tableColumn id="2" xr3:uid="{00000000-0010-0000-2600-000002000000}" name="Participating Schools" totalsRowLabel="7" totalsRowDxfId="151"/>
    <tableColumn id="3" xr3:uid="{00000000-0010-0000-2600-000003000000}" name="American Sign Language Total" totalsRowFunction="custom">
      <totalsRowFormula>SUM(Table38[American Sign Language Total])</totalsRowFormula>
    </tableColumn>
    <tableColumn id="4" xr3:uid="{00000000-0010-0000-2600-000004000000}" name="Cantonese Total" totalsRowFunction="custom">
      <totalsRowFormula>SUM(Table38[Cantonese Total])</totalsRowFormula>
    </tableColumn>
    <tableColumn id="5" xr3:uid="{00000000-0010-0000-2600-000005000000}" name="French Total" totalsRowFunction="custom">
      <totalsRowFormula>SUM(Table38[French Total])</totalsRowFormula>
    </tableColumn>
    <tableColumn id="6" xr3:uid="{00000000-0010-0000-2600-000006000000}" name="German Total" totalsRowFunction="custom">
      <totalsRowFormula>SUM(Table38[German Total])</totalsRowFormula>
    </tableColumn>
    <tableColumn id="7" xr3:uid="{00000000-0010-0000-2600-000007000000}" name=" Japanese Total" totalsRowFunction="custom">
      <totalsRowFormula>SUM(Table38[[ Japanese Total]])</totalsRowFormula>
    </tableColumn>
    <tableColumn id="8" xr3:uid="{00000000-0010-0000-2600-000008000000}" name="Korean Total" totalsRowFunction="custom">
      <totalsRowFormula>SUM(Table38[Korean Total])</totalsRowFormula>
    </tableColumn>
    <tableColumn id="9" xr3:uid="{00000000-0010-0000-2600-000009000000}" name="Latin Total" totalsRowFunction="custom">
      <totalsRowFormula>SUM(Table38[Latin Total])</totalsRowFormula>
    </tableColumn>
    <tableColumn id="10" xr3:uid="{00000000-0010-0000-2600-00000A000000}" name="Mandarin Total" totalsRowFunction="custom">
      <totalsRowFormula>SUM(Table38[Mandarin Total])</totalsRowFormula>
    </tableColumn>
    <tableColumn id="11" xr3:uid="{00000000-0010-0000-2600-00000B000000}" name="Spanish Total" totalsRowFunction="custom">
      <totalsRowFormula>SUM(Table38[Spanish Total])</totalsRowFormula>
    </tableColumn>
    <tableColumn id="12" xr3:uid="{00000000-0010-0000-2600-00000C000000}" name="Vietnamese Total" totalsRowFunction="custom">
      <totalsRowFormula>SUM(Table38[Vietnamese Total])</totalsRowFormula>
    </tableColumn>
    <tableColumn id="13" xr3:uid="{00000000-0010-0000-2600-00000D000000}" name="Other Total" totalsRowFunction="custom">
      <totalsRowFormula>SUM(Table38[Other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San Luis Obispo county and also includes language totals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A2:M9" totalsRowCount="1" headerRowDxfId="442">
  <autoFilter ref="A2:M8" xr:uid="{00000000-0009-0000-0100-000004000000}"/>
  <tableColumns count="13">
    <tableColumn id="1" xr3:uid="{00000000-0010-0000-0300-000001000000}" name="Participating Districts" totalsRowLabel="Butte County Total: 6" totalsRowDxfId="441"/>
    <tableColumn id="2" xr3:uid="{00000000-0010-0000-0300-000002000000}" name="Participating Schools" totalsRowLabel="8" totalsRowDxfId="440"/>
    <tableColumn id="3" xr3:uid="{00000000-0010-0000-0300-000003000000}" name="American Sign Language Total" totalsRowFunction="custom">
      <totalsRowFormula>SUM(Table4[American Sign Language Total])</totalsRowFormula>
    </tableColumn>
    <tableColumn id="4" xr3:uid="{00000000-0010-0000-0300-000004000000}" name="Cantonese Total" totalsRowFunction="custom">
      <totalsRowFormula>SUM(Table4[Cantonese Total])</totalsRowFormula>
    </tableColumn>
    <tableColumn id="5" xr3:uid="{00000000-0010-0000-0300-000005000000}" name="French Total" totalsRowFunction="custom">
      <totalsRowFormula>SUM(Table4[French Total])</totalsRowFormula>
    </tableColumn>
    <tableColumn id="6" xr3:uid="{00000000-0010-0000-0300-000006000000}" name="German Total" totalsRowFunction="custom">
      <totalsRowFormula>SUM(Table4[German Total])</totalsRowFormula>
    </tableColumn>
    <tableColumn id="7" xr3:uid="{00000000-0010-0000-0300-000007000000}" name=" Japanese Total" totalsRowFunction="custom">
      <totalsRowFormula>SUM(Table4[[ Japanese Total]])</totalsRowFormula>
    </tableColumn>
    <tableColumn id="8" xr3:uid="{00000000-0010-0000-0300-000008000000}" name="Korean Total" totalsRowFunction="custom">
      <totalsRowFormula>SUM(Table4[Korean Total])</totalsRowFormula>
    </tableColumn>
    <tableColumn id="9" xr3:uid="{00000000-0010-0000-0300-000009000000}" name="Latin Total" totalsRowFunction="custom">
      <totalsRowFormula>SUM(Table4[Latin Total])</totalsRowFormula>
    </tableColumn>
    <tableColumn id="10" xr3:uid="{00000000-0010-0000-0300-00000A000000}" name="Mandarin Total" totalsRowFunction="custom">
      <totalsRowFormula>SUM(Table4[Mandarin Total])</totalsRowFormula>
    </tableColumn>
    <tableColumn id="11" xr3:uid="{00000000-0010-0000-0300-00000B000000}" name="Spanish Total" totalsRowFunction="custom">
      <totalsRowFormula>SUM(Table4[Spanish Total])</totalsRowFormula>
    </tableColumn>
    <tableColumn id="12" xr3:uid="{00000000-0010-0000-0300-00000C000000}" name="Vietnamese Total" totalsRowFunction="custom">
      <totalsRowFormula>SUM(Table4[Vietnamese Total])</totalsRowFormula>
    </tableColumn>
    <tableColumn id="13" xr3:uid="{00000000-0010-0000-0300-00000D000000}" name="Other Total" totalsRowFunction="custom">
      <totalsRowFormula>SUM(Table4[Other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Butte county and also includes language totals."/>
    </ext>
  </extLst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7000000}" name="Table39" displayName="Table39" ref="A2:M9" totalsRowCount="1" dataDxfId="150">
  <autoFilter ref="A2:M8" xr:uid="{00000000-0009-0000-0100-000027000000}"/>
  <tableColumns count="13">
    <tableColumn id="1" xr3:uid="{00000000-0010-0000-2700-000001000000}" name="Participating Districts" totalsRowLabel="San Mateo County Total: 6" dataDxfId="149"/>
    <tableColumn id="2" xr3:uid="{00000000-0010-0000-2700-000002000000}" name="Participating Schools" totalsRowLabel="19" dataDxfId="148" totalsRowDxfId="147"/>
    <tableColumn id="3" xr3:uid="{00000000-0010-0000-2700-000003000000}" name="American Sign Language Total" totalsRowFunction="custom" dataDxfId="146">
      <totalsRowFormula>SUM(Table39[American Sign Language Total])</totalsRowFormula>
    </tableColumn>
    <tableColumn id="4" xr3:uid="{00000000-0010-0000-2700-000004000000}" name="Cantonese Total" totalsRowFunction="custom" dataDxfId="145">
      <totalsRowFormula>SUM(Table39[Cantonese Total])</totalsRowFormula>
    </tableColumn>
    <tableColumn id="5" xr3:uid="{00000000-0010-0000-2700-000005000000}" name="French Total" totalsRowFunction="custom" dataDxfId="144">
      <totalsRowFormula>SUM(Table39[French Total])</totalsRowFormula>
    </tableColumn>
    <tableColumn id="6" xr3:uid="{00000000-0010-0000-2700-000006000000}" name="German Total" totalsRowFunction="custom" dataDxfId="143">
      <totalsRowFormula>SUM(Table39[German Total])</totalsRowFormula>
    </tableColumn>
    <tableColumn id="7" xr3:uid="{00000000-0010-0000-2700-000007000000}" name=" Japanese Total" totalsRowFunction="custom" dataDxfId="142">
      <totalsRowFormula>SUM(Table39[[ Japanese Total]])</totalsRowFormula>
    </tableColumn>
    <tableColumn id="8" xr3:uid="{00000000-0010-0000-2700-000008000000}" name="Korean Total" totalsRowFunction="custom" dataDxfId="141">
      <totalsRowFormula>SUM(Table39[Korean Total])</totalsRowFormula>
    </tableColumn>
    <tableColumn id="9" xr3:uid="{00000000-0010-0000-2700-000009000000}" name="Latin Total" totalsRowFunction="custom" dataDxfId="140">
      <totalsRowFormula>SUM(Table39[Latin Total])</totalsRowFormula>
    </tableColumn>
    <tableColumn id="10" xr3:uid="{00000000-0010-0000-2700-00000A000000}" name="Mandarin Total" totalsRowFunction="custom" dataDxfId="139">
      <totalsRowFormula>SUM(Table39[Mandarin Total])</totalsRowFormula>
    </tableColumn>
    <tableColumn id="11" xr3:uid="{00000000-0010-0000-2700-00000B000000}" name="Spanish Total" totalsRowFunction="custom" dataDxfId="138">
      <totalsRowFormula>SUM(Table39[Spanish Total])</totalsRowFormula>
    </tableColumn>
    <tableColumn id="12" xr3:uid="{00000000-0010-0000-2700-00000C000000}" name="Vietnamese Total" totalsRowFunction="custom" dataDxfId="137">
      <totalsRowFormula>SUM(Table39[Vietnamese Total])</totalsRowFormula>
    </tableColumn>
    <tableColumn id="13" xr3:uid="{00000000-0010-0000-2700-00000D000000}" name="Other Total" totalsRowFunction="custom" dataDxfId="136">
      <totalsRowFormula>SUM(Table39[Other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San Mateo county and also includes language totals."/>
    </ext>
  </extLst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8000000}" name="Table40" displayName="Table40" ref="A2:M9" totalsRowCount="1" dataDxfId="135">
  <autoFilter ref="A2:M8" xr:uid="{00000000-0009-0000-0100-000028000000}"/>
  <tableColumns count="13">
    <tableColumn id="1" xr3:uid="{00000000-0010-0000-2800-000001000000}" name="Participating Districts" totalsRowLabel="Santa Barbara County Total: 5" dataDxfId="134"/>
    <tableColumn id="2" xr3:uid="{00000000-0010-0000-2800-000002000000}" name="Participating Schools" totalsRowLabel="10" dataDxfId="133" totalsRowDxfId="132"/>
    <tableColumn id="3" xr3:uid="{00000000-0010-0000-2800-000003000000}" name="American Sign Language Total" totalsRowFunction="custom" dataDxfId="131">
      <totalsRowFormula>SUM(Table40[American Sign Language Total])</totalsRowFormula>
    </tableColumn>
    <tableColumn id="4" xr3:uid="{00000000-0010-0000-2800-000004000000}" name="Cantonese Total" totalsRowFunction="custom" dataDxfId="130">
      <totalsRowFormula>SUM(Table40[Cantonese Total])</totalsRowFormula>
    </tableColumn>
    <tableColumn id="5" xr3:uid="{00000000-0010-0000-2800-000005000000}" name="French Total" totalsRowFunction="custom" dataDxfId="129">
      <totalsRowFormula>SUM(Table40[French Total])</totalsRowFormula>
    </tableColumn>
    <tableColumn id="6" xr3:uid="{00000000-0010-0000-2800-000006000000}" name="German Total" totalsRowFunction="custom" dataDxfId="128">
      <totalsRowFormula>SUM(Table40[German Total])</totalsRowFormula>
    </tableColumn>
    <tableColumn id="7" xr3:uid="{00000000-0010-0000-2800-000007000000}" name=" Japanese Total" totalsRowFunction="custom" dataDxfId="127">
      <totalsRowFormula>SUM(Table40[[ Japanese Total]])</totalsRowFormula>
    </tableColumn>
    <tableColumn id="8" xr3:uid="{00000000-0010-0000-2800-000008000000}" name="Korean Total" totalsRowFunction="custom" dataDxfId="126">
      <totalsRowFormula>SUM(Table40[Korean Total])</totalsRowFormula>
    </tableColumn>
    <tableColumn id="9" xr3:uid="{00000000-0010-0000-2800-000009000000}" name="Latin Total" totalsRowFunction="custom" dataDxfId="125">
      <totalsRowFormula>SUM(Table40[Latin Total])</totalsRowFormula>
    </tableColumn>
    <tableColumn id="10" xr3:uid="{00000000-0010-0000-2800-00000A000000}" name="Mandarin Total" totalsRowFunction="custom" dataDxfId="124">
      <totalsRowFormula>SUM(Table40[Mandarin Total])</totalsRowFormula>
    </tableColumn>
    <tableColumn id="11" xr3:uid="{00000000-0010-0000-2800-00000B000000}" name="Spanish Total" totalsRowFunction="custom" dataDxfId="123">
      <totalsRowFormula>SUM(Table40[Spanish Total])</totalsRowFormula>
    </tableColumn>
    <tableColumn id="12" xr3:uid="{00000000-0010-0000-2800-00000C000000}" name="Vietnamese Total" totalsRowFunction="custom" dataDxfId="122">
      <totalsRowFormula>SUM(Table40[Vietnamese Total])</totalsRowFormula>
    </tableColumn>
    <tableColumn id="13" xr3:uid="{00000000-0010-0000-2800-00000D000000}" name="Other Total" totalsRowFunction="custom" dataDxfId="121">
      <totalsRowFormula>SUM(Table40[Other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Santa Barbara county and also includes language totals."/>
    </ext>
  </extLst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9000000}" name="Table41" displayName="Table41" ref="A2:M15" totalsRowCount="1" dataDxfId="120">
  <autoFilter ref="A2:M14" xr:uid="{00000000-0009-0000-0100-000029000000}"/>
  <tableColumns count="13">
    <tableColumn id="1" xr3:uid="{00000000-0010-0000-2900-000001000000}" name="Participating Districts" totalsRowLabel="Santa Clara County Total: 11" dataDxfId="119"/>
    <tableColumn id="2" xr3:uid="{00000000-0010-0000-2900-000002000000}" name="Participating Schools" totalsRowLabel="53" dataDxfId="118" totalsRowDxfId="117"/>
    <tableColumn id="3" xr3:uid="{00000000-0010-0000-2900-000003000000}" name="American Sign Language Total" totalsRowFunction="custom" dataDxfId="116" totalsRowDxfId="115">
      <totalsRowFormula>SUM(Table41[American Sign Language Total])</totalsRowFormula>
    </tableColumn>
    <tableColumn id="4" xr3:uid="{00000000-0010-0000-2900-000004000000}" name="Cantonese Total" totalsRowFunction="custom" dataDxfId="114" totalsRowDxfId="113">
      <totalsRowFormula>SUM(Table41[Cantonese Total])</totalsRowFormula>
    </tableColumn>
    <tableColumn id="5" xr3:uid="{00000000-0010-0000-2900-000005000000}" name="French Total" totalsRowFunction="custom" dataDxfId="112" totalsRowDxfId="111">
      <totalsRowFormula>SUM(Table41[French Total])</totalsRowFormula>
    </tableColumn>
    <tableColumn id="6" xr3:uid="{00000000-0010-0000-2900-000006000000}" name="German Total" totalsRowFunction="custom" dataDxfId="110" totalsRowDxfId="109">
      <totalsRowFormula>SUM(Table41[German Total])</totalsRowFormula>
    </tableColumn>
    <tableColumn id="7" xr3:uid="{00000000-0010-0000-2900-000007000000}" name=" Japanese Total" totalsRowFunction="custom" dataDxfId="108" totalsRowDxfId="107">
      <totalsRowFormula>SUM(Table41[[ Japanese Total]])</totalsRowFormula>
    </tableColumn>
    <tableColumn id="8" xr3:uid="{00000000-0010-0000-2900-000008000000}" name="Korean Total" totalsRowFunction="custom" dataDxfId="106" totalsRowDxfId="105">
      <totalsRowFormula>SUM(Table41[Korean Total])</totalsRowFormula>
    </tableColumn>
    <tableColumn id="9" xr3:uid="{00000000-0010-0000-2900-000009000000}" name="Latin Total" totalsRowFunction="custom" dataDxfId="104" totalsRowDxfId="103">
      <totalsRowFormula>SUM(Table41[Latin Total])</totalsRowFormula>
    </tableColumn>
    <tableColumn id="10" xr3:uid="{00000000-0010-0000-2900-00000A000000}" name="Mandarin Total" totalsRowFunction="custom" dataDxfId="102" totalsRowDxfId="101">
      <totalsRowFormula>SUM(Table41[Mandarin Total])</totalsRowFormula>
    </tableColumn>
    <tableColumn id="11" xr3:uid="{00000000-0010-0000-2900-00000B000000}" name="Spanish Total" totalsRowFunction="custom" dataDxfId="100" totalsRowDxfId="99">
      <totalsRowFormula>SUM(Table41[Spanish Total])</totalsRowFormula>
    </tableColumn>
    <tableColumn id="12" xr3:uid="{00000000-0010-0000-2900-00000C000000}" name="Vietnamese Total" totalsRowFunction="custom" dataDxfId="98" totalsRowDxfId="97">
      <totalsRowFormula>SUM(Table41[Vietnamese Total])</totalsRowFormula>
    </tableColumn>
    <tableColumn id="13" xr3:uid="{00000000-0010-0000-2900-00000D000000}" name="Other Total" totalsRowFunction="custom" dataDxfId="96" totalsRowDxfId="95">
      <totalsRowFormula>SUM(Table41[Other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Santa Clara county and also includes language totals."/>
    </ext>
  </extLst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A000000}" name="Table42" displayName="Table42" ref="A2:M7" totalsRowCount="1" dataDxfId="94">
  <autoFilter ref="A2:M6" xr:uid="{00000000-0009-0000-0100-00002A000000}"/>
  <tableColumns count="13">
    <tableColumn id="1" xr3:uid="{00000000-0010-0000-2A00-000001000000}" name="Participating Districts" totalsRowLabel="Santa Cruz County Total: 4" dataDxfId="93"/>
    <tableColumn id="2" xr3:uid="{00000000-0010-0000-2A00-000002000000}" name="Participating Schools" totalsRowLabel="8" dataDxfId="92" totalsRowDxfId="91"/>
    <tableColumn id="3" xr3:uid="{00000000-0010-0000-2A00-000003000000}" name="American Sign Language Total" totalsRowFunction="custom" dataDxfId="90">
      <totalsRowFormula>SUM(Table42[American Sign Language Total])</totalsRowFormula>
    </tableColumn>
    <tableColumn id="4" xr3:uid="{00000000-0010-0000-2A00-000004000000}" name="Cantonese Total" totalsRowFunction="custom" dataDxfId="89">
      <totalsRowFormula>SUM(Table42[Cantonese Total])</totalsRowFormula>
    </tableColumn>
    <tableColumn id="5" xr3:uid="{00000000-0010-0000-2A00-000005000000}" name="French Total" totalsRowFunction="custom" dataDxfId="88">
      <totalsRowFormula>SUM(Table42[French Total])</totalsRowFormula>
    </tableColumn>
    <tableColumn id="6" xr3:uid="{00000000-0010-0000-2A00-000006000000}" name="German Total" totalsRowFunction="custom" dataDxfId="87">
      <totalsRowFormula>SUM(Table42[German Total])</totalsRowFormula>
    </tableColumn>
    <tableColumn id="7" xr3:uid="{00000000-0010-0000-2A00-000007000000}" name=" Japanese Total" totalsRowFunction="custom" dataDxfId="86">
      <totalsRowFormula>SUM(Table42[[ Japanese Total]])</totalsRowFormula>
    </tableColumn>
    <tableColumn id="8" xr3:uid="{00000000-0010-0000-2A00-000008000000}" name="Korean Total" totalsRowFunction="custom" dataDxfId="85">
      <totalsRowFormula>SUM(Table42[Korean Total])</totalsRowFormula>
    </tableColumn>
    <tableColumn id="9" xr3:uid="{00000000-0010-0000-2A00-000009000000}" name="Latin Total" totalsRowFunction="custom" dataDxfId="84">
      <totalsRowFormula>SUM(Table42[Latin Total])</totalsRowFormula>
    </tableColumn>
    <tableColumn id="10" xr3:uid="{00000000-0010-0000-2A00-00000A000000}" name="Mandarin Total" totalsRowFunction="custom" dataDxfId="83">
      <totalsRowFormula>SUM(Table42[Mandarin Total])</totalsRowFormula>
    </tableColumn>
    <tableColumn id="11" xr3:uid="{00000000-0010-0000-2A00-00000B000000}" name="Spanish Total" totalsRowFunction="custom" dataDxfId="82">
      <totalsRowFormula>SUM(Table42[Spanish Total])</totalsRowFormula>
    </tableColumn>
    <tableColumn id="12" xr3:uid="{00000000-0010-0000-2A00-00000C000000}" name="Vietnamese Total" totalsRowFunction="custom" dataDxfId="81">
      <totalsRowFormula>SUM(Table42[Vietnamese Total])</totalsRowFormula>
    </tableColumn>
    <tableColumn id="13" xr3:uid="{00000000-0010-0000-2A00-00000D000000}" name="Other Total" totalsRowFunction="custom" dataDxfId="80">
      <totalsRowFormula>SUM(Table42[Other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Santa Cruz county and also includes language totals."/>
    </ext>
  </extLst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B000000}" name="Table43" displayName="Table43" ref="A2:M4" totalsRowCount="1">
  <autoFilter ref="A2:M3" xr:uid="{00000000-0009-0000-0100-00002B000000}"/>
  <tableColumns count="13">
    <tableColumn id="1" xr3:uid="{00000000-0010-0000-2B00-000001000000}" name="Participating Districts" totalsRowLabel="Shasta County Total: 1"/>
    <tableColumn id="2" xr3:uid="{00000000-0010-0000-2B00-000002000000}" name="Participating Schools" totalsRowLabel="1" totalsRowDxfId="79"/>
    <tableColumn id="3" xr3:uid="{00000000-0010-0000-2B00-000003000000}" name="American Sign Language Total" totalsRowFunction="custom">
      <totalsRowFormula>SUM(Table43[American Sign Language Total])</totalsRowFormula>
    </tableColumn>
    <tableColumn id="4" xr3:uid="{00000000-0010-0000-2B00-000004000000}" name="Cantonese Total" totalsRowFunction="custom">
      <totalsRowFormula>SUM(Table43[Cantonese Total])</totalsRowFormula>
    </tableColumn>
    <tableColumn id="5" xr3:uid="{00000000-0010-0000-2B00-000005000000}" name="French Total" totalsRowFunction="custom">
      <totalsRowFormula>SUM(Table43[French Total])</totalsRowFormula>
    </tableColumn>
    <tableColumn id="6" xr3:uid="{00000000-0010-0000-2B00-000006000000}" name="German Total" totalsRowFunction="custom">
      <totalsRowFormula>SUM(Table43[German Total])</totalsRowFormula>
    </tableColumn>
    <tableColumn id="7" xr3:uid="{00000000-0010-0000-2B00-000007000000}" name=" Japanese Total" totalsRowFunction="custom">
      <totalsRowFormula>SUM(Table43[[ Japanese Total]])</totalsRowFormula>
    </tableColumn>
    <tableColumn id="8" xr3:uid="{00000000-0010-0000-2B00-000008000000}" name="Korean Total" totalsRowFunction="custom">
      <totalsRowFormula>SUM(Table43[Korean Total])</totalsRowFormula>
    </tableColumn>
    <tableColumn id="9" xr3:uid="{00000000-0010-0000-2B00-000009000000}" name="Latin Total" totalsRowFunction="custom">
      <totalsRowFormula>SUM(Table43[Latin Total])</totalsRowFormula>
    </tableColumn>
    <tableColumn id="10" xr3:uid="{00000000-0010-0000-2B00-00000A000000}" name="Mandarin Total" totalsRowFunction="custom">
      <totalsRowFormula>SUM(Table43[Mandarin Total])</totalsRowFormula>
    </tableColumn>
    <tableColumn id="11" xr3:uid="{00000000-0010-0000-2B00-00000B000000}" name="Spanish Total" totalsRowFunction="custom">
      <totalsRowFormula>SUM(Table43[Spanish Total])</totalsRowFormula>
    </tableColumn>
    <tableColumn id="12" xr3:uid="{00000000-0010-0000-2B00-00000C000000}" name="Vietnamese Total" totalsRowFunction="custom">
      <totalsRowFormula>SUM(Table43[Vietnamese Total])</totalsRowFormula>
    </tableColumn>
    <tableColumn id="13" xr3:uid="{00000000-0010-0000-2B00-00000D000000}" name="Other Total" totalsRowFunction="custom">
      <totalsRowFormula>SUM(Table43[Other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Shasta county and also includes language totals."/>
    </ext>
  </extLst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C000000}" name="Table44" displayName="Table44" ref="A2:M7" totalsRowCount="1" dataDxfId="78">
  <autoFilter ref="A2:M6" xr:uid="{00000000-0009-0000-0100-00002C000000}"/>
  <tableColumns count="13">
    <tableColumn id="1" xr3:uid="{00000000-0010-0000-2C00-000001000000}" name="Participating Districts" totalsRowLabel="Solano County Total: 4" dataDxfId="77"/>
    <tableColumn id="2" xr3:uid="{00000000-0010-0000-2C00-000002000000}" name="Participating Schools" totalsRowLabel="9" dataDxfId="76"/>
    <tableColumn id="3" xr3:uid="{00000000-0010-0000-2C00-000003000000}" name="American Sign Language Total" totalsRowFunction="custom" dataDxfId="75">
      <totalsRowFormula>SUM(Table44[American Sign Language Total])</totalsRowFormula>
    </tableColumn>
    <tableColumn id="4" xr3:uid="{00000000-0010-0000-2C00-000004000000}" name="Cantonese Total" totalsRowFunction="custom" dataDxfId="74">
      <totalsRowFormula>SUM(Table44[Cantonese Total])</totalsRowFormula>
    </tableColumn>
    <tableColumn id="5" xr3:uid="{00000000-0010-0000-2C00-000005000000}" name="French Total" totalsRowFunction="custom" dataDxfId="73">
      <totalsRowFormula>SUM(Table44[French Total])</totalsRowFormula>
    </tableColumn>
    <tableColumn id="6" xr3:uid="{00000000-0010-0000-2C00-000006000000}" name="German Total" totalsRowFunction="custom" dataDxfId="72">
      <totalsRowFormula>SUM(Table44[German Total])</totalsRowFormula>
    </tableColumn>
    <tableColumn id="7" xr3:uid="{00000000-0010-0000-2C00-000007000000}" name=" Japanese Total" totalsRowFunction="custom" dataDxfId="71">
      <totalsRowFormula>SUM(Table44[[ Japanese Total]])</totalsRowFormula>
    </tableColumn>
    <tableColumn id="8" xr3:uid="{00000000-0010-0000-2C00-000008000000}" name="Korean Total" totalsRowFunction="custom" dataDxfId="70">
      <totalsRowFormula>SUM(Table44[Korean Total])</totalsRowFormula>
    </tableColumn>
    <tableColumn id="9" xr3:uid="{00000000-0010-0000-2C00-000009000000}" name="Latin Total" totalsRowFunction="custom" dataDxfId="69">
      <totalsRowFormula>SUM(Table44[Latin Total])</totalsRowFormula>
    </tableColumn>
    <tableColumn id="10" xr3:uid="{00000000-0010-0000-2C00-00000A000000}" name="Mandarin Total" totalsRowFunction="custom" dataDxfId="68">
      <totalsRowFormula>SUM(Table44[Mandarin Total])</totalsRowFormula>
    </tableColumn>
    <tableColumn id="11" xr3:uid="{00000000-0010-0000-2C00-00000B000000}" name="Spanish Total" totalsRowFunction="custom" dataDxfId="67">
      <totalsRowFormula>SUM(Table44[Spanish Total])</totalsRowFormula>
    </tableColumn>
    <tableColumn id="12" xr3:uid="{00000000-0010-0000-2C00-00000C000000}" name="Vietnamese Total" totalsRowFunction="custom" dataDxfId="66">
      <totalsRowFormula>SUM(Table44[Vietnamese Total])</totalsRowFormula>
    </tableColumn>
    <tableColumn id="13" xr3:uid="{00000000-0010-0000-2C00-00000D000000}" name="Other Total" totalsRowFunction="custom" dataDxfId="65">
      <totalsRowFormula>SUM(Table44[Other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Solano county and also includes language totals."/>
    </ext>
  </extLst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D000000}" name="Table45" displayName="Table45" ref="A2:M11" totalsRowCount="1" dataDxfId="64">
  <autoFilter ref="A2:M10" xr:uid="{00000000-0009-0000-0100-00002D000000}"/>
  <tableColumns count="13">
    <tableColumn id="1" xr3:uid="{00000000-0010-0000-2D00-000001000000}" name="Participating Districts" totalsRowLabel="Sonoma County Total: 8" dataDxfId="63"/>
    <tableColumn id="2" xr3:uid="{00000000-0010-0000-2D00-000002000000}" name="Participating Schools" totalsRowLabel="14" dataDxfId="62" totalsRowDxfId="61"/>
    <tableColumn id="3" xr3:uid="{00000000-0010-0000-2D00-000003000000}" name="American Sign Language Total" totalsRowFunction="custom" dataDxfId="60">
      <totalsRowFormula>SUM(Table45[American Sign Language Total])</totalsRowFormula>
    </tableColumn>
    <tableColumn id="4" xr3:uid="{00000000-0010-0000-2D00-000004000000}" name="Cantonese Total" totalsRowFunction="custom" dataDxfId="59">
      <totalsRowFormula>SUM(Table45[Cantonese Total])</totalsRowFormula>
    </tableColumn>
    <tableColumn id="5" xr3:uid="{00000000-0010-0000-2D00-000005000000}" name="French Total" totalsRowFunction="custom" dataDxfId="58">
      <totalsRowFormula>SUM(Table45[French Total])</totalsRowFormula>
    </tableColumn>
    <tableColumn id="6" xr3:uid="{00000000-0010-0000-2D00-000006000000}" name="German Total" totalsRowFunction="custom" dataDxfId="57">
      <totalsRowFormula>SUM(Table45[German Total])</totalsRowFormula>
    </tableColumn>
    <tableColumn id="7" xr3:uid="{00000000-0010-0000-2D00-000007000000}" name=" Japanese Total" totalsRowFunction="custom" dataDxfId="56">
      <totalsRowFormula>SUM(Table45[[ Japanese Total]])</totalsRowFormula>
    </tableColumn>
    <tableColumn id="8" xr3:uid="{00000000-0010-0000-2D00-000008000000}" name="Korean Total" totalsRowFunction="custom" dataDxfId="55">
      <totalsRowFormula>SUM(Table45[Korean Total])</totalsRowFormula>
    </tableColumn>
    <tableColumn id="9" xr3:uid="{00000000-0010-0000-2D00-000009000000}" name="Latin Total" totalsRowFunction="custom" dataDxfId="54">
      <totalsRowFormula>SUM(Table45[Latin Total])</totalsRowFormula>
    </tableColumn>
    <tableColumn id="10" xr3:uid="{00000000-0010-0000-2D00-00000A000000}" name="Mandarin Total" totalsRowFunction="custom" dataDxfId="53">
      <totalsRowFormula>SUM(Table45[Mandarin Total])</totalsRowFormula>
    </tableColumn>
    <tableColumn id="11" xr3:uid="{00000000-0010-0000-2D00-00000B000000}" name="Spanish Total" totalsRowFunction="custom" dataDxfId="52">
      <totalsRowFormula>SUM(Table45[Spanish Total])</totalsRowFormula>
    </tableColumn>
    <tableColumn id="12" xr3:uid="{00000000-0010-0000-2D00-00000C000000}" name="Vietnamese Total" totalsRowFunction="custom" dataDxfId="51">
      <totalsRowFormula>SUM(Table45[Vietnamese Total])</totalsRowFormula>
    </tableColumn>
    <tableColumn id="13" xr3:uid="{00000000-0010-0000-2D00-00000D000000}" name="Other Total" totalsRowFunction="custom" dataDxfId="50">
      <totalsRowFormula>SUM(Table45[Other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Sonoma county and also includes language totals."/>
    </ext>
  </extLst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E000000}" name="Table46" displayName="Table46" ref="A2:M9" totalsRowCount="1">
  <autoFilter ref="A2:M8" xr:uid="{00000000-0009-0000-0100-00002E000000}"/>
  <tableColumns count="13">
    <tableColumn id="1" xr3:uid="{00000000-0010-0000-2E00-000001000000}" name="Participating Districts" totalsRowLabel="Stanislaus County Total: 6"/>
    <tableColumn id="2" xr3:uid="{00000000-0010-0000-2E00-000002000000}" name="Participating Schools" totalsRowLabel="14" totalsRowDxfId="49"/>
    <tableColumn id="3" xr3:uid="{00000000-0010-0000-2E00-000003000000}" name="American Sign Language Total" totalsRowFunction="custom">
      <totalsRowFormula>SUM(Table46[American Sign Language Total])</totalsRowFormula>
    </tableColumn>
    <tableColumn id="4" xr3:uid="{00000000-0010-0000-2E00-000004000000}" name="Cantonese Total" totalsRowFunction="custom">
      <totalsRowFormula>SUM(Table46[Cantonese Total])</totalsRowFormula>
    </tableColumn>
    <tableColumn id="5" xr3:uid="{00000000-0010-0000-2E00-000005000000}" name="French Total" totalsRowFunction="custom">
      <totalsRowFormula>SUM(Table46[French Total])</totalsRowFormula>
    </tableColumn>
    <tableColumn id="6" xr3:uid="{00000000-0010-0000-2E00-000006000000}" name="German Total" totalsRowFunction="custom">
      <totalsRowFormula>SUM(Table46[German Total])</totalsRowFormula>
    </tableColumn>
    <tableColumn id="7" xr3:uid="{00000000-0010-0000-2E00-000007000000}" name=" Japanese Total" totalsRowFunction="custom">
      <totalsRowFormula>SUM(Table46[[ Japanese Total]])</totalsRowFormula>
    </tableColumn>
    <tableColumn id="8" xr3:uid="{00000000-0010-0000-2E00-000008000000}" name="Korean Total" totalsRowFunction="custom">
      <totalsRowFormula>SUM(Table46[Korean Total])</totalsRowFormula>
    </tableColumn>
    <tableColumn id="9" xr3:uid="{00000000-0010-0000-2E00-000009000000}" name="Latin Total" totalsRowFunction="custom">
      <totalsRowFormula>SUM(Table46[Latin Total])</totalsRowFormula>
    </tableColumn>
    <tableColumn id="10" xr3:uid="{00000000-0010-0000-2E00-00000A000000}" name="Mandarin Total" totalsRowFunction="custom">
      <totalsRowFormula>SUM(Table46[Mandarin Total])</totalsRowFormula>
    </tableColumn>
    <tableColumn id="11" xr3:uid="{00000000-0010-0000-2E00-00000B000000}" name="Spanish Total" totalsRowFunction="custom">
      <totalsRowFormula>SUM(Table46[Spanish Total])</totalsRowFormula>
    </tableColumn>
    <tableColumn id="12" xr3:uid="{00000000-0010-0000-2E00-00000C000000}" name="Vietnamese Total" totalsRowFunction="custom">
      <totalsRowFormula>SUM(Table46[Vietnamese Total])</totalsRowFormula>
    </tableColumn>
    <tableColumn id="13" xr3:uid="{00000000-0010-0000-2E00-00000D000000}" name="Other Total" totalsRowFunction="custom">
      <totalsRowFormula>SUM(Table46[Other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Stanislaus county and also includes language totals."/>
    </ext>
  </extLst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F000000}" name="Table47" displayName="Table47" ref="A2:M8" totalsRowCount="1">
  <autoFilter ref="A2:M7" xr:uid="{00000000-0009-0000-0100-00002F000000}"/>
  <tableColumns count="13">
    <tableColumn id="1" xr3:uid="{00000000-0010-0000-2F00-000001000000}" name="Participating Districts" totalsRowLabel="Sutter County Total: 5"/>
    <tableColumn id="2" xr3:uid="{00000000-0010-0000-2F00-000002000000}" name="Participating Schools" totalsRowLabel="6" totalsRowDxfId="48"/>
    <tableColumn id="3" xr3:uid="{00000000-0010-0000-2F00-000003000000}" name="American Sign Language Total" totalsRowFunction="custom">
      <totalsRowFormula>SUM(Table47[American Sign Language Total])</totalsRowFormula>
    </tableColumn>
    <tableColumn id="4" xr3:uid="{00000000-0010-0000-2F00-000004000000}" name="Cantonese Total" totalsRowFunction="custom">
      <totalsRowFormula>SUM(Table47[Cantonese Total])</totalsRowFormula>
    </tableColumn>
    <tableColumn id="5" xr3:uid="{00000000-0010-0000-2F00-000005000000}" name="French Total" totalsRowFunction="custom">
      <totalsRowFormula>SUM(Table47[French Total])</totalsRowFormula>
    </tableColumn>
    <tableColumn id="6" xr3:uid="{00000000-0010-0000-2F00-000006000000}" name="German Total" totalsRowFunction="custom">
      <totalsRowFormula>SUM(Table47[German Total])</totalsRowFormula>
    </tableColumn>
    <tableColumn id="7" xr3:uid="{00000000-0010-0000-2F00-000007000000}" name=" Japanese Total" totalsRowFunction="custom">
      <totalsRowFormula>SUM(Table47[[ Japanese Total]])</totalsRowFormula>
    </tableColumn>
    <tableColumn id="8" xr3:uid="{00000000-0010-0000-2F00-000008000000}" name="Korean Total" totalsRowFunction="custom">
      <totalsRowFormula>SUM(Table47[Korean Total])</totalsRowFormula>
    </tableColumn>
    <tableColumn id="9" xr3:uid="{00000000-0010-0000-2F00-000009000000}" name="Latin Total" totalsRowFunction="custom">
      <totalsRowFormula>SUM(Table47[Latin Total])</totalsRowFormula>
    </tableColumn>
    <tableColumn id="10" xr3:uid="{00000000-0010-0000-2F00-00000A000000}" name="Mandarin Total" totalsRowFunction="custom">
      <totalsRowFormula>SUM(Table47[Mandarin Total])</totalsRowFormula>
    </tableColumn>
    <tableColumn id="11" xr3:uid="{00000000-0010-0000-2F00-00000B000000}" name="Spanish Total" totalsRowFunction="custom">
      <totalsRowFormula>SUM(Table47[Spanish Total])</totalsRowFormula>
    </tableColumn>
    <tableColumn id="12" xr3:uid="{00000000-0010-0000-2F00-00000C000000}" name="Vietnamese Total" totalsRowFunction="custom">
      <totalsRowFormula>SUM(Table47[Vietnamese Total])</totalsRowFormula>
    </tableColumn>
    <tableColumn id="13" xr3:uid="{00000000-0010-0000-2F00-00000D000000}" name="Other Total" totalsRowFunction="custom">
      <totalsRowFormula>SUM(Table47[Other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Sutter county and also includes language totals."/>
    </ext>
  </extLst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0000000-000C-0000-FFFF-FFFF30000000}" name="Table48" displayName="Table48" ref="A2:M5" totalsRowCount="1">
  <autoFilter ref="A2:M4" xr:uid="{00000000-0009-0000-0100-000030000000}"/>
  <tableColumns count="13">
    <tableColumn id="1" xr3:uid="{00000000-0010-0000-3000-000001000000}" name="Participating Districts" totalsRowLabel="Tehama County Total: 2"/>
    <tableColumn id="2" xr3:uid="{00000000-0010-0000-3000-000002000000}" name="Participating Schools" totalsRowLabel="2" totalsRowDxfId="47"/>
    <tableColumn id="3" xr3:uid="{00000000-0010-0000-3000-000003000000}" name="American Sign Language Total" totalsRowFunction="custom">
      <totalsRowFormula>SUM(Table48[American Sign Language Total])</totalsRowFormula>
    </tableColumn>
    <tableColumn id="4" xr3:uid="{00000000-0010-0000-3000-000004000000}" name="Cantonese Total" totalsRowFunction="custom">
      <totalsRowFormula>SUM(Table48[Cantonese Total])</totalsRowFormula>
    </tableColumn>
    <tableColumn id="5" xr3:uid="{00000000-0010-0000-3000-000005000000}" name="French Total" totalsRowFunction="custom">
      <totalsRowFormula>SUM(Table48[French Total])</totalsRowFormula>
    </tableColumn>
    <tableColumn id="6" xr3:uid="{00000000-0010-0000-3000-000006000000}" name="German Total" totalsRowFunction="custom">
      <totalsRowFormula>SUM(Table48[German Total])</totalsRowFormula>
    </tableColumn>
    <tableColumn id="7" xr3:uid="{00000000-0010-0000-3000-000007000000}" name=" Japanese Total" totalsRowFunction="custom">
      <totalsRowFormula>SUM(Table48[[ Japanese Total]])</totalsRowFormula>
    </tableColumn>
    <tableColumn id="8" xr3:uid="{00000000-0010-0000-3000-000008000000}" name="Korean Total" totalsRowFunction="custom">
      <totalsRowFormula>SUM(Table48[Korean Total])</totalsRowFormula>
    </tableColumn>
    <tableColumn id="9" xr3:uid="{00000000-0010-0000-3000-000009000000}" name="Latin Total" totalsRowFunction="custom">
      <totalsRowFormula>SUM(Table48[Latin Total])</totalsRowFormula>
    </tableColumn>
    <tableColumn id="10" xr3:uid="{00000000-0010-0000-3000-00000A000000}" name="Mandarin Total" totalsRowFunction="custom">
      <totalsRowFormula>SUM(Table48[Mandarin Total])</totalsRowFormula>
    </tableColumn>
    <tableColumn id="11" xr3:uid="{00000000-0010-0000-3000-00000B000000}" name="Spanish Total" totalsRowFunction="custom">
      <totalsRowFormula>SUM(Table48[Spanish Total])</totalsRowFormula>
    </tableColumn>
    <tableColumn id="12" xr3:uid="{00000000-0010-0000-3000-00000C000000}" name="Vietnamese Total" totalsRowFunction="custom">
      <totalsRowFormula>SUM(Table48[Vietnamese Total])</totalsRowFormula>
    </tableColumn>
    <tableColumn id="13" xr3:uid="{00000000-0010-0000-3000-00000D000000}" name="Other Total" totalsRowFunction="custom">
      <totalsRowFormula>SUM(Table48[Other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Tehama county and also includes language totals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5" displayName="Table5" ref="A2:M4" totalsRowCount="1" headerRowDxfId="439">
  <autoFilter ref="A2:M3" xr:uid="{00000000-0009-0000-0100-000005000000}"/>
  <tableColumns count="13">
    <tableColumn id="1" xr3:uid="{00000000-0010-0000-0400-000001000000}" name="Participating Districts" totalsRowLabel="Calaveras County Total: 1" totalsRowDxfId="438"/>
    <tableColumn id="2" xr3:uid="{00000000-0010-0000-0400-000002000000}" name="Participating Schools" totalsRowLabel="1" totalsRowDxfId="437"/>
    <tableColumn id="3" xr3:uid="{00000000-0010-0000-0400-000003000000}" name="American Sign Language Total" totalsRowFunction="custom">
      <totalsRowFormula>SUM(Table5[American Sign Language Total])</totalsRowFormula>
    </tableColumn>
    <tableColumn id="4" xr3:uid="{00000000-0010-0000-0400-000004000000}" name="Cantonese Total" totalsRowFunction="custom">
      <totalsRowFormula>SUM(Table5[Cantonese Total])</totalsRowFormula>
    </tableColumn>
    <tableColumn id="5" xr3:uid="{00000000-0010-0000-0400-000005000000}" name="French Total" totalsRowFunction="custom">
      <totalsRowFormula>SUM(Table5[French Total])</totalsRowFormula>
    </tableColumn>
    <tableColumn id="6" xr3:uid="{00000000-0010-0000-0400-000006000000}" name="German Total" totalsRowFunction="custom">
      <totalsRowFormula>SUM(Table5[German Total])</totalsRowFormula>
    </tableColumn>
    <tableColumn id="7" xr3:uid="{00000000-0010-0000-0400-000007000000}" name="Japanese Total" totalsRowFunction="custom">
      <totalsRowFormula>SUM(Table5[Japanese Total])</totalsRowFormula>
    </tableColumn>
    <tableColumn id="8" xr3:uid="{00000000-0010-0000-0400-000008000000}" name="Korean Total" totalsRowFunction="custom">
      <totalsRowFormula>SUM(Table5[Korean Total])</totalsRowFormula>
    </tableColumn>
    <tableColumn id="9" xr3:uid="{00000000-0010-0000-0400-000009000000}" name="Latin Total" totalsRowFunction="custom">
      <totalsRowFormula>SUM(Table5[Latin Total])</totalsRowFormula>
    </tableColumn>
    <tableColumn id="10" xr3:uid="{00000000-0010-0000-0400-00000A000000}" name="Mandarin Total" totalsRowFunction="custom">
      <totalsRowFormula>SUM(Table5[Mandarin Total])</totalsRowFormula>
    </tableColumn>
    <tableColumn id="11" xr3:uid="{00000000-0010-0000-0400-00000B000000}" name="Spanish Total" totalsRowFunction="custom">
      <totalsRowFormula>SUM(Table5[Spanish Total])</totalsRowFormula>
    </tableColumn>
    <tableColumn id="12" xr3:uid="{00000000-0010-0000-0400-00000C000000}" name="Vietnamese Total" totalsRowFunction="custom">
      <totalsRowFormula>SUM(Table5[Vietnamese Total])</totalsRowFormula>
    </tableColumn>
    <tableColumn id="13" xr3:uid="{00000000-0010-0000-0400-00000D000000}" name="Other Total" totalsRowFunction="custom">
      <totalsRowFormula>SUM(Table5[Other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Calaveras county and also includes language totals."/>
    </ext>
  </extLst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00000000-000C-0000-FFFF-FFFF31000000}" name="Table50" displayName="Table50" ref="A2:M13" totalsRowCount="1" dataDxfId="46">
  <autoFilter ref="A2:M12" xr:uid="{00000000-0009-0000-0100-000032000000}"/>
  <tableColumns count="13">
    <tableColumn id="1" xr3:uid="{00000000-0010-0000-3100-000001000000}" name="Participating Districts" totalsRowLabel="Tulare County Total: 10" dataDxfId="45"/>
    <tableColumn id="2" xr3:uid="{00000000-0010-0000-3100-000002000000}" name="Participating Schools" totalsRowLabel="19" dataDxfId="44" totalsRowDxfId="43"/>
    <tableColumn id="3" xr3:uid="{00000000-0010-0000-3100-000003000000}" name="American Sign Language Total" totalsRowFunction="custom" dataDxfId="42">
      <totalsRowFormula>SUM(Table50[American Sign Language Total])</totalsRowFormula>
    </tableColumn>
    <tableColumn id="4" xr3:uid="{00000000-0010-0000-3100-000004000000}" name="Cantonese Total" totalsRowFunction="custom" dataDxfId="41">
      <totalsRowFormula>SUM(Table50[Cantonese Total])</totalsRowFormula>
    </tableColumn>
    <tableColumn id="5" xr3:uid="{00000000-0010-0000-3100-000005000000}" name="French Total" totalsRowFunction="custom" dataDxfId="40">
      <totalsRowFormula>SUM(Table50[French Total])</totalsRowFormula>
    </tableColumn>
    <tableColumn id="6" xr3:uid="{00000000-0010-0000-3100-000006000000}" name="German Total" totalsRowFunction="custom" dataDxfId="39">
      <totalsRowFormula>SUM(Table50[German Total])</totalsRowFormula>
    </tableColumn>
    <tableColumn id="7" xr3:uid="{00000000-0010-0000-3100-000007000000}" name=" Japanese Total" totalsRowFunction="custom" dataDxfId="38">
      <totalsRowFormula>SUM(Table50[[ Japanese Total]])</totalsRowFormula>
    </tableColumn>
    <tableColumn id="8" xr3:uid="{00000000-0010-0000-3100-000008000000}" name="Korean Total" totalsRowFunction="custom" dataDxfId="37">
      <totalsRowFormula>SUM(Table50[Korean Total])</totalsRowFormula>
    </tableColumn>
    <tableColumn id="9" xr3:uid="{00000000-0010-0000-3100-000009000000}" name="Latin Total" totalsRowFunction="custom" dataDxfId="36">
      <totalsRowFormula>SUM(Table50[Latin Total])</totalsRowFormula>
    </tableColumn>
    <tableColumn id="10" xr3:uid="{00000000-0010-0000-3100-00000A000000}" name="Mandarin Total" totalsRowFunction="custom" dataDxfId="35">
      <totalsRowFormula>SUM(Table50[Mandarin Total])</totalsRowFormula>
    </tableColumn>
    <tableColumn id="11" xr3:uid="{00000000-0010-0000-3100-00000B000000}" name="Spanish Total" totalsRowFunction="custom" dataDxfId="34">
      <totalsRowFormula>SUM(Table50[Spanish Total])</totalsRowFormula>
    </tableColumn>
    <tableColumn id="12" xr3:uid="{00000000-0010-0000-3100-00000C000000}" name="Vietnamese Total" totalsRowFunction="custom" dataDxfId="33">
      <totalsRowFormula>SUM(Table50[Vietnamese Total])</totalsRowFormula>
    </tableColumn>
    <tableColumn id="13" xr3:uid="{00000000-0010-0000-3100-00000D000000}" name="Other Total" totalsRowFunction="custom" dataDxfId="32">
      <totalsRowFormula>SUM(Table50[Other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Tulare county and also includes language totals."/>
    </ext>
  </extLst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00000000-000C-0000-FFFF-FFFF32000000}" name="Table49" displayName="Table49" ref="A2:M4" totalsRowCount="1">
  <autoFilter ref="A2:M3" xr:uid="{00000000-0009-0000-0100-000031000000}"/>
  <tableColumns count="13">
    <tableColumn id="1" xr3:uid="{00000000-0010-0000-3200-000001000000}" name="Participating Districts" totalsRowLabel="Tuolumne County Total: 1"/>
    <tableColumn id="2" xr3:uid="{00000000-0010-0000-3200-000002000000}" name="Participating Schools" totalsRowLabel="1" totalsRowDxfId="31"/>
    <tableColumn id="3" xr3:uid="{00000000-0010-0000-3200-000003000000}" name="American Sign Language Total" totalsRowFunction="custom">
      <totalsRowFormula>SUM(Table49[American Sign Language Total])</totalsRowFormula>
    </tableColumn>
    <tableColumn id="4" xr3:uid="{00000000-0010-0000-3200-000004000000}" name="Cantonese Total" totalsRowFunction="custom">
      <totalsRowFormula>SUM(Table49[Cantonese Total])</totalsRowFormula>
    </tableColumn>
    <tableColumn id="5" xr3:uid="{00000000-0010-0000-3200-000005000000}" name="French Total" totalsRowFunction="custom">
      <totalsRowFormula>SUM(Table49[French Total])</totalsRowFormula>
    </tableColumn>
    <tableColumn id="6" xr3:uid="{00000000-0010-0000-3200-000006000000}" name="German Total" totalsRowFunction="custom">
      <totalsRowFormula>SUM(Table49[German Total])</totalsRowFormula>
    </tableColumn>
    <tableColumn id="7" xr3:uid="{00000000-0010-0000-3200-000007000000}" name=" Japanese Total" totalsRowFunction="custom">
      <totalsRowFormula>SUM(Table49[[ Japanese Total]])</totalsRowFormula>
    </tableColumn>
    <tableColumn id="8" xr3:uid="{00000000-0010-0000-3200-000008000000}" name="Korean Total" totalsRowFunction="custom">
      <totalsRowFormula>SUM(Table49[Korean Total])</totalsRowFormula>
    </tableColumn>
    <tableColumn id="9" xr3:uid="{00000000-0010-0000-3200-000009000000}" name="Latin Total" totalsRowFunction="custom">
      <totalsRowFormula>SUM(Table49[Latin Total])</totalsRowFormula>
    </tableColumn>
    <tableColumn id="10" xr3:uid="{00000000-0010-0000-3200-00000A000000}" name="Mandarin Total" totalsRowFunction="custom">
      <totalsRowFormula>SUM(Table49[Mandarin Total])</totalsRowFormula>
    </tableColumn>
    <tableColumn id="11" xr3:uid="{00000000-0010-0000-3200-00000B000000}" name="Spanish Total" totalsRowFunction="custom">
      <totalsRowFormula>SUM(Table49[Spanish Total])</totalsRowFormula>
    </tableColumn>
    <tableColumn id="12" xr3:uid="{00000000-0010-0000-3200-00000C000000}" name="Vietnamese Total" totalsRowFunction="custom">
      <totalsRowFormula>SUM(Table49[Vietnamese Total])</totalsRowFormula>
    </tableColumn>
    <tableColumn id="13" xr3:uid="{00000000-0010-0000-3200-00000D000000}" name="Other Total" totalsRowFunction="custom">
      <totalsRowFormula>SUM(Table49[Other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Tuolumne county and also includes language totals."/>
    </ext>
  </extLst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0000000-000C-0000-FFFF-FFFF33000000}" name="Table51" displayName="Table51" ref="A2:M11" totalsRowCount="1" dataDxfId="30">
  <autoFilter ref="A2:M10" xr:uid="{00000000-0009-0000-0100-000033000000}"/>
  <tableColumns count="13">
    <tableColumn id="1" xr3:uid="{00000000-0010-0000-3300-000001000000}" name="Participating Districts" totalsRowLabel="Ventura County Total: 8" dataDxfId="29"/>
    <tableColumn id="2" xr3:uid="{00000000-0010-0000-3300-000002000000}" name="Participating Schools" totalsRowLabel="19" dataDxfId="28" totalsRowDxfId="27"/>
    <tableColumn id="3" xr3:uid="{00000000-0010-0000-3300-000003000000}" name="American Sign Language Total" totalsRowFunction="custom" dataDxfId="26">
      <totalsRowFormula>SUM(Table51[American Sign Language Total])</totalsRowFormula>
    </tableColumn>
    <tableColumn id="4" xr3:uid="{00000000-0010-0000-3300-000004000000}" name="Cantonese Total" totalsRowFunction="custom" dataDxfId="25">
      <totalsRowFormula>SUM(Table51[Cantonese Total])</totalsRowFormula>
    </tableColumn>
    <tableColumn id="5" xr3:uid="{00000000-0010-0000-3300-000005000000}" name="French Total" totalsRowFunction="custom" dataDxfId="24">
      <totalsRowFormula>SUM(Table51[French Total])</totalsRowFormula>
    </tableColumn>
    <tableColumn id="6" xr3:uid="{00000000-0010-0000-3300-000006000000}" name="German Total" totalsRowFunction="custom" dataDxfId="23">
      <totalsRowFormula>SUM(Table51[German Total])</totalsRowFormula>
    </tableColumn>
    <tableColumn id="7" xr3:uid="{00000000-0010-0000-3300-000007000000}" name=" Japanese Total" totalsRowFunction="custom" dataDxfId="22">
      <totalsRowFormula>SUM(Table51[[ Japanese Total]])</totalsRowFormula>
    </tableColumn>
    <tableColumn id="8" xr3:uid="{00000000-0010-0000-3300-000008000000}" name="Korean Total" totalsRowFunction="custom" dataDxfId="21">
      <totalsRowFormula>SUM(Table51[Korean Total])</totalsRowFormula>
    </tableColumn>
    <tableColumn id="9" xr3:uid="{00000000-0010-0000-3300-000009000000}" name="Latin Total" totalsRowFunction="custom" dataDxfId="20">
      <totalsRowFormula>SUM(Table51[Latin Total])</totalsRowFormula>
    </tableColumn>
    <tableColumn id="10" xr3:uid="{00000000-0010-0000-3300-00000A000000}" name="Mandarin Total" totalsRowFunction="custom" dataDxfId="19">
      <totalsRowFormula>SUM(Table51[Mandarin Total])</totalsRowFormula>
    </tableColumn>
    <tableColumn id="11" xr3:uid="{00000000-0010-0000-3300-00000B000000}" name="Spanish Total" totalsRowFunction="custom" dataDxfId="18">
      <totalsRowFormula>SUM(Table51[Spanish Total])</totalsRowFormula>
    </tableColumn>
    <tableColumn id="12" xr3:uid="{00000000-0010-0000-3300-00000C000000}" name="Vietnamese Total" totalsRowFunction="custom" dataDxfId="17">
      <totalsRowFormula>SUM(Table51[Vietnamese Total])</totalsRowFormula>
    </tableColumn>
    <tableColumn id="13" xr3:uid="{00000000-0010-0000-3300-00000D000000}" name="Other Total" totalsRowFunction="custom" dataDxfId="16">
      <totalsRowFormula>SUM(Table51[Other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Ventura county and also includes language totals."/>
    </ext>
  </extLst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00000000-000C-0000-FFFF-FFFF34000000}" name="Table53" displayName="Table53" ref="A2:M8" totalsRowCount="1" dataDxfId="15">
  <autoFilter ref="A2:M7" xr:uid="{00000000-0009-0000-0100-000035000000}"/>
  <tableColumns count="13">
    <tableColumn id="1" xr3:uid="{00000000-0010-0000-3400-000001000000}" name="Participating Districts" totalsRowLabel="Yolo County Total: 5" dataDxfId="14"/>
    <tableColumn id="2" xr3:uid="{00000000-0010-0000-3400-000002000000}" name="Participating Schools" totalsRowLabel="8" dataDxfId="13" totalsRowDxfId="12"/>
    <tableColumn id="3" xr3:uid="{00000000-0010-0000-3400-000003000000}" name="American Sign Language Total" totalsRowFunction="custom" dataDxfId="11">
      <totalsRowFormula>SUM(Table53[American Sign Language Total])</totalsRowFormula>
    </tableColumn>
    <tableColumn id="4" xr3:uid="{00000000-0010-0000-3400-000004000000}" name="Cantonese Total" totalsRowFunction="custom" dataDxfId="10">
      <totalsRowFormula>SUM(Table53[Cantonese Total])</totalsRowFormula>
    </tableColumn>
    <tableColumn id="5" xr3:uid="{00000000-0010-0000-3400-000005000000}" name="French Total" totalsRowFunction="custom" dataDxfId="9">
      <totalsRowFormula>SUM(Table53[French Total])</totalsRowFormula>
    </tableColumn>
    <tableColumn id="6" xr3:uid="{00000000-0010-0000-3400-000006000000}" name="German Total" totalsRowFunction="custom" dataDxfId="8">
      <totalsRowFormula>SUM(Table53[German Total])</totalsRowFormula>
    </tableColumn>
    <tableColumn id="7" xr3:uid="{00000000-0010-0000-3400-000007000000}" name=" Japanese Total" totalsRowFunction="custom" dataDxfId="7">
      <totalsRowFormula>SUM(Table53[[ Japanese Total]])</totalsRowFormula>
    </tableColumn>
    <tableColumn id="8" xr3:uid="{00000000-0010-0000-3400-000008000000}" name="Korean Total" totalsRowFunction="custom" dataDxfId="6">
      <totalsRowFormula>SUM(Table53[Korean Total])</totalsRowFormula>
    </tableColumn>
    <tableColumn id="9" xr3:uid="{00000000-0010-0000-3400-000009000000}" name="Latin Total" totalsRowFunction="custom" dataDxfId="5">
      <totalsRowFormula>SUM(Table53[Latin Total])</totalsRowFormula>
    </tableColumn>
    <tableColumn id="10" xr3:uid="{00000000-0010-0000-3400-00000A000000}" name="Mandarin Total" totalsRowFunction="custom" dataDxfId="4">
      <totalsRowFormula>SUM(Table53[Mandarin Total])</totalsRowFormula>
    </tableColumn>
    <tableColumn id="11" xr3:uid="{00000000-0010-0000-3400-00000B000000}" name="Spanish Total" totalsRowFunction="custom" dataDxfId="3">
      <totalsRowFormula>SUM(Table53[Spanish Total])</totalsRowFormula>
    </tableColumn>
    <tableColumn id="12" xr3:uid="{00000000-0010-0000-3400-00000C000000}" name="Vietnamese Total" totalsRowFunction="custom" dataDxfId="2">
      <totalsRowFormula>SUM(Table53[Vietnamese Total])</totalsRowFormula>
    </tableColumn>
    <tableColumn id="13" xr3:uid="{00000000-0010-0000-3400-00000D000000}" name="Other Total" totalsRowFunction="custom" dataDxfId="1">
      <totalsRowFormula>SUM(Table53[Other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Yolo county and also includes language totals."/>
    </ext>
  </extLst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00000000-000C-0000-FFFF-FFFF35000000}" name="Table52" displayName="Table52" ref="A2:M5" totalsRowCount="1">
  <autoFilter ref="A2:M4" xr:uid="{00000000-0009-0000-0100-000034000000}"/>
  <tableColumns count="13">
    <tableColumn id="1" xr3:uid="{00000000-0010-0000-3500-000001000000}" name="Participating Districts" totalsRowLabel="Yuba County Total: 1"/>
    <tableColumn id="2" xr3:uid="{00000000-0010-0000-3500-000002000000}" name="Participating Schools" totalsRowLabel="1" totalsRowDxfId="0"/>
    <tableColumn id="3" xr3:uid="{00000000-0010-0000-3500-000003000000}" name="American Sign Language Total" totalsRowFunction="custom">
      <totalsRowFormula>SUM(Table52[American Sign Language Total])</totalsRowFormula>
    </tableColumn>
    <tableColumn id="4" xr3:uid="{00000000-0010-0000-3500-000004000000}" name="Cantonese Total" totalsRowFunction="custom">
      <totalsRowFormula>SUM(Table52[Cantonese Total])</totalsRowFormula>
    </tableColumn>
    <tableColumn id="5" xr3:uid="{00000000-0010-0000-3500-000005000000}" name="French Total" totalsRowFunction="custom">
      <totalsRowFormula>SUM(Table52[French Total])</totalsRowFormula>
    </tableColumn>
    <tableColumn id="6" xr3:uid="{00000000-0010-0000-3500-000006000000}" name="German Total" totalsRowFunction="custom">
      <totalsRowFormula>SUM(Table52[German Total])</totalsRowFormula>
    </tableColumn>
    <tableColumn id="7" xr3:uid="{00000000-0010-0000-3500-000007000000}" name=" Japanese Total" totalsRowFunction="custom">
      <totalsRowFormula>SUM(Table52[[ Japanese Total]])</totalsRowFormula>
    </tableColumn>
    <tableColumn id="8" xr3:uid="{00000000-0010-0000-3500-000008000000}" name="Korean Total" totalsRowFunction="custom">
      <totalsRowFormula>SUM(Table52[Korean Total])</totalsRowFormula>
    </tableColumn>
    <tableColumn id="9" xr3:uid="{00000000-0010-0000-3500-000009000000}" name="Latin Total" totalsRowFunction="custom">
      <totalsRowFormula>SUM(Table52[Latin Total])</totalsRowFormula>
    </tableColumn>
    <tableColumn id="10" xr3:uid="{00000000-0010-0000-3500-00000A000000}" name="Mandarin Total" totalsRowFunction="custom">
      <totalsRowFormula>SUM(Table52[Mandarin Total])</totalsRowFormula>
    </tableColumn>
    <tableColumn id="11" xr3:uid="{00000000-0010-0000-3500-00000B000000}" name="Spanish Total" totalsRowFunction="custom">
      <totalsRowFormula>SUM(Table52[Spanish Total])</totalsRowFormula>
    </tableColumn>
    <tableColumn id="12" xr3:uid="{00000000-0010-0000-3500-00000C000000}" name="Vietnamese Total" totalsRowFunction="custom">
      <totalsRowFormula>SUM(Table52[Vietnamese Total])</totalsRowFormula>
    </tableColumn>
    <tableColumn id="13" xr3:uid="{00000000-0010-0000-3500-00000D000000}" name="Other Total" totalsRowFunction="custom">
      <totalsRowFormula>SUM(Table52[Other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Yuba county and also includes language totals.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6" displayName="Table6" ref="A2:M6" totalsRowCount="1" headerRowDxfId="436">
  <autoFilter ref="A2:M5" xr:uid="{00000000-0009-0000-0100-000006000000}"/>
  <tableColumns count="13">
    <tableColumn id="1" xr3:uid="{00000000-0010-0000-0500-000001000000}" name="Participating Districts" totalsRowLabel="Colusa County Total: 3" totalsRowDxfId="435"/>
    <tableColumn id="2" xr3:uid="{00000000-0010-0000-0500-000002000000}" name="Participating Schools" totalsRowLabel="3" totalsRowDxfId="434"/>
    <tableColumn id="3" xr3:uid="{00000000-0010-0000-0500-000003000000}" name="American Sign Language Total" totalsRowFunction="custom">
      <totalsRowFormula>SUM(Table6[American Sign Language Total])</totalsRowFormula>
    </tableColumn>
    <tableColumn id="4" xr3:uid="{00000000-0010-0000-0500-000004000000}" name="Cantonese Total" totalsRowFunction="custom">
      <totalsRowFormula>SUM(Table6[Cantonese Total])</totalsRowFormula>
    </tableColumn>
    <tableColumn id="5" xr3:uid="{00000000-0010-0000-0500-000005000000}" name="French Total" totalsRowFunction="custom">
      <totalsRowFormula>SUM(Table6[French Total])</totalsRowFormula>
    </tableColumn>
    <tableColumn id="6" xr3:uid="{00000000-0010-0000-0500-000006000000}" name="German Total" totalsRowFunction="custom">
      <totalsRowFormula>SUM(Table6[German Total])</totalsRowFormula>
    </tableColumn>
    <tableColumn id="7" xr3:uid="{00000000-0010-0000-0500-000007000000}" name=" Japanese Total" totalsRowFunction="custom">
      <totalsRowFormula>SUM(Table6[[ Japanese Total]])</totalsRowFormula>
    </tableColumn>
    <tableColumn id="8" xr3:uid="{00000000-0010-0000-0500-000008000000}" name="Korean Total" totalsRowFunction="custom">
      <totalsRowFormula>SUM(Table6[Korean Total])</totalsRowFormula>
    </tableColumn>
    <tableColumn id="9" xr3:uid="{00000000-0010-0000-0500-000009000000}" name="Latin Total" totalsRowFunction="custom">
      <totalsRowFormula>SUM(Table6[Latin Total])</totalsRowFormula>
    </tableColumn>
    <tableColumn id="10" xr3:uid="{00000000-0010-0000-0500-00000A000000}" name="Mandarin Total" totalsRowFunction="custom">
      <totalsRowFormula>SUM(Table6[Mandarin Total])</totalsRowFormula>
    </tableColumn>
    <tableColumn id="11" xr3:uid="{00000000-0010-0000-0500-00000B000000}" name="Spanish Total" totalsRowFunction="custom">
      <totalsRowFormula>SUM(Table6[Spanish Total])</totalsRowFormula>
    </tableColumn>
    <tableColumn id="12" xr3:uid="{00000000-0010-0000-0500-00000C000000}" name="Vietnamese Total" totalsRowFunction="custom">
      <totalsRowFormula>SUM(Table6[Vietnamese Total])</totalsRowFormula>
    </tableColumn>
    <tableColumn id="13" xr3:uid="{00000000-0010-0000-0500-00000D000000}" name="Other Total" totalsRowFunction="custom">
      <totalsRowFormula>SUM(Table6[Other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Colusa county and also includes language totals.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7" displayName="Table7" ref="A2:M12" totalsRowCount="1" headerRowDxfId="433">
  <autoFilter ref="A2:M11" xr:uid="{00000000-0009-0000-0100-000007000000}"/>
  <tableColumns count="13">
    <tableColumn id="1" xr3:uid="{00000000-0010-0000-0600-000001000000}" name="Participating Districts" totalsRowLabel="Contra Costa Total: 9" dataDxfId="432" totalsRowDxfId="431"/>
    <tableColumn id="2" xr3:uid="{00000000-0010-0000-0600-000002000000}" name="Participating Schools" totalsRowLabel="29" dataDxfId="430" totalsRowDxfId="429"/>
    <tableColumn id="3" xr3:uid="{00000000-0010-0000-0600-000003000000}" name="American Sign Language Total" totalsRowFunction="custom" totalsRowDxfId="428">
      <totalsRowFormula>SUM(Table7[American Sign Language Total])</totalsRowFormula>
    </tableColumn>
    <tableColumn id="4" xr3:uid="{00000000-0010-0000-0600-000004000000}" name="Cantonese Total" totalsRowFunction="custom" totalsRowDxfId="427">
      <totalsRowFormula>SUM(Table7[Cantonese Total])</totalsRowFormula>
    </tableColumn>
    <tableColumn id="5" xr3:uid="{00000000-0010-0000-0600-000005000000}" name="French Total" totalsRowFunction="custom" totalsRowDxfId="426">
      <totalsRowFormula>SUM(Table7[French Total])</totalsRowFormula>
    </tableColumn>
    <tableColumn id="6" xr3:uid="{00000000-0010-0000-0600-000006000000}" name="German Total" totalsRowFunction="custom" totalsRowDxfId="425">
      <totalsRowFormula>SUM(Table7[German Total])</totalsRowFormula>
    </tableColumn>
    <tableColumn id="7" xr3:uid="{00000000-0010-0000-0600-000007000000}" name=" Japanese Total" totalsRowFunction="custom" totalsRowDxfId="424">
      <totalsRowFormula>SUM(Table7[[ Japanese Total]])</totalsRowFormula>
    </tableColumn>
    <tableColumn id="8" xr3:uid="{00000000-0010-0000-0600-000008000000}" name="Korean Total" totalsRowFunction="custom" totalsRowDxfId="423">
      <totalsRowFormula>SUM(Table7[Korean Total])</totalsRowFormula>
    </tableColumn>
    <tableColumn id="9" xr3:uid="{00000000-0010-0000-0600-000009000000}" name="Latin Total" totalsRowFunction="custom" totalsRowDxfId="422">
      <totalsRowFormula>SUM(Table7[Latin Total])</totalsRowFormula>
    </tableColumn>
    <tableColumn id="10" xr3:uid="{00000000-0010-0000-0600-00000A000000}" name="Mandarin Total" totalsRowFunction="custom" totalsRowDxfId="421">
      <totalsRowFormula>SUM(Table7[Mandarin Total])</totalsRowFormula>
    </tableColumn>
    <tableColumn id="11" xr3:uid="{00000000-0010-0000-0600-00000B000000}" name="Spanish Total" totalsRowFunction="custom" totalsRowDxfId="420">
      <totalsRowFormula>SUM(Table7[Spanish Total])</totalsRowFormula>
    </tableColumn>
    <tableColumn id="12" xr3:uid="{00000000-0010-0000-0600-00000C000000}" name="Vietnamese Total" totalsRowFunction="custom" totalsRowDxfId="419">
      <totalsRowFormula>SUM(Table7[Vietnamese Total])</totalsRowFormula>
    </tableColumn>
    <tableColumn id="13" xr3:uid="{00000000-0010-0000-0600-00000D000000}" name="Other Total" totalsRowFunction="custom" totalsRowDxfId="418">
      <totalsRowFormula>SUM(Table7[Other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Contra Costa county and also includes language totals.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8" displayName="Table8" ref="A2:M4" totalsRowCount="1" headerRowDxfId="417">
  <autoFilter ref="A2:M3" xr:uid="{00000000-0009-0000-0100-000008000000}"/>
  <tableColumns count="13">
    <tableColumn id="1" xr3:uid="{00000000-0010-0000-0700-000001000000}" name="Participating Districts" totalsRowLabel="Del Norte County Total: 1"/>
    <tableColumn id="2" xr3:uid="{00000000-0010-0000-0700-000002000000}" name="Participating Schools" totalsRowLabel="1" totalsRowDxfId="416"/>
    <tableColumn id="3" xr3:uid="{00000000-0010-0000-0700-000003000000}" name="American Sign Language Total" totalsRowFunction="custom" totalsRowDxfId="415">
      <totalsRowFormula>SUM(Table8[American Sign Language Total])</totalsRowFormula>
    </tableColumn>
    <tableColumn id="4" xr3:uid="{00000000-0010-0000-0700-000004000000}" name="Cantonese Total" totalsRowFunction="custom" totalsRowDxfId="414">
      <totalsRowFormula>SUM(Table8[Cantonese Total])</totalsRowFormula>
    </tableColumn>
    <tableColumn id="5" xr3:uid="{00000000-0010-0000-0700-000005000000}" name="French Total" totalsRowFunction="custom" totalsRowDxfId="413">
      <totalsRowFormula>SUM(Table8[French Total])</totalsRowFormula>
    </tableColumn>
    <tableColumn id="6" xr3:uid="{00000000-0010-0000-0700-000006000000}" name="German Total" totalsRowFunction="custom" totalsRowDxfId="412">
      <totalsRowFormula>SUM(Table8[German Total])</totalsRowFormula>
    </tableColumn>
    <tableColumn id="7" xr3:uid="{00000000-0010-0000-0700-000007000000}" name=" Japanese Total" totalsRowFunction="custom" totalsRowDxfId="411">
      <totalsRowFormula>SUM(Table8[[ Japanese Total]])</totalsRowFormula>
    </tableColumn>
    <tableColumn id="8" xr3:uid="{00000000-0010-0000-0700-000008000000}" name="Korean Total" totalsRowFunction="custom" totalsRowDxfId="410">
      <totalsRowFormula>SUM(Table8[Korean Total])</totalsRowFormula>
    </tableColumn>
    <tableColumn id="9" xr3:uid="{00000000-0010-0000-0700-000009000000}" name="Latin Total" totalsRowFunction="custom" totalsRowDxfId="409">
      <totalsRowFormula>SUM(Table8[Latin Total])</totalsRowFormula>
    </tableColumn>
    <tableColumn id="10" xr3:uid="{00000000-0010-0000-0700-00000A000000}" name="Mandarin Total" totalsRowFunction="custom" totalsRowDxfId="408">
      <totalsRowFormula>SUM(Table8[Mandarin Total])</totalsRowFormula>
    </tableColumn>
    <tableColumn id="11" xr3:uid="{00000000-0010-0000-0700-00000B000000}" name="Spanish Total" totalsRowFunction="custom" totalsRowDxfId="407">
      <totalsRowFormula>SUM(Table8[Spanish Total])</totalsRowFormula>
    </tableColumn>
    <tableColumn id="12" xr3:uid="{00000000-0010-0000-0700-00000C000000}" name="Vietnamese Total" totalsRowFunction="custom" totalsRowDxfId="406">
      <totalsRowFormula>SUM(Table8[Vietnamese Total])</totalsRowFormula>
    </tableColumn>
    <tableColumn id="13" xr3:uid="{00000000-0010-0000-0700-00000D000000}" name="Other Total" totalsRowFunction="custom" totalsRowDxfId="405">
      <totalsRowFormula>SUM(Table8[Other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Del Norte county and also includes language totals.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9" displayName="Table9" ref="A2:M5" totalsRowCount="1" headerRowDxfId="404">
  <autoFilter ref="A2:M4" xr:uid="{00000000-0009-0000-0100-000009000000}"/>
  <tableColumns count="13">
    <tableColumn id="1" xr3:uid="{00000000-0010-0000-0800-000001000000}" name="Participating Districts" totalsRowLabel="El Dorado Total: 2"/>
    <tableColumn id="2" xr3:uid="{00000000-0010-0000-0800-000002000000}" name="Participating Schools" totalsRowLabel="5" totalsRowDxfId="403"/>
    <tableColumn id="3" xr3:uid="{00000000-0010-0000-0800-000003000000}" name="American Sign Language Total" totalsRowFunction="custom">
      <totalsRowFormula>SUM(Table9[American Sign Language Total])</totalsRowFormula>
    </tableColumn>
    <tableColumn id="4" xr3:uid="{00000000-0010-0000-0800-000004000000}" name="Cantonese Total" totalsRowFunction="custom">
      <totalsRowFormula>SUM(Table9[Cantonese Total])</totalsRowFormula>
    </tableColumn>
    <tableColumn id="5" xr3:uid="{00000000-0010-0000-0800-000005000000}" name="French Total" totalsRowFunction="custom">
      <totalsRowFormula>SUM(Table9[French Total])</totalsRowFormula>
    </tableColumn>
    <tableColumn id="6" xr3:uid="{00000000-0010-0000-0800-000006000000}" name="German Total" totalsRowFunction="custom">
      <totalsRowFormula>SUM(Table9[German Total])</totalsRowFormula>
    </tableColumn>
    <tableColumn id="7" xr3:uid="{00000000-0010-0000-0800-000007000000}" name=" Japanese Total" totalsRowFunction="custom">
      <totalsRowFormula>SUM(Table9[[ Japanese Total]])</totalsRowFormula>
    </tableColumn>
    <tableColumn id="8" xr3:uid="{00000000-0010-0000-0800-000008000000}" name="Korean Total" totalsRowFunction="custom">
      <totalsRowFormula>SUM(Table9[Korean Total])</totalsRowFormula>
    </tableColumn>
    <tableColumn id="9" xr3:uid="{00000000-0010-0000-0800-000009000000}" name="Latin Total" totalsRowFunction="custom">
      <totalsRowFormula>SUM(Table9[Latin Total])</totalsRowFormula>
    </tableColumn>
    <tableColumn id="10" xr3:uid="{00000000-0010-0000-0800-00000A000000}" name="Mandarin Total" totalsRowFunction="custom">
      <totalsRowFormula>SUM(Table9[Mandarin Total])</totalsRowFormula>
    </tableColumn>
    <tableColumn id="11" xr3:uid="{00000000-0010-0000-0800-00000B000000}" name="Spanish Total" totalsRowFunction="custom">
      <totalsRowFormula>SUM(Table9[Spanish Total])</totalsRowFormula>
    </tableColumn>
    <tableColumn id="12" xr3:uid="{00000000-0010-0000-0800-00000C000000}" name="Vietnamese Total" totalsRowFunction="custom">
      <totalsRowFormula>SUM(Table9[Vietnamese Total])</totalsRowFormula>
    </tableColumn>
    <tableColumn id="13" xr3:uid="{00000000-0010-0000-0800-00000D000000}" name="Other Total" totalsRowFunction="custom">
      <totalsRowFormula>SUM(Table9[Other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El Dorado county and also includes language total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4.xml"/><Relationship Id="rId1" Type="http://schemas.openxmlformats.org/officeDocument/2006/relationships/printerSettings" Target="../printerSettings/printerSettings5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8"/>
  <sheetViews>
    <sheetView tabSelected="1" zoomScaleNormal="100" workbookViewId="0"/>
  </sheetViews>
  <sheetFormatPr defaultRowHeight="15" x14ac:dyDescent="0.25"/>
  <cols>
    <col min="1" max="1" width="14.08984375" customWidth="1"/>
    <col min="2" max="2" width="14.453125" customWidth="1"/>
    <col min="3" max="3" width="16.26953125" customWidth="1"/>
    <col min="4" max="4" width="10.26953125" customWidth="1"/>
    <col min="5" max="5" width="7.26953125" customWidth="1"/>
    <col min="6" max="6" width="7.6328125" customWidth="1"/>
    <col min="7" max="7" width="9.7265625" customWidth="1"/>
    <col min="8" max="8" width="7.453125" customWidth="1"/>
    <col min="9" max="9" width="7.1796875" customWidth="1"/>
    <col min="10" max="10" width="8.54296875" customWidth="1"/>
    <col min="11" max="11" width="8.08984375" customWidth="1"/>
    <col min="12" max="12" width="11.1796875" customWidth="1"/>
    <col min="13" max="14" width="7.26953125" customWidth="1"/>
  </cols>
  <sheetData>
    <row r="1" spans="1:14" ht="22.8" x14ac:dyDescent="0.4">
      <c r="A1" s="17" t="s">
        <v>787</v>
      </c>
    </row>
    <row r="2" spans="1:14" x14ac:dyDescent="0.25">
      <c r="A2" t="s">
        <v>795</v>
      </c>
    </row>
    <row r="3" spans="1:14" x14ac:dyDescent="0.25">
      <c r="A3" t="s">
        <v>801</v>
      </c>
    </row>
    <row r="4" spans="1:14" ht="34.950000000000003" customHeight="1" x14ac:dyDescent="0.25">
      <c r="A4" s="4" t="s">
        <v>130</v>
      </c>
      <c r="B4" s="4" t="s">
        <v>561</v>
      </c>
      <c r="C4" s="4" t="s">
        <v>6</v>
      </c>
      <c r="D4" s="4" t="s">
        <v>7</v>
      </c>
      <c r="E4" s="4" t="s">
        <v>8</v>
      </c>
      <c r="F4" s="4" t="s">
        <v>31</v>
      </c>
      <c r="G4" s="4" t="s">
        <v>32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15" t="s">
        <v>607</v>
      </c>
    </row>
    <row r="5" spans="1:14" x14ac:dyDescent="0.25">
      <c r="A5" t="s">
        <v>554</v>
      </c>
      <c r="B5" s="7" t="str">
        <f>Table1[[#Totals],[Participating Schools]:[Other Total]]</f>
        <v>32</v>
      </c>
      <c r="C5" s="8">
        <f>Table1[[#Totals],[Participating Schools]:[Other Total]]</f>
        <v>59</v>
      </c>
      <c r="D5" s="8">
        <f>Table1[[#Totals],[Participating Schools]:[Other Total]]</f>
        <v>20</v>
      </c>
      <c r="E5" s="8">
        <f>Table1[[#Totals],[Participating Schools]:[Other Total]]</f>
        <v>269</v>
      </c>
      <c r="F5" s="8">
        <f>Table1[[#Totals],[Participating Schools]:[Other Total]]</f>
        <v>15</v>
      </c>
      <c r="G5" s="8">
        <f>Table1[[#Totals],[Participating Schools]:[Other Total]]</f>
        <v>70</v>
      </c>
      <c r="H5" s="8">
        <f>Table1[[#Totals],[Participating Schools]:[Other Total]]</f>
        <v>42</v>
      </c>
      <c r="I5" s="8">
        <f>Table1[[#Totals],[Participating Schools]:[Other Total]]</f>
        <v>7</v>
      </c>
      <c r="J5" s="8">
        <f>Table1[[#Totals],[Participating Schools]:[Other Total]]</f>
        <v>423</v>
      </c>
      <c r="K5" s="8">
        <f>Table1[[#Totals],[Participating Schools]:[Other Total]]</f>
        <v>1352</v>
      </c>
      <c r="L5" s="8">
        <f>Table1[[#Totals],[Participating Schools]:[Other Total]]</f>
        <v>5</v>
      </c>
      <c r="M5" s="8">
        <f>Table1[[#Totals],[Participating Schools]:[Other Total]]</f>
        <v>14</v>
      </c>
      <c r="N5" s="16">
        <f>SUM(Table30[[#This Row],[American Sign Language Total]:[Other Total]])</f>
        <v>2276</v>
      </c>
    </row>
    <row r="6" spans="1:14" x14ac:dyDescent="0.25">
      <c r="A6" t="s">
        <v>555</v>
      </c>
      <c r="B6" s="7" t="str">
        <f>Table3[[#Totals],[Participating Schools]:[Other Total]]</f>
        <v>2</v>
      </c>
      <c r="C6" s="8">
        <f>Table2[[#Totals],[Participating Schools]:[Other Total]]</f>
        <v>0</v>
      </c>
      <c r="D6" s="8">
        <f>Table2[[#Totals],[Participating Schools]:[Other Total]]</f>
        <v>0</v>
      </c>
      <c r="E6" s="8">
        <f>Table2[[#Totals],[Participating Schools]:[Other Total]]</f>
        <v>0</v>
      </c>
      <c r="F6" s="8">
        <f>Table2[[#Totals],[Participating Schools]:[Other Total]]</f>
        <v>0</v>
      </c>
      <c r="G6" s="8">
        <f>Table2[[#Totals],[Participating Schools]:[Other Total]]</f>
        <v>0</v>
      </c>
      <c r="H6" s="8">
        <f>Table2[[#Totals],[Participating Schools]:[Other Total]]</f>
        <v>0</v>
      </c>
      <c r="I6" s="8">
        <f>Table2[[#Totals],[Participating Schools]:[Other Total]]</f>
        <v>0</v>
      </c>
      <c r="J6" s="8">
        <f>Table2[[#Totals],[Participating Schools]:[Other Total]]</f>
        <v>0</v>
      </c>
      <c r="K6" s="8">
        <f>Table2[[#Totals],[Participating Schools]:[Other Total]]</f>
        <v>12</v>
      </c>
      <c r="L6" s="8">
        <f>Table2[[#Totals],[Participating Schools]:[Other Total]]</f>
        <v>0</v>
      </c>
      <c r="M6" s="8">
        <f>Table2[[#Totals],[Participating Schools]:[Other Total]]</f>
        <v>0</v>
      </c>
      <c r="N6" s="16">
        <f>SUM(Table30[[#This Row],[American Sign Language Total]:[Other Total]])</f>
        <v>12</v>
      </c>
    </row>
    <row r="7" spans="1:14" x14ac:dyDescent="0.25">
      <c r="A7" t="s">
        <v>556</v>
      </c>
      <c r="B7" s="7" t="str">
        <f>Table4[[#Totals],[Participating Schools]:[Other Total]]</f>
        <v>8</v>
      </c>
      <c r="C7" s="8">
        <f>Table3[[#Totals],[Participating Schools]:[Other Total]]</f>
        <v>0</v>
      </c>
      <c r="D7" s="8">
        <f>Table3[[#Totals],[Participating Schools]:[Other Total]]</f>
        <v>0</v>
      </c>
      <c r="E7" s="8">
        <f>Table3[[#Totals],[Participating Schools]:[Other Total]]</f>
        <v>0</v>
      </c>
      <c r="F7" s="8">
        <f>Table3[[#Totals],[Participating Schools]:[Other Total]]</f>
        <v>0</v>
      </c>
      <c r="G7" s="8">
        <f>Table3[[#Totals],[Participating Schools]:[Other Total]]</f>
        <v>0</v>
      </c>
      <c r="H7" s="8">
        <f>Table3[[#Totals],[Participating Schools]:[Other Total]]</f>
        <v>0</v>
      </c>
      <c r="I7" s="8">
        <f>Table3[[#Totals],[Participating Schools]:[Other Total]]</f>
        <v>0</v>
      </c>
      <c r="J7" s="8">
        <f>Table3[[#Totals],[Participating Schools]:[Other Total]]</f>
        <v>0</v>
      </c>
      <c r="K7" s="8">
        <f>Table3[[#Totals],[Participating Schools]:[Other Total]]</f>
        <v>20</v>
      </c>
      <c r="L7" s="8">
        <f>Table3[[#Totals],[Participating Schools]:[Other Total]]</f>
        <v>0</v>
      </c>
      <c r="M7" s="8">
        <f>Table3[[#Totals],[Participating Schools]:[Other Total]]</f>
        <v>0</v>
      </c>
      <c r="N7" s="16">
        <f>SUM(Table30[[#This Row],[American Sign Language Total]:[Other Total]])</f>
        <v>20</v>
      </c>
    </row>
    <row r="8" spans="1:14" x14ac:dyDescent="0.25">
      <c r="A8" t="s">
        <v>557</v>
      </c>
      <c r="B8" s="7" t="str">
        <f>Table5[[#Totals],[Participating Schools]:[Other Total]]</f>
        <v>1</v>
      </c>
      <c r="C8" s="8">
        <f>Table5[[#Totals],[Participating Schools]:[Other Total]]</f>
        <v>0</v>
      </c>
      <c r="D8" s="8">
        <f>Table5[[#Totals],[Participating Schools]:[Other Total]]</f>
        <v>0</v>
      </c>
      <c r="E8" s="8">
        <f>Table5[[#Totals],[Participating Schools]:[Other Total]]</f>
        <v>0</v>
      </c>
      <c r="F8" s="8">
        <f>Table5[[#Totals],[Participating Schools]:[Other Total]]</f>
        <v>0</v>
      </c>
      <c r="G8" s="8">
        <f>Table5[[#Totals],[Participating Schools]:[Other Total]]</f>
        <v>0</v>
      </c>
      <c r="H8" s="8">
        <f>Table5[[#Totals],[Participating Schools]:[Other Total]]</f>
        <v>0</v>
      </c>
      <c r="I8" s="8">
        <f>Table5[[#Totals],[Participating Schools]:[Other Total]]</f>
        <v>0</v>
      </c>
      <c r="J8" s="8">
        <f>Table5[[#Totals],[Participating Schools]:[Other Total]]</f>
        <v>0</v>
      </c>
      <c r="K8" s="8">
        <f>Table5[[#Totals],[Participating Schools]:[Other Total]]</f>
        <v>10</v>
      </c>
      <c r="L8" s="8">
        <f>Table5[[#Totals],[Participating Schools]:[Other Total]]</f>
        <v>0</v>
      </c>
      <c r="M8" s="8">
        <f>Table5[[#Totals],[Participating Schools]:[Other Total]]</f>
        <v>0</v>
      </c>
      <c r="N8" s="16">
        <f>SUM(Table30[[#This Row],[American Sign Language Total]:[Other Total]])</f>
        <v>10</v>
      </c>
    </row>
    <row r="9" spans="1:14" x14ac:dyDescent="0.25">
      <c r="A9" t="s">
        <v>558</v>
      </c>
      <c r="B9" s="7" t="str">
        <f>Table6[[#Totals],[Participating Schools]:[Other Total]]</f>
        <v>3</v>
      </c>
      <c r="C9" s="8">
        <f>Table6[[#Totals],[Participating Schools]:[Other Total]]</f>
        <v>0</v>
      </c>
      <c r="D9" s="8">
        <f>Table6[[#Totals],[Participating Schools]:[Other Total]]</f>
        <v>0</v>
      </c>
      <c r="E9" s="8">
        <f>Table6[[#Totals],[Participating Schools]:[Other Total]]</f>
        <v>0</v>
      </c>
      <c r="F9" s="8">
        <f>Table6[[#Totals],[Participating Schools]:[Other Total]]</f>
        <v>0</v>
      </c>
      <c r="G9" s="8">
        <f>Table6[[#Totals],[Participating Schools]:[Other Total]]</f>
        <v>0</v>
      </c>
      <c r="H9" s="8">
        <f>Table6[[#Totals],[Participating Schools]:[Other Total]]</f>
        <v>0</v>
      </c>
      <c r="I9" s="8">
        <f>Table6[[#Totals],[Participating Schools]:[Other Total]]</f>
        <v>0</v>
      </c>
      <c r="J9" s="8">
        <f>Table6[[#Totals],[Participating Schools]:[Other Total]]</f>
        <v>0</v>
      </c>
      <c r="K9" s="8">
        <f>Table6[[#Totals],[Participating Schools]:[Other Total]]</f>
        <v>36</v>
      </c>
      <c r="L9" s="8">
        <f>Table6[[#Totals],[Participating Schools]:[Other Total]]</f>
        <v>0</v>
      </c>
      <c r="M9" s="8">
        <f>Table6[[#Totals],[Participating Schools]:[Other Total]]</f>
        <v>0</v>
      </c>
      <c r="N9" s="16">
        <f>SUM(Table30[[#This Row],[American Sign Language Total]:[Other Total]])</f>
        <v>36</v>
      </c>
    </row>
    <row r="10" spans="1:14" x14ac:dyDescent="0.25">
      <c r="A10" t="s">
        <v>559</v>
      </c>
      <c r="B10" s="7" t="str">
        <f>Table7[[#Totals],[Participating Schools]:[Other Total]]</f>
        <v>29</v>
      </c>
      <c r="C10" s="8">
        <f>Table7[[#Totals],[Participating Schools]:[Other Total]]</f>
        <v>3</v>
      </c>
      <c r="D10" s="8">
        <f>Table7[[#Totals],[Participating Schools]:[Other Total]]</f>
        <v>0</v>
      </c>
      <c r="E10" s="8">
        <f>Table7[[#Totals],[Participating Schools]:[Other Total]]</f>
        <v>285</v>
      </c>
      <c r="F10" s="8">
        <f>Table7[[#Totals],[Participating Schools]:[Other Total]]</f>
        <v>31</v>
      </c>
      <c r="G10" s="8">
        <f>Table7[[#Totals],[Participating Schools]:[Other Total]]</f>
        <v>22</v>
      </c>
      <c r="H10" s="8">
        <f>Table7[[#Totals],[Participating Schools]:[Other Total]]</f>
        <v>20</v>
      </c>
      <c r="I10" s="8">
        <f>Table7[[#Totals],[Participating Schools]:[Other Total]]</f>
        <v>0</v>
      </c>
      <c r="J10" s="8">
        <f>Table7[[#Totals],[Participating Schools]:[Other Total]]</f>
        <v>104</v>
      </c>
      <c r="K10" s="8">
        <f>Table7[[#Totals],[Participating Schools]:[Other Total]]</f>
        <v>1426</v>
      </c>
      <c r="L10" s="8">
        <f>Table7[[#Totals],[Participating Schools]:[Other Total]]</f>
        <v>0</v>
      </c>
      <c r="M10" s="8">
        <f>Table7[[#Totals],[Participating Schools]:[Other Total]]</f>
        <v>2</v>
      </c>
      <c r="N10" s="16">
        <f>SUM(Table30[[#This Row],[American Sign Language Total]:[Other Total]])</f>
        <v>1893</v>
      </c>
    </row>
    <row r="11" spans="1:14" x14ac:dyDescent="0.25">
      <c r="A11" t="s">
        <v>560</v>
      </c>
      <c r="B11" s="7" t="str">
        <f>Table8[[#Totals],[Participating Schools]:[Other Total]]</f>
        <v>1</v>
      </c>
      <c r="C11" s="8">
        <f>Table8[[#Totals],[Participating Schools]:[Other Total]]</f>
        <v>0</v>
      </c>
      <c r="D11" s="8">
        <f>Table8[[#Totals],[Participating Schools]:[Other Total]]</f>
        <v>0</v>
      </c>
      <c r="E11" s="8">
        <f>Table8[[#Totals],[Participating Schools]:[Other Total]]</f>
        <v>0</v>
      </c>
      <c r="F11" s="8">
        <f>Table8[[#Totals],[Participating Schools]:[Other Total]]</f>
        <v>0</v>
      </c>
      <c r="G11" s="8">
        <f>Table8[[#Totals],[Participating Schools]:[Other Total]]</f>
        <v>0</v>
      </c>
      <c r="H11" s="8">
        <f>Table8[[#Totals],[Participating Schools]:[Other Total]]</f>
        <v>0</v>
      </c>
      <c r="I11" s="8">
        <f>Table8[[#Totals],[Participating Schools]:[Other Total]]</f>
        <v>0</v>
      </c>
      <c r="J11" s="8">
        <f>Table8[[#Totals],[Participating Schools]:[Other Total]]</f>
        <v>0</v>
      </c>
      <c r="K11" s="8">
        <f>Table8[[#Totals],[Participating Schools]:[Other Total]]</f>
        <v>10</v>
      </c>
      <c r="L11" s="8">
        <f>Table8[[#Totals],[Participating Schools]:[Other Total]]</f>
        <v>0</v>
      </c>
      <c r="M11" s="8">
        <f>Table8[[#Totals],[Participating Schools]:[Other Total]]</f>
        <v>2</v>
      </c>
      <c r="N11" s="16">
        <f>SUM(Table30[[#This Row],[American Sign Language Total]:[Other Total]])</f>
        <v>12</v>
      </c>
    </row>
    <row r="12" spans="1:14" x14ac:dyDescent="0.25">
      <c r="A12" t="s">
        <v>562</v>
      </c>
      <c r="B12" s="7" t="str">
        <f>Table9[[#Totals],[Participating Schools]:[Other Total]]</f>
        <v>5</v>
      </c>
      <c r="C12" s="8">
        <f>Table9[[#Totals],[Participating Schools]:[Other Total]]</f>
        <v>0</v>
      </c>
      <c r="D12" s="8">
        <f>Table9[[#Totals],[Participating Schools]:[Other Total]]</f>
        <v>0</v>
      </c>
      <c r="E12" s="8">
        <f>Table9[[#Totals],[Participating Schools]:[Other Total]]</f>
        <v>39</v>
      </c>
      <c r="F12" s="8">
        <f>Table9[[#Totals],[Participating Schools]:[Other Total]]</f>
        <v>4</v>
      </c>
      <c r="G12" s="8">
        <f>Table9[[#Totals],[Participating Schools]:[Other Total]]</f>
        <v>18</v>
      </c>
      <c r="H12" s="8">
        <f>Table9[[#Totals],[Participating Schools]:[Other Total]]</f>
        <v>0</v>
      </c>
      <c r="I12" s="8">
        <f>Table9[[#Totals],[Participating Schools]:[Other Total]]</f>
        <v>0</v>
      </c>
      <c r="J12" s="8">
        <f>Table9[[#Totals],[Participating Schools]:[Other Total]]</f>
        <v>0</v>
      </c>
      <c r="K12" s="8">
        <f>Table9[[#Totals],[Participating Schools]:[Other Total]]</f>
        <v>179</v>
      </c>
      <c r="L12" s="8">
        <f>Table9[[#Totals],[Participating Schools]:[Other Total]]</f>
        <v>0</v>
      </c>
      <c r="M12" s="8">
        <f>Table9[[#Totals],[Participating Schools]:[Other Total]]</f>
        <v>14</v>
      </c>
      <c r="N12" s="16">
        <f>SUM(Table30[[#This Row],[American Sign Language Total]:[Other Total]])</f>
        <v>254</v>
      </c>
    </row>
    <row r="13" spans="1:14" x14ac:dyDescent="0.25">
      <c r="A13" t="s">
        <v>563</v>
      </c>
      <c r="B13" s="7" t="str">
        <f>Table10[[#Totals],[Participating Schools]:[Other Total]]</f>
        <v>33</v>
      </c>
      <c r="C13" s="8">
        <f>Table10[[#Totals],[Participating Schools]:[Other Total]]</f>
        <v>2</v>
      </c>
      <c r="D13" s="8">
        <f>Table10[[#Totals],[Participating Schools]:[Other Total]]</f>
        <v>0</v>
      </c>
      <c r="E13" s="8">
        <f>Table10[[#Totals],[Participating Schools]:[Other Total]]</f>
        <v>98</v>
      </c>
      <c r="F13" s="8">
        <f>Table10[[#Totals],[Participating Schools]:[Other Total]]</f>
        <v>12</v>
      </c>
      <c r="G13" s="8">
        <f>Table10[[#Totals],[Participating Schools]:[Other Total]]</f>
        <v>0</v>
      </c>
      <c r="H13" s="8">
        <f>Table10[[#Totals],[Participating Schools]:[Other Total]]</f>
        <v>0</v>
      </c>
      <c r="I13" s="8">
        <f>Table10[[#Totals],[Participating Schools]:[Other Total]]</f>
        <v>5</v>
      </c>
      <c r="J13" s="8">
        <f>Table10[[#Totals],[Participating Schools]:[Other Total]]</f>
        <v>42</v>
      </c>
      <c r="K13" s="8">
        <f>Table10[[#Totals],[Participating Schools]:[Other Total]]</f>
        <v>1104</v>
      </c>
      <c r="L13" s="8">
        <f>Table10[[#Totals],[Participating Schools]:[Other Total]]</f>
        <v>0</v>
      </c>
      <c r="M13" s="8">
        <f>Table10[[#Totals],[Participating Schools]:[Other Total]]</f>
        <v>106</v>
      </c>
      <c r="N13" s="16">
        <f>SUM(Table30[[#This Row],[American Sign Language Total]:[Other Total]])</f>
        <v>1369</v>
      </c>
    </row>
    <row r="14" spans="1:14" x14ac:dyDescent="0.25">
      <c r="A14" t="s">
        <v>564</v>
      </c>
      <c r="B14" s="7" t="str">
        <f>Table2[[#Totals],[Participating Schools]:[Other Total]]</f>
        <v>1</v>
      </c>
      <c r="C14" s="8">
        <f>Table2[[#Totals],[Participating Schools]:[Other Total]]</f>
        <v>0</v>
      </c>
      <c r="D14" s="8">
        <f>Table2[[#Totals],[Participating Schools]:[Other Total]]</f>
        <v>0</v>
      </c>
      <c r="E14" s="8">
        <f>Table2[[#Totals],[Participating Schools]:[Other Total]]</f>
        <v>0</v>
      </c>
      <c r="F14" s="8">
        <f>Table2[[#Totals],[Participating Schools]:[Other Total]]</f>
        <v>0</v>
      </c>
      <c r="G14" s="8">
        <f>Table2[[#Totals],[Participating Schools]:[Other Total]]</f>
        <v>0</v>
      </c>
      <c r="H14" s="8">
        <f>Table2[[#Totals],[Participating Schools]:[Other Total]]</f>
        <v>0</v>
      </c>
      <c r="I14" s="8">
        <f>Table2[[#Totals],[Participating Schools]:[Other Total]]</f>
        <v>0</v>
      </c>
      <c r="J14" s="8">
        <f>Table2[[#Totals],[Participating Schools]:[Other Total]]</f>
        <v>0</v>
      </c>
      <c r="K14" s="8">
        <f>Table2[[#Totals],[Participating Schools]:[Other Total]]</f>
        <v>12</v>
      </c>
      <c r="L14" s="8">
        <f>Table2[[#Totals],[Participating Schools]:[Other Total]]</f>
        <v>0</v>
      </c>
      <c r="M14" s="8">
        <f>Table2[[#Totals],[Participating Schools]:[Other Total]]</f>
        <v>0</v>
      </c>
      <c r="N14" s="16">
        <f>SUM(Table30[[#This Row],[American Sign Language Total]:[Other Total]])</f>
        <v>12</v>
      </c>
    </row>
    <row r="15" spans="1:14" x14ac:dyDescent="0.25">
      <c r="A15" t="s">
        <v>565</v>
      </c>
      <c r="B15" s="7" t="str">
        <f>Table11[[#Totals],[Participating Schools]:[Other Total]]</f>
        <v>6</v>
      </c>
      <c r="C15" s="8">
        <f>Table11[[#Totals],[Participating Schools]:[Other Total]]</f>
        <v>0</v>
      </c>
      <c r="D15" s="8">
        <f>Table11[[#Totals],[Participating Schools]:[Other Total]]</f>
        <v>0</v>
      </c>
      <c r="E15" s="8">
        <f>Table11[[#Totals],[Participating Schools]:[Other Total]]</f>
        <v>13</v>
      </c>
      <c r="F15" s="8">
        <f>Table11[[#Totals],[Participating Schools]:[Other Total]]</f>
        <v>8</v>
      </c>
      <c r="G15" s="8">
        <f>Table11[[#Totals],[Participating Schools]:[Other Total]]</f>
        <v>0</v>
      </c>
      <c r="H15" s="8">
        <f>Table11[[#Totals],[Participating Schools]:[Other Total]]</f>
        <v>0</v>
      </c>
      <c r="I15" s="8">
        <f>Table11[[#Totals],[Participating Schools]:[Other Total]]</f>
        <v>0</v>
      </c>
      <c r="J15" s="8">
        <f>Table11[[#Totals],[Participating Schools]:[Other Total]]</f>
        <v>0</v>
      </c>
      <c r="K15" s="8">
        <f>Table11[[#Totals],[Participating Schools]:[Other Total]]</f>
        <v>80</v>
      </c>
      <c r="L15" s="8">
        <f>Table11[[#Totals],[Participating Schools]:[Other Total]]</f>
        <v>0</v>
      </c>
      <c r="M15" s="8">
        <f>Table11[[#Totals],[Participating Schools]:[Other Total]]</f>
        <v>11</v>
      </c>
      <c r="N15" s="16">
        <f>SUM(Table30[[#This Row],[American Sign Language Total]:[Other Total]])</f>
        <v>112</v>
      </c>
    </row>
    <row r="16" spans="1:14" x14ac:dyDescent="0.25">
      <c r="A16" t="s">
        <v>566</v>
      </c>
      <c r="B16" s="7" t="str">
        <f>Table12[[#Totals],[Participating Schools]:[Other Total]]</f>
        <v>6</v>
      </c>
      <c r="C16" s="8">
        <f>Table12[[#Totals],[Participating Schools]:[Other Total]]</f>
        <v>0</v>
      </c>
      <c r="D16" s="8">
        <f>Table12[[#Totals],[Participating Schools]:[Other Total]]</f>
        <v>0</v>
      </c>
      <c r="E16" s="8">
        <f>Table12[[#Totals],[Participating Schools]:[Other Total]]</f>
        <v>2</v>
      </c>
      <c r="F16" s="8">
        <f>Table12[[#Totals],[Participating Schools]:[Other Total]]</f>
        <v>0</v>
      </c>
      <c r="G16" s="8">
        <f>Table12[[#Totals],[Participating Schools]:[Other Total]]</f>
        <v>0</v>
      </c>
      <c r="H16" s="8">
        <f>Table12[[#Totals],[Participating Schools]:[Other Total]]</f>
        <v>1</v>
      </c>
      <c r="I16" s="8">
        <f>Table12[[#Totals],[Participating Schools]:[Other Total]]</f>
        <v>0</v>
      </c>
      <c r="J16" s="8">
        <f>Table12[[#Totals],[Participating Schools]:[Other Total]]</f>
        <v>1</v>
      </c>
      <c r="K16" s="8">
        <f>Table12[[#Totals],[Participating Schools]:[Other Total]]</f>
        <v>374</v>
      </c>
      <c r="L16" s="8">
        <f>Table12[[#Totals],[Participating Schools]:[Other Total]]</f>
        <v>0</v>
      </c>
      <c r="M16" s="8">
        <f>Table12[[#Totals],[Participating Schools]:[Other Total]]</f>
        <v>0</v>
      </c>
      <c r="N16" s="16">
        <f>SUM(Table30[[#This Row],[American Sign Language Total]:[Other Total]])</f>
        <v>378</v>
      </c>
    </row>
    <row r="17" spans="1:14" x14ac:dyDescent="0.25">
      <c r="A17" t="s">
        <v>798</v>
      </c>
      <c r="B17" s="7">
        <v>1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1</v>
      </c>
      <c r="L17" s="8">
        <v>0</v>
      </c>
      <c r="M17" s="8">
        <v>0</v>
      </c>
      <c r="N17" s="16">
        <f>SUM(Table30[[#This Row],[American Sign Language Total]:[Other Total]])</f>
        <v>1</v>
      </c>
    </row>
    <row r="18" spans="1:14" x14ac:dyDescent="0.25">
      <c r="A18" t="s">
        <v>567</v>
      </c>
      <c r="B18" s="7" t="str">
        <f>Table13[[#Totals],[Participating Schools]:[Other Total]]</f>
        <v>25</v>
      </c>
      <c r="C18" s="8">
        <f>Table13[[#Totals],[Participating Schools]:[Other Total]]</f>
        <v>0</v>
      </c>
      <c r="D18" s="8">
        <f>Table13[[#Totals],[Participating Schools]:[Other Total]]</f>
        <v>0</v>
      </c>
      <c r="E18" s="8">
        <f>Table13[[#Totals],[Participating Schools]:[Other Total]]</f>
        <v>85</v>
      </c>
      <c r="F18" s="8">
        <f>Table13[[#Totals],[Participating Schools]:[Other Total]]</f>
        <v>5</v>
      </c>
      <c r="G18" s="8">
        <f>Table13[[#Totals],[Participating Schools]:[Other Total]]</f>
        <v>0</v>
      </c>
      <c r="H18" s="8">
        <f>Table13[[#Totals],[Participating Schools]:[Other Total]]</f>
        <v>0</v>
      </c>
      <c r="I18" s="8">
        <f>Table13[[#Totals],[Participating Schools]:[Other Total]]</f>
        <v>0</v>
      </c>
      <c r="J18" s="8">
        <f>Table13[[#Totals],[Participating Schools]:[Other Total]]</f>
        <v>1</v>
      </c>
      <c r="K18" s="8">
        <f>Table13[[#Totals],[Participating Schools]:[Other Total]]</f>
        <v>961</v>
      </c>
      <c r="L18" s="8">
        <f>Table13[[#Totals],[Participating Schools]:[Other Total]]</f>
        <v>0</v>
      </c>
      <c r="M18" s="8">
        <f>Table13[[#Totals],[Participating Schools]:[Other Total]]</f>
        <v>0</v>
      </c>
      <c r="N18" s="16">
        <f>SUM(Table30[[#This Row],[American Sign Language Total]:[Other Total]])</f>
        <v>1052</v>
      </c>
    </row>
    <row r="19" spans="1:14" x14ac:dyDescent="0.25">
      <c r="A19" t="s">
        <v>568</v>
      </c>
      <c r="B19" s="7" t="str">
        <f>Table14[[#Totals],[Participating Schools]:[Other Total]]</f>
        <v>5</v>
      </c>
      <c r="C19" s="8">
        <f>Table14[[#Totals],[Participating Schools]:[Other Total]]</f>
        <v>0</v>
      </c>
      <c r="D19" s="8">
        <f>Table14[[#Totals],[Participating Schools]:[Other Total]]</f>
        <v>0</v>
      </c>
      <c r="E19" s="8">
        <f>Table14[[#Totals],[Participating Schools]:[Other Total]]</f>
        <v>1</v>
      </c>
      <c r="F19" s="8">
        <f>Table14[[#Totals],[Participating Schools]:[Other Total]]</f>
        <v>0</v>
      </c>
      <c r="G19" s="8">
        <f>Table14[[#Totals],[Participating Schools]:[Other Total]]</f>
        <v>0</v>
      </c>
      <c r="H19" s="8">
        <f>Table14[[#Totals],[Participating Schools]:[Other Total]]</f>
        <v>0</v>
      </c>
      <c r="I19" s="8">
        <f>Table14[[#Totals],[Participating Schools]:[Other Total]]</f>
        <v>0</v>
      </c>
      <c r="J19" s="8">
        <f>Table14[[#Totals],[Participating Schools]:[Other Total]]</f>
        <v>0</v>
      </c>
      <c r="K19" s="8">
        <f>Table14[[#Totals],[Participating Schools]:[Other Total]]</f>
        <v>82</v>
      </c>
      <c r="L19" s="8">
        <f>Table14[[#Totals],[Participating Schools]:[Other Total]]</f>
        <v>0</v>
      </c>
      <c r="M19" s="8">
        <f>Table14[[#Totals],[Participating Schools]:[Other Total]]</f>
        <v>0</v>
      </c>
      <c r="N19" s="16">
        <f>SUM(Table30[[#This Row],[American Sign Language Total]:[Other Total]])</f>
        <v>83</v>
      </c>
    </row>
    <row r="20" spans="1:14" x14ac:dyDescent="0.25">
      <c r="A20" t="s">
        <v>569</v>
      </c>
      <c r="B20" s="7" t="str">
        <f>Table15[[#Totals],[Participating Schools]:[Other Total]]</f>
        <v>4</v>
      </c>
      <c r="C20" s="8">
        <f>Table15[[#Totals],[Participating Schools]:[Other Total]]</f>
        <v>0</v>
      </c>
      <c r="D20" s="8">
        <f>Table15[[#Totals],[Participating Schools]:[Other Total]]</f>
        <v>0</v>
      </c>
      <c r="E20" s="8">
        <f>Table15[[#Totals],[Participating Schools]:[Other Total]]</f>
        <v>1</v>
      </c>
      <c r="F20" s="8">
        <f>Table15[[#Totals],[Participating Schools]:[Other Total]]</f>
        <v>1</v>
      </c>
      <c r="G20" s="8">
        <f>Table15[[#Totals],[Participating Schools]:[Other Total]]</f>
        <v>0</v>
      </c>
      <c r="H20" s="8">
        <f>Table15[[#Totals],[Participating Schools]:[Other Total]]</f>
        <v>0</v>
      </c>
      <c r="I20" s="8">
        <f>Table15[[#Totals],[Participating Schools]:[Other Total]]</f>
        <v>0</v>
      </c>
      <c r="J20" s="8">
        <f>Table15[[#Totals],[Participating Schools]:[Other Total]]</f>
        <v>0</v>
      </c>
      <c r="K20" s="8">
        <f>Table15[[#Totals],[Participating Schools]:[Other Total]]</f>
        <v>14</v>
      </c>
      <c r="L20" s="8">
        <f>Table15[[#Totals],[Participating Schools]:[Other Total]]</f>
        <v>0</v>
      </c>
      <c r="M20" s="8">
        <f>Table15[[#Totals],[Participating Schools]:[Other Total]]</f>
        <v>0</v>
      </c>
      <c r="N20" s="16">
        <f>SUM(Table30[[#This Row],[American Sign Language Total]:[Other Total]])</f>
        <v>16</v>
      </c>
    </row>
    <row r="21" spans="1:14" x14ac:dyDescent="0.25">
      <c r="A21" t="s">
        <v>570</v>
      </c>
      <c r="B21" s="7" t="str">
        <f>Table16[[#Totals],[Participating Schools]:[Other Total]]</f>
        <v>1</v>
      </c>
      <c r="C21" s="8">
        <f>Table16[[#Totals],[Participating Schools]:[Other Total]]</f>
        <v>0</v>
      </c>
      <c r="D21" s="8">
        <f>Table16[[#Totals],[Participating Schools]:[Other Total]]</f>
        <v>0</v>
      </c>
      <c r="E21" s="8">
        <f>Table16[[#Totals],[Participating Schools]:[Other Total]]</f>
        <v>0</v>
      </c>
      <c r="F21" s="8">
        <f>Table16[[#Totals],[Participating Schools]:[Other Total]]</f>
        <v>0</v>
      </c>
      <c r="G21" s="8">
        <f>Table16[[#Totals],[Participating Schools]:[Other Total]]</f>
        <v>0</v>
      </c>
      <c r="H21" s="8">
        <f>Table16[[#Totals],[Participating Schools]:[Other Total]]</f>
        <v>0</v>
      </c>
      <c r="I21" s="8">
        <f>Table16[[#Totals],[Participating Schools]:[Other Total]]</f>
        <v>0</v>
      </c>
      <c r="J21" s="8">
        <f>Table16[[#Totals],[Participating Schools]:[Other Total]]</f>
        <v>0</v>
      </c>
      <c r="K21" s="8">
        <f>Table16[[#Totals],[Participating Schools]:[Other Total]]</f>
        <v>10</v>
      </c>
      <c r="L21" s="8">
        <f>Table16[[#Totals],[Participating Schools]:[Other Total]]</f>
        <v>0</v>
      </c>
      <c r="M21" s="8">
        <f>Table16[[#Totals],[Participating Schools]:[Other Total]]</f>
        <v>0</v>
      </c>
      <c r="N21" s="16">
        <f>SUM(Table30[[#This Row],[American Sign Language Total]:[Other Total]])</f>
        <v>10</v>
      </c>
    </row>
    <row r="22" spans="1:14" x14ac:dyDescent="0.25">
      <c r="A22" t="s">
        <v>571</v>
      </c>
      <c r="B22" s="7" t="str">
        <f>Table17[[#Totals],[Participating Schools]:[Other Total]]</f>
        <v>261</v>
      </c>
      <c r="C22" s="8">
        <f>Table17[[#Totals],[Participating Schools]:[Other Total]]</f>
        <v>90</v>
      </c>
      <c r="D22" s="8">
        <f>Table17[[#Totals],[Participating Schools]:[Other Total]]</f>
        <v>7</v>
      </c>
      <c r="E22" s="8">
        <f>Table17[[#Totals],[Participating Schools]:[Other Total]]</f>
        <v>771</v>
      </c>
      <c r="F22" s="8">
        <f>Table17[[#Totals],[Participating Schools]:[Other Total]]</f>
        <v>130</v>
      </c>
      <c r="G22" s="8">
        <f>Table17[[#Totals],[Participating Schools]:[Other Total]]</f>
        <v>316</v>
      </c>
      <c r="H22" s="8">
        <f>Table17[[#Totals],[Participating Schools]:[Other Total]]</f>
        <v>247</v>
      </c>
      <c r="I22" s="8">
        <f>Table17[[#Totals],[Participating Schools]:[Other Total]]</f>
        <v>52</v>
      </c>
      <c r="J22" s="8">
        <f>Table17[[#Totals],[Participating Schools]:[Other Total]]</f>
        <v>729</v>
      </c>
      <c r="K22" s="8">
        <f>Table17[[#Totals],[Participating Schools]:[Other Total]]</f>
        <v>11187</v>
      </c>
      <c r="L22" s="8">
        <f>Table17[[#Totals],[Participating Schools]:[Other Total]]</f>
        <v>18</v>
      </c>
      <c r="M22" s="8">
        <f>Table17[[#Totals],[Participating Schools]:[Other Total]]</f>
        <v>156</v>
      </c>
      <c r="N22" s="16">
        <f>SUM(Table30[[#This Row],[American Sign Language Total]:[Other Total]])</f>
        <v>13703</v>
      </c>
    </row>
    <row r="23" spans="1:14" x14ac:dyDescent="0.25">
      <c r="A23" t="s">
        <v>572</v>
      </c>
      <c r="B23" s="7" t="str">
        <f>Table18[[#Totals],[Participating Schools]:[Other Total]]</f>
        <v>4</v>
      </c>
      <c r="C23" s="8">
        <f>Table18[[#Totals],[Participating Schools]:[Other Total]]</f>
        <v>0</v>
      </c>
      <c r="D23" s="8">
        <f>Table18[[#Totals],[Participating Schools]:[Other Total]]</f>
        <v>0</v>
      </c>
      <c r="E23" s="8">
        <f>Table18[[#Totals],[Participating Schools]:[Other Total]]</f>
        <v>0</v>
      </c>
      <c r="F23" s="8">
        <f>Table18[[#Totals],[Participating Schools]:[Other Total]]</f>
        <v>0</v>
      </c>
      <c r="G23" s="8">
        <f>Table18[[#Totals],[Participating Schools]:[Other Total]]</f>
        <v>0</v>
      </c>
      <c r="H23" s="8">
        <f>Table18[[#Totals],[Participating Schools]:[Other Total]]</f>
        <v>0</v>
      </c>
      <c r="I23" s="8">
        <f>Table18[[#Totals],[Participating Schools]:[Other Total]]</f>
        <v>0</v>
      </c>
      <c r="J23" s="8">
        <f>Table18[[#Totals],[Participating Schools]:[Other Total]]</f>
        <v>0</v>
      </c>
      <c r="K23" s="8">
        <f>Table18[[#Totals],[Participating Schools]:[Other Total]]</f>
        <v>76</v>
      </c>
      <c r="L23" s="8">
        <f>Table18[[#Totals],[Participating Schools]:[Other Total]]</f>
        <v>0</v>
      </c>
      <c r="M23" s="8">
        <f>Table18[[#Totals],[Participating Schools]:[Other Total]]</f>
        <v>0</v>
      </c>
      <c r="N23" s="16">
        <f>SUM(Table30[[#This Row],[American Sign Language Total]:[Other Total]])</f>
        <v>76</v>
      </c>
    </row>
    <row r="24" spans="1:14" x14ac:dyDescent="0.25">
      <c r="A24" t="s">
        <v>573</v>
      </c>
      <c r="B24" s="7" t="str">
        <f>Table19[[#Totals],[Participating Schools]:[Other Total]]</f>
        <v>9</v>
      </c>
      <c r="C24" s="8">
        <f>Table19[[#Totals],[Participating Schools]:[Other Total]]</f>
        <v>0</v>
      </c>
      <c r="D24" s="8">
        <f>Table19[[#Totals],[Participating Schools]:[Other Total]]</f>
        <v>0</v>
      </c>
      <c r="E24" s="8">
        <f>Table19[[#Totals],[Participating Schools]:[Other Total]]</f>
        <v>78</v>
      </c>
      <c r="F24" s="8">
        <f>Table19[[#Totals],[Participating Schools]:[Other Total]]</f>
        <v>1</v>
      </c>
      <c r="G24" s="8">
        <f>Table19[[#Totals],[Participating Schools]:[Other Total]]</f>
        <v>0</v>
      </c>
      <c r="H24" s="8">
        <f>Table19[[#Totals],[Participating Schools]:[Other Total]]</f>
        <v>0</v>
      </c>
      <c r="I24" s="8">
        <f>Table19[[#Totals],[Participating Schools]:[Other Total]]</f>
        <v>0</v>
      </c>
      <c r="J24" s="8">
        <f>Table19[[#Totals],[Participating Schools]:[Other Total]]</f>
        <v>0</v>
      </c>
      <c r="K24" s="8">
        <f>Table19[[#Totals],[Participating Schools]:[Other Total]]</f>
        <v>504</v>
      </c>
      <c r="L24" s="8">
        <f>Table19[[#Totals],[Participating Schools]:[Other Total]]</f>
        <v>0</v>
      </c>
      <c r="M24" s="8">
        <f>Table19[[#Totals],[Participating Schools]:[Other Total]]</f>
        <v>0</v>
      </c>
      <c r="N24" s="16">
        <f>SUM(Table30[[#This Row],[American Sign Language Total]:[Other Total]])</f>
        <v>583</v>
      </c>
    </row>
    <row r="25" spans="1:14" x14ac:dyDescent="0.25">
      <c r="A25" t="s">
        <v>574</v>
      </c>
      <c r="B25" s="7" t="str">
        <f>Table20[[#Totals],[Participating Schools]:[Other Total]]</f>
        <v>5</v>
      </c>
      <c r="C25" s="8">
        <f>Table20[[#Totals],[Participating Schools]:[Other Total]]</f>
        <v>0</v>
      </c>
      <c r="D25" s="8">
        <f>Table20[[#Totals],[Participating Schools]:[Other Total]]</f>
        <v>0</v>
      </c>
      <c r="E25" s="8">
        <f>Table20[[#Totals],[Participating Schools]:[Other Total]]</f>
        <v>4</v>
      </c>
      <c r="F25" s="8">
        <f>Table20[[#Totals],[Participating Schools]:[Other Total]]</f>
        <v>0</v>
      </c>
      <c r="G25" s="8">
        <f>Table20[[#Totals],[Participating Schools]:[Other Total]]</f>
        <v>0</v>
      </c>
      <c r="H25" s="8">
        <f>Table20[[#Totals],[Participating Schools]:[Other Total]]</f>
        <v>0</v>
      </c>
      <c r="I25" s="8">
        <f>Table20[[#Totals],[Participating Schools]:[Other Total]]</f>
        <v>0</v>
      </c>
      <c r="J25" s="8">
        <f>Table20[[#Totals],[Participating Schools]:[Other Total]]</f>
        <v>0</v>
      </c>
      <c r="K25" s="8">
        <f>Table20[[#Totals],[Participating Schools]:[Other Total]]</f>
        <v>106</v>
      </c>
      <c r="L25" s="8">
        <f>Table20[[#Totals],[Participating Schools]:[Other Total]]</f>
        <v>0</v>
      </c>
      <c r="M25" s="8">
        <f>Table20[[#Totals],[Participating Schools]:[Other Total]]</f>
        <v>0</v>
      </c>
      <c r="N25" s="16">
        <f>SUM(Table30[[#This Row],[American Sign Language Total]:[Other Total]])</f>
        <v>110</v>
      </c>
    </row>
    <row r="26" spans="1:14" x14ac:dyDescent="0.25">
      <c r="A26" t="s">
        <v>575</v>
      </c>
      <c r="B26" s="7" t="str">
        <f>Table21[[#Totals],[Participating Schools]:[Other Total]]</f>
        <v>2</v>
      </c>
      <c r="C26" s="8">
        <f>Table21[[#Totals],[Participating Schools]:[Other Total]]</f>
        <v>0</v>
      </c>
      <c r="D26" s="8">
        <f>Table21[[#Totals],[Participating Schools]:[Other Total]]</f>
        <v>0</v>
      </c>
      <c r="E26" s="8">
        <f>Table21[[#Totals],[Participating Schools]:[Other Total]]</f>
        <v>0</v>
      </c>
      <c r="F26" s="8">
        <f>Table21[[#Totals],[Participating Schools]:[Other Total]]</f>
        <v>0</v>
      </c>
      <c r="G26" s="8">
        <f>Table21[[#Totals],[Participating Schools]:[Other Total]]</f>
        <v>0</v>
      </c>
      <c r="H26" s="8">
        <f>Table21[[#Totals],[Participating Schools]:[Other Total]]</f>
        <v>0</v>
      </c>
      <c r="I26" s="8">
        <f>Table21[[#Totals],[Participating Schools]:[Other Total]]</f>
        <v>0</v>
      </c>
      <c r="J26" s="8">
        <f>Table21[[#Totals],[Participating Schools]:[Other Total]]</f>
        <v>0</v>
      </c>
      <c r="K26" s="8">
        <f>Table21[[#Totals],[Participating Schools]:[Other Total]]</f>
        <v>45</v>
      </c>
      <c r="L26" s="8">
        <f>Table21[[#Totals],[Participating Schools]:[Other Total]]</f>
        <v>0</v>
      </c>
      <c r="M26" s="8">
        <f>Table21[[#Totals],[Participating Schools]:[Other Total]]</f>
        <v>2</v>
      </c>
      <c r="N26" s="16">
        <f>SUM(Table30[[#This Row],[American Sign Language Total]:[Other Total]])</f>
        <v>47</v>
      </c>
    </row>
    <row r="27" spans="1:14" x14ac:dyDescent="0.25">
      <c r="A27" t="s">
        <v>576</v>
      </c>
      <c r="B27" s="7" t="str">
        <f>Table22[[#Totals],[Participating Schools]:[Other Total]]</f>
        <v>2</v>
      </c>
      <c r="C27" s="8">
        <f>Table22[[#Totals],[Participating Schools]:[Other Total]]</f>
        <v>0</v>
      </c>
      <c r="D27" s="8">
        <f>Table22[[#Totals],[Participating Schools]:[Other Total]]</f>
        <v>0</v>
      </c>
      <c r="E27" s="8">
        <f>Table22[[#Totals],[Participating Schools]:[Other Total]]</f>
        <v>0</v>
      </c>
      <c r="F27" s="8">
        <f>Table22[[#Totals],[Participating Schools]:[Other Total]]</f>
        <v>0</v>
      </c>
      <c r="G27" s="8">
        <f>Table22[[#Totals],[Participating Schools]:[Other Total]]</f>
        <v>0</v>
      </c>
      <c r="H27" s="8">
        <f>Table22[[#Totals],[Participating Schools]:[Other Total]]</f>
        <v>0</v>
      </c>
      <c r="I27" s="8">
        <f>Table22[[#Totals],[Participating Schools]:[Other Total]]</f>
        <v>0</v>
      </c>
      <c r="J27" s="8">
        <f>Table22[[#Totals],[Participating Schools]:[Other Total]]</f>
        <v>0</v>
      </c>
      <c r="K27" s="8">
        <f>Table22[[#Totals],[Participating Schools]:[Other Total]]</f>
        <v>2</v>
      </c>
      <c r="L27" s="8">
        <f>Table22[[#Totals],[Participating Schools]:[Other Total]]</f>
        <v>0</v>
      </c>
      <c r="M27" s="8">
        <f>Table22[[#Totals],[Participating Schools]:[Other Total]]</f>
        <v>0</v>
      </c>
      <c r="N27" s="16">
        <f>SUM(Table30[[#This Row],[American Sign Language Total]:[Other Total]])</f>
        <v>2</v>
      </c>
    </row>
    <row r="28" spans="1:14" x14ac:dyDescent="0.25">
      <c r="A28" t="s">
        <v>577</v>
      </c>
      <c r="B28" s="7" t="str">
        <f>Table23[[#Totals],[Participating Schools]:[Other Total]]</f>
        <v>1</v>
      </c>
      <c r="C28" s="8">
        <f>Table23[[#Totals],[Participating Schools]:[Other Total]]</f>
        <v>0</v>
      </c>
      <c r="D28" s="8">
        <f>Table23[[#Totals],[Participating Schools]:[Other Total]]</f>
        <v>0</v>
      </c>
      <c r="E28" s="8">
        <f>Table23[[#Totals],[Participating Schools]:[Other Total]]</f>
        <v>0</v>
      </c>
      <c r="F28" s="8">
        <f>Table23[[#Totals],[Participating Schools]:[Other Total]]</f>
        <v>0</v>
      </c>
      <c r="G28" s="8">
        <f>Table23[[#Totals],[Participating Schools]:[Other Total]]</f>
        <v>0</v>
      </c>
      <c r="H28" s="8">
        <f>Table23[[#Totals],[Participating Schools]:[Other Total]]</f>
        <v>0</v>
      </c>
      <c r="I28" s="8">
        <f>Table23[[#Totals],[Participating Schools]:[Other Total]]</f>
        <v>0</v>
      </c>
      <c r="J28" s="8">
        <f>Table23[[#Totals],[Participating Schools]:[Other Total]]</f>
        <v>0</v>
      </c>
      <c r="K28" s="8">
        <f>Table23[[#Totals],[Participating Schools]:[Other Total]]</f>
        <v>23</v>
      </c>
      <c r="L28" s="8">
        <f>Table23[[#Totals],[Participating Schools]:[Other Total]]</f>
        <v>0</v>
      </c>
      <c r="M28" s="8">
        <f>Table23[[#Totals],[Participating Schools]:[Other Total]]</f>
        <v>1</v>
      </c>
      <c r="N28" s="16">
        <f>SUM(Table30[[#This Row],[American Sign Language Total]:[Other Total]])</f>
        <v>24</v>
      </c>
    </row>
    <row r="29" spans="1:14" x14ac:dyDescent="0.25">
      <c r="A29" t="s">
        <v>578</v>
      </c>
      <c r="B29" s="7" t="str">
        <f>Table24[[#Totals],[Participating Schools]:[Other Total]]</f>
        <v>12</v>
      </c>
      <c r="C29" s="8">
        <f>Table24[[#Totals],[Participating Schools]:[Other Total]]</f>
        <v>1</v>
      </c>
      <c r="D29" s="8">
        <f>Table24[[#Totals],[Participating Schools]:[Other Total]]</f>
        <v>0</v>
      </c>
      <c r="E29" s="8">
        <f>Table24[[#Totals],[Participating Schools]:[Other Total]]</f>
        <v>52</v>
      </c>
      <c r="F29" s="8">
        <f>Table24[[#Totals],[Participating Schools]:[Other Total]]</f>
        <v>0</v>
      </c>
      <c r="G29" s="8">
        <f>Table24[[#Totals],[Participating Schools]:[Other Total]]</f>
        <v>24</v>
      </c>
      <c r="H29" s="8">
        <f>Table24[[#Totals],[Participating Schools]:[Other Total]]</f>
        <v>1</v>
      </c>
      <c r="I29" s="8">
        <f>Table24[[#Totals],[Participating Schools]:[Other Total]]</f>
        <v>0</v>
      </c>
      <c r="J29" s="8">
        <f>Table24[[#Totals],[Participating Schools]:[Other Total]]</f>
        <v>14</v>
      </c>
      <c r="K29" s="8">
        <f>Table24[[#Totals],[Participating Schools]:[Other Total]]</f>
        <v>548</v>
      </c>
      <c r="L29" s="8">
        <f>Table24[[#Totals],[Participating Schools]:[Other Total]]</f>
        <v>0</v>
      </c>
      <c r="M29" s="8">
        <f>Table24[[#Totals],[Participating Schools]:[Other Total]]</f>
        <v>0</v>
      </c>
      <c r="N29" s="16">
        <f>SUM(Table30[[#This Row],[American Sign Language Total]:[Other Total]])</f>
        <v>640</v>
      </c>
    </row>
    <row r="30" spans="1:14" x14ac:dyDescent="0.25">
      <c r="A30" t="s">
        <v>579</v>
      </c>
      <c r="B30" s="7" t="str">
        <f>Table25[[#Totals],[Participating Schools]:[Other Total]]</f>
        <v>7</v>
      </c>
      <c r="C30" s="8">
        <f>Table25[[#Totals],[Participating Schools]:[Other Total]]</f>
        <v>0</v>
      </c>
      <c r="D30" s="8">
        <f>Table25[[#Totals],[Participating Schools]:[Other Total]]</f>
        <v>0</v>
      </c>
      <c r="E30" s="8">
        <f>Table25[[#Totals],[Participating Schools]:[Other Total]]</f>
        <v>14</v>
      </c>
      <c r="F30" s="8">
        <f>Table25[[#Totals],[Participating Schools]:[Other Total]]</f>
        <v>0</v>
      </c>
      <c r="G30" s="8">
        <f>Table25[[#Totals],[Participating Schools]:[Other Total]]</f>
        <v>0</v>
      </c>
      <c r="H30" s="8">
        <f>Table25[[#Totals],[Participating Schools]:[Other Total]]</f>
        <v>0</v>
      </c>
      <c r="I30" s="8">
        <f>Table25[[#Totals],[Participating Schools]:[Other Total]]</f>
        <v>0</v>
      </c>
      <c r="J30" s="8">
        <f>Table25[[#Totals],[Participating Schools]:[Other Total]]</f>
        <v>42</v>
      </c>
      <c r="K30" s="8">
        <f>Table25[[#Totals],[Participating Schools]:[Other Total]]</f>
        <v>248</v>
      </c>
      <c r="L30" s="8">
        <f>Table25[[#Totals],[Participating Schools]:[Other Total]]</f>
        <v>0</v>
      </c>
      <c r="M30" s="8">
        <f>Table25[[#Totals],[Participating Schools]:[Other Total]]</f>
        <v>0</v>
      </c>
      <c r="N30" s="16">
        <f>SUM(Table30[[#This Row],[American Sign Language Total]:[Other Total]])</f>
        <v>304</v>
      </c>
    </row>
    <row r="31" spans="1:14" x14ac:dyDescent="0.25">
      <c r="A31" t="s">
        <v>580</v>
      </c>
      <c r="B31" s="7" t="str">
        <f>Table26[[#Totals],[Participating Schools]:[Other Total]]</f>
        <v>3</v>
      </c>
      <c r="C31" s="8">
        <f>Table26[[#Totals],[Participating Schools]:[Other Total]]</f>
        <v>0</v>
      </c>
      <c r="D31" s="8">
        <f>Table26[[#Totals],[Participating Schools]:[Other Total]]</f>
        <v>0</v>
      </c>
      <c r="E31" s="8">
        <f>Table26[[#Totals],[Participating Schools]:[Other Total]]</f>
        <v>0</v>
      </c>
      <c r="F31" s="8">
        <f>Table26[[#Totals],[Participating Schools]:[Other Total]]</f>
        <v>0</v>
      </c>
      <c r="G31" s="8">
        <f>Table26[[#Totals],[Participating Schools]:[Other Total]]</f>
        <v>0</v>
      </c>
      <c r="H31" s="8">
        <f>Table26[[#Totals],[Participating Schools]:[Other Total]]</f>
        <v>0</v>
      </c>
      <c r="I31" s="8">
        <f>Table26[[#Totals],[Participating Schools]:[Other Total]]</f>
        <v>0</v>
      </c>
      <c r="J31" s="8">
        <f>Table26[[#Totals],[Participating Schools]:[Other Total]]</f>
        <v>0</v>
      </c>
      <c r="K31" s="8">
        <f>Table26[[#Totals],[Participating Schools]:[Other Total]]</f>
        <v>37</v>
      </c>
      <c r="L31" s="8">
        <f>Table26[[#Totals],[Participating Schools]:[Other Total]]</f>
        <v>0</v>
      </c>
      <c r="M31" s="8">
        <f>Table26[[#Totals],[Participating Schools]:[Other Total]]</f>
        <v>0</v>
      </c>
      <c r="N31" s="16">
        <f>SUM(Table30[[#This Row],[American Sign Language Total]:[Other Total]])</f>
        <v>37</v>
      </c>
    </row>
    <row r="32" spans="1:14" x14ac:dyDescent="0.25">
      <c r="A32" t="s">
        <v>581</v>
      </c>
      <c r="B32" s="7" t="str">
        <f>Table27[[#Totals],[Participating Schools]:[Other Total]]</f>
        <v>76</v>
      </c>
      <c r="C32" s="8">
        <f>Table27[[#Totals],[Participating Schools]:[Other Total]]</f>
        <v>60</v>
      </c>
      <c r="D32" s="8">
        <f>Table27[[#Totals],[Participating Schools]:[Other Total]]</f>
        <v>46</v>
      </c>
      <c r="E32" s="8">
        <f>Table27[[#Totals],[Participating Schools]:[Other Total]]</f>
        <v>877</v>
      </c>
      <c r="F32" s="8">
        <f>Table27[[#Totals],[Participating Schools]:[Other Total]]</f>
        <v>133</v>
      </c>
      <c r="G32" s="8">
        <f>Table27[[#Totals],[Participating Schools]:[Other Total]]</f>
        <v>174</v>
      </c>
      <c r="H32" s="8">
        <f>Table27[[#Totals],[Participating Schools]:[Other Total]]</f>
        <v>248</v>
      </c>
      <c r="I32" s="8">
        <f>Table27[[#Totals],[Participating Schools]:[Other Total]]</f>
        <v>325</v>
      </c>
      <c r="J32" s="8">
        <f>Table27[[#Totals],[Participating Schools]:[Other Total]]</f>
        <v>341</v>
      </c>
      <c r="K32" s="8">
        <f>Table27[[#Totals],[Participating Schools]:[Other Total]]</f>
        <v>6441</v>
      </c>
      <c r="L32" s="8">
        <f>Table27[[#Totals],[Participating Schools]:[Other Total]]</f>
        <v>440</v>
      </c>
      <c r="M32" s="8">
        <f>Table27[[#Totals],[Participating Schools]:[Other Total]]</f>
        <v>93</v>
      </c>
      <c r="N32" s="16">
        <f>SUM(Table30[[#This Row],[American Sign Language Total]:[Other Total]])</f>
        <v>9178</v>
      </c>
    </row>
    <row r="33" spans="1:14" x14ac:dyDescent="0.25">
      <c r="A33" t="s">
        <v>582</v>
      </c>
      <c r="B33" s="7" t="str">
        <f>Table28[[#Totals],[Participating Schools]:[Other Total]]</f>
        <v>15</v>
      </c>
      <c r="C33" s="8">
        <f>Table28[[#Totals],[Participating Schools]:[Other Total]]</f>
        <v>28</v>
      </c>
      <c r="D33" s="8">
        <f>Table28[[#Totals],[Participating Schools]:[Other Total]]</f>
        <v>0</v>
      </c>
      <c r="E33" s="8">
        <f>Table28[[#Totals],[Participating Schools]:[Other Total]]</f>
        <v>78</v>
      </c>
      <c r="F33" s="8">
        <f>Table28[[#Totals],[Participating Schools]:[Other Total]]</f>
        <v>0</v>
      </c>
      <c r="G33" s="8">
        <f>Table28[[#Totals],[Participating Schools]:[Other Total]]</f>
        <v>5</v>
      </c>
      <c r="H33" s="8">
        <f>Table28[[#Totals],[Participating Schools]:[Other Total]]</f>
        <v>0</v>
      </c>
      <c r="I33" s="8">
        <f>Table28[[#Totals],[Participating Schools]:[Other Total]]</f>
        <v>1</v>
      </c>
      <c r="J33" s="8">
        <f>Table28[[#Totals],[Participating Schools]:[Other Total]]</f>
        <v>12</v>
      </c>
      <c r="K33" s="8">
        <f>Table28[[#Totals],[Participating Schools]:[Other Total]]</f>
        <v>559</v>
      </c>
      <c r="L33" s="8">
        <f>Table28[[#Totals],[Participating Schools]:[Other Total]]</f>
        <v>0</v>
      </c>
      <c r="M33" s="8">
        <f>Table28[[#Totals],[Participating Schools]:[Other Total]]</f>
        <v>4</v>
      </c>
      <c r="N33" s="16">
        <f>SUM(Table30[[#This Row],[American Sign Language Total]:[Other Total]])</f>
        <v>687</v>
      </c>
    </row>
    <row r="34" spans="1:14" x14ac:dyDescent="0.25">
      <c r="A34" t="s">
        <v>583</v>
      </c>
      <c r="B34" s="7" t="str">
        <f>Table29[[#Totals],[Participating Schools]:[Other Total]]</f>
        <v>1</v>
      </c>
      <c r="C34" s="8">
        <f>Table29[[#Totals],[Participating Schools]:[Other Total]]</f>
        <v>0</v>
      </c>
      <c r="D34" s="8">
        <f>Table29[[#Totals],[Participating Schools]:[Other Total]]</f>
        <v>0</v>
      </c>
      <c r="E34" s="8">
        <f>Table29[[#Totals],[Participating Schools]:[Other Total]]</f>
        <v>0</v>
      </c>
      <c r="F34" s="8">
        <f>Table29[[#Totals],[Participating Schools]:[Other Total]]</f>
        <v>0</v>
      </c>
      <c r="G34" s="8">
        <f>Table29[[#Totals],[Participating Schools]:[Other Total]]</f>
        <v>0</v>
      </c>
      <c r="H34" s="8">
        <f>Table29[[#Totals],[Participating Schools]:[Other Total]]</f>
        <v>0</v>
      </c>
      <c r="I34" s="8">
        <f>Table29[[#Totals],[Participating Schools]:[Other Total]]</f>
        <v>0</v>
      </c>
      <c r="J34" s="8">
        <f>Table29[[#Totals],[Participating Schools]:[Other Total]]</f>
        <v>0</v>
      </c>
      <c r="K34" s="8">
        <f>Table29[[#Totals],[Participating Schools]:[Other Total]]</f>
        <v>1</v>
      </c>
      <c r="L34" s="8">
        <f>Table29[[#Totals],[Participating Schools]:[Other Total]]</f>
        <v>0</v>
      </c>
      <c r="M34" s="8">
        <f>Table29[[#Totals],[Participating Schools]:[Other Total]]</f>
        <v>0</v>
      </c>
      <c r="N34" s="16">
        <f>SUM(Table30[[#This Row],[American Sign Language Total]:[Other Total]])</f>
        <v>1</v>
      </c>
    </row>
    <row r="35" spans="1:14" x14ac:dyDescent="0.25">
      <c r="A35" t="s">
        <v>584</v>
      </c>
      <c r="B35" s="7" t="str">
        <f>Table31[[#Totals],[Participating Schools]:[Other Total]]</f>
        <v>55</v>
      </c>
      <c r="C35" s="8">
        <f>Table31[[#Totals],[Participating Schools]:[Other Total]]</f>
        <v>141</v>
      </c>
      <c r="D35" s="8">
        <f>Table31[[#Totals],[Participating Schools]:[Other Total]]</f>
        <v>1</v>
      </c>
      <c r="E35" s="8">
        <f>Table31[[#Totals],[Participating Schools]:[Other Total]]</f>
        <v>174</v>
      </c>
      <c r="F35" s="8">
        <f>Table31[[#Totals],[Participating Schools]:[Other Total]]</f>
        <v>22</v>
      </c>
      <c r="G35" s="8">
        <f>Table31[[#Totals],[Participating Schools]:[Other Total]]</f>
        <v>4</v>
      </c>
      <c r="H35" s="8">
        <f>Table31[[#Totals],[Participating Schools]:[Other Total]]</f>
        <v>7</v>
      </c>
      <c r="I35" s="8">
        <f>Table31[[#Totals],[Participating Schools]:[Other Total]]</f>
        <v>22</v>
      </c>
      <c r="J35" s="8">
        <f>Table31[[#Totals],[Participating Schools]:[Other Total]]</f>
        <v>43</v>
      </c>
      <c r="K35" s="8">
        <f>Table31[[#Totals],[Participating Schools]:[Other Total]]</f>
        <v>2809</v>
      </c>
      <c r="L35" s="8">
        <f>Table31[[#Totals],[Participating Schools]:[Other Total]]</f>
        <v>0</v>
      </c>
      <c r="M35" s="8">
        <f>Table31[[#Totals],[Participating Schools]:[Other Total]]</f>
        <v>15</v>
      </c>
      <c r="N35" s="16">
        <f>SUM(Table30[[#This Row],[American Sign Language Total]:[Other Total]])</f>
        <v>3238</v>
      </c>
    </row>
    <row r="36" spans="1:14" x14ac:dyDescent="0.25">
      <c r="A36" t="s">
        <v>585</v>
      </c>
      <c r="B36" s="7" t="str">
        <f>Table32[[#Totals],[Participating Schools]:[Other Total]]</f>
        <v>48</v>
      </c>
      <c r="C36" s="8">
        <f>Table32[[#Totals],[Participating Schools]:[Other Total]]</f>
        <v>2</v>
      </c>
      <c r="D36" s="8">
        <f>Table32[[#Totals],[Participating Schools]:[Other Total]]</f>
        <v>2</v>
      </c>
      <c r="E36" s="8">
        <f>Table32[[#Totals],[Participating Schools]:[Other Total]]</f>
        <v>240</v>
      </c>
      <c r="F36" s="8">
        <f>Table32[[#Totals],[Participating Schools]:[Other Total]]</f>
        <v>16</v>
      </c>
      <c r="G36" s="8">
        <f>Table32[[#Totals],[Participating Schools]:[Other Total]]</f>
        <v>103</v>
      </c>
      <c r="H36" s="8">
        <f>Table32[[#Totals],[Participating Schools]:[Other Total]]</f>
        <v>5</v>
      </c>
      <c r="I36" s="8">
        <f>Table32[[#Totals],[Participating Schools]:[Other Total]]</f>
        <v>5</v>
      </c>
      <c r="J36" s="8">
        <f>Table32[[#Totals],[Participating Schools]:[Other Total]]</f>
        <v>61</v>
      </c>
      <c r="K36" s="8">
        <f>Table32[[#Totals],[Participating Schools]:[Other Total]]</f>
        <v>1032</v>
      </c>
      <c r="L36" s="8">
        <f>Table32[[#Totals],[Participating Schools]:[Other Total]]</f>
        <v>14</v>
      </c>
      <c r="M36" s="8">
        <f>Table32[[#Totals],[Participating Schools]:[Other Total]]</f>
        <v>131</v>
      </c>
      <c r="N36" s="16">
        <f>SUM(Table30[[#This Row],[American Sign Language Total]:[Other Total]])</f>
        <v>1611</v>
      </c>
    </row>
    <row r="37" spans="1:14" x14ac:dyDescent="0.25">
      <c r="A37" t="s">
        <v>586</v>
      </c>
      <c r="B37" s="7" t="str">
        <f>Table33[[#Totals],[Participating Schools]:[Other Total]]</f>
        <v>1</v>
      </c>
      <c r="C37" s="8">
        <f>Table33[[#Totals],[Participating Schools]:[Other Total]]</f>
        <v>20</v>
      </c>
      <c r="D37" s="8">
        <f>Table33[[#Totals],[Participating Schools]:[Other Total]]</f>
        <v>0</v>
      </c>
      <c r="E37" s="8">
        <f>Table33[[#Totals],[Participating Schools]:[Other Total]]</f>
        <v>10</v>
      </c>
      <c r="F37" s="8">
        <f>Table33[[#Totals],[Participating Schools]:[Other Total]]</f>
        <v>0</v>
      </c>
      <c r="G37" s="8">
        <f>Table33[[#Totals],[Participating Schools]:[Other Total]]</f>
        <v>0</v>
      </c>
      <c r="H37" s="8">
        <f>Table33[[#Totals],[Participating Schools]:[Other Total]]</f>
        <v>0</v>
      </c>
      <c r="I37" s="8">
        <f>Table33[[#Totals],[Participating Schools]:[Other Total]]</f>
        <v>0</v>
      </c>
      <c r="J37" s="8">
        <f>Table33[[#Totals],[Participating Schools]:[Other Total]]</f>
        <v>0</v>
      </c>
      <c r="K37" s="8">
        <f>Table33[[#Totals],[Participating Schools]:[Other Total]]</f>
        <v>63</v>
      </c>
      <c r="L37" s="8">
        <f>Table33[[#Totals],[Participating Schools]:[Other Total]]</f>
        <v>0</v>
      </c>
      <c r="M37" s="8">
        <f>Table33[[#Totals],[Participating Schools]:[Other Total]]</f>
        <v>0</v>
      </c>
      <c r="N37" s="16">
        <f>SUM(Table30[[#This Row],[American Sign Language Total]:[Other Total]])</f>
        <v>93</v>
      </c>
    </row>
    <row r="38" spans="1:14" x14ac:dyDescent="0.25">
      <c r="A38" t="s">
        <v>587</v>
      </c>
      <c r="B38" s="7" t="str">
        <f>Table34[[#Totals],[Participating Schools]:[Other Total]]</f>
        <v>53</v>
      </c>
      <c r="C38" s="8">
        <f>Table34[[#Totals],[Participating Schools]:[Other Total]]</f>
        <v>29</v>
      </c>
      <c r="D38" s="8">
        <f>Table34[[#Totals],[Participating Schools]:[Other Total]]</f>
        <v>28</v>
      </c>
      <c r="E38" s="8">
        <f>Table34[[#Totals],[Participating Schools]:[Other Total]]</f>
        <v>187</v>
      </c>
      <c r="F38" s="8">
        <f>Table34[[#Totals],[Participating Schools]:[Other Total]]</f>
        <v>22</v>
      </c>
      <c r="G38" s="8">
        <f>Table34[[#Totals],[Participating Schools]:[Other Total]]</f>
        <v>1</v>
      </c>
      <c r="H38" s="8">
        <f>Table34[[#Totals],[Participating Schools]:[Other Total]]</f>
        <v>3</v>
      </c>
      <c r="I38" s="8">
        <f>Table34[[#Totals],[Participating Schools]:[Other Total]]</f>
        <v>17</v>
      </c>
      <c r="J38" s="8">
        <f>Table34[[#Totals],[Participating Schools]:[Other Total]]</f>
        <v>21</v>
      </c>
      <c r="K38" s="8">
        <f>Table34[[#Totals],[Participating Schools]:[Other Total]]</f>
        <v>2587</v>
      </c>
      <c r="L38" s="8">
        <f>Table34[[#Totals],[Participating Schools]:[Other Total]]</f>
        <v>2</v>
      </c>
      <c r="M38" s="8">
        <f>Table34[[#Totals],[Participating Schools]:[Other Total]]</f>
        <v>5</v>
      </c>
      <c r="N38" s="16">
        <f>SUM(Table30[[#This Row],[American Sign Language Total]:[Other Total]])</f>
        <v>2902</v>
      </c>
    </row>
    <row r="39" spans="1:14" x14ac:dyDescent="0.25">
      <c r="A39" t="s">
        <v>588</v>
      </c>
      <c r="B39" s="7" t="str">
        <f>Table35[[#Totals],[Participating Schools]:[Other Total]]</f>
        <v>61</v>
      </c>
      <c r="C39" s="8">
        <f>Table35[[#Totals],[Participating Schools]:[Other Total]]</f>
        <v>96</v>
      </c>
      <c r="D39" s="8">
        <f>Table35[[#Totals],[Participating Schools]:[Other Total]]</f>
        <v>0</v>
      </c>
      <c r="E39" s="8">
        <f>Table35[[#Totals],[Participating Schools]:[Other Total]]</f>
        <v>189</v>
      </c>
      <c r="F39" s="8">
        <f>Table35[[#Totals],[Participating Schools]:[Other Total]]</f>
        <v>61</v>
      </c>
      <c r="G39" s="8">
        <f>Table35[[#Totals],[Participating Schools]:[Other Total]]</f>
        <v>74</v>
      </c>
      <c r="H39" s="8">
        <f>Table35[[#Totals],[Participating Schools]:[Other Total]]</f>
        <v>15</v>
      </c>
      <c r="I39" s="8">
        <f>Table35[[#Totals],[Participating Schools]:[Other Total]]</f>
        <v>1</v>
      </c>
      <c r="J39" s="8">
        <f>Table35[[#Totals],[Participating Schools]:[Other Total]]</f>
        <v>101</v>
      </c>
      <c r="K39" s="8">
        <f>Table35[[#Totals],[Participating Schools]:[Other Total]]</f>
        <v>2693</v>
      </c>
      <c r="L39" s="8">
        <f>Table35[[#Totals],[Participating Schools]:[Other Total]]</f>
        <v>2</v>
      </c>
      <c r="M39" s="8">
        <f>Table35[[#Totals],[Participating Schools]:[Other Total]]</f>
        <v>86</v>
      </c>
      <c r="N39" s="16">
        <f>SUM(Table30[[#This Row],[American Sign Language Total]:[Other Total]])</f>
        <v>3318</v>
      </c>
    </row>
    <row r="40" spans="1:14" x14ac:dyDescent="0.25">
      <c r="A40" t="s">
        <v>589</v>
      </c>
      <c r="B40" s="7" t="str">
        <f>Table36[[#Totals],[Participating Schools]:[Other Total]]</f>
        <v>15</v>
      </c>
      <c r="C40" s="8">
        <f>Table36[[#Totals],[Participating Schools]:[Other Total]]</f>
        <v>0</v>
      </c>
      <c r="D40" s="8">
        <f>Table36[[#Totals],[Participating Schools]:[Other Total]]</f>
        <v>0</v>
      </c>
      <c r="E40" s="8">
        <f>Table36[[#Totals],[Participating Schools]:[Other Total]]</f>
        <v>30</v>
      </c>
      <c r="F40" s="8">
        <f>Table36[[#Totals],[Participating Schools]:[Other Total]]</f>
        <v>2</v>
      </c>
      <c r="G40" s="8">
        <f>Table36[[#Totals],[Participating Schools]:[Other Total]]</f>
        <v>50</v>
      </c>
      <c r="H40" s="8">
        <f>Table36[[#Totals],[Participating Schools]:[Other Total]]</f>
        <v>4</v>
      </c>
      <c r="I40" s="8">
        <f>Table36[[#Totals],[Participating Schools]:[Other Total]]</f>
        <v>8</v>
      </c>
      <c r="J40" s="8">
        <f>Table36[[#Totals],[Participating Schools]:[Other Total]]</f>
        <v>400</v>
      </c>
      <c r="K40" s="8">
        <f>Table36[[#Totals],[Participating Schools]:[Other Total]]</f>
        <v>230</v>
      </c>
      <c r="L40" s="8">
        <f>Table36[[#Totals],[Participating Schools]:[Other Total]]</f>
        <v>0</v>
      </c>
      <c r="M40" s="8">
        <f>Table36[[#Totals],[Participating Schools]:[Other Total]]</f>
        <v>2</v>
      </c>
      <c r="N40" s="16">
        <f>SUM(Table30[[#This Row],[American Sign Language Total]:[Other Total]])</f>
        <v>726</v>
      </c>
    </row>
    <row r="41" spans="1:14" x14ac:dyDescent="0.25">
      <c r="A41" t="s">
        <v>590</v>
      </c>
      <c r="B41" s="7" t="str">
        <f>Table37[[#Totals],[Participating Schools]:[Other Total]]</f>
        <v>25</v>
      </c>
      <c r="C41" s="8">
        <f>Table37[[#Totals],[Participating Schools]:[Other Total]]</f>
        <v>0</v>
      </c>
      <c r="D41" s="8">
        <f>Table37[[#Totals],[Participating Schools]:[Other Total]]</f>
        <v>0</v>
      </c>
      <c r="E41" s="8">
        <f>Table37[[#Totals],[Participating Schools]:[Other Total]]</f>
        <v>52</v>
      </c>
      <c r="F41" s="8">
        <f>Table37[[#Totals],[Participating Schools]:[Other Total]]</f>
        <v>2</v>
      </c>
      <c r="G41" s="8">
        <f>Table37[[#Totals],[Participating Schools]:[Other Total]]</f>
        <v>6</v>
      </c>
      <c r="H41" s="8">
        <f>Table37[[#Totals],[Participating Schools]:[Other Total]]</f>
        <v>0</v>
      </c>
      <c r="I41" s="8">
        <f>Table37[[#Totals],[Participating Schools]:[Other Total]]</f>
        <v>0</v>
      </c>
      <c r="J41" s="8">
        <f>Table37[[#Totals],[Participating Schools]:[Other Total]]</f>
        <v>0</v>
      </c>
      <c r="K41" s="8">
        <f>Table37[[#Totals],[Participating Schools]:[Other Total]]</f>
        <v>655</v>
      </c>
      <c r="L41" s="8">
        <f>Table37[[#Totals],[Participating Schools]:[Other Total]]</f>
        <v>1</v>
      </c>
      <c r="M41" s="8">
        <f>Table37[[#Totals],[Participating Schools]:[Other Total]]</f>
        <v>13</v>
      </c>
      <c r="N41" s="16">
        <f>SUM(Table30[[#This Row],[American Sign Language Total]:[Other Total]])</f>
        <v>729</v>
      </c>
    </row>
    <row r="42" spans="1:14" x14ac:dyDescent="0.25">
      <c r="A42" t="s">
        <v>591</v>
      </c>
      <c r="B42" s="7" t="str">
        <f>Table38[[#Totals],[Participating Schools]:[Other Total]]</f>
        <v>7</v>
      </c>
      <c r="C42" s="8">
        <f>Table38[[#Totals],[Participating Schools]:[Other Total]]</f>
        <v>1</v>
      </c>
      <c r="D42" s="8">
        <f>Table38[[#Totals],[Participating Schools]:[Other Total]]</f>
        <v>0</v>
      </c>
      <c r="E42" s="8">
        <f>Table38[[#Totals],[Participating Schools]:[Other Total]]</f>
        <v>3</v>
      </c>
      <c r="F42" s="8">
        <f>Table38[[#Totals],[Participating Schools]:[Other Total]]</f>
        <v>0</v>
      </c>
      <c r="G42" s="8">
        <f>Table38[[#Totals],[Participating Schools]:[Other Total]]</f>
        <v>0</v>
      </c>
      <c r="H42" s="8">
        <f>Table38[[#Totals],[Participating Schools]:[Other Total]]</f>
        <v>0</v>
      </c>
      <c r="I42" s="8">
        <f>Table38[[#Totals],[Participating Schools]:[Other Total]]</f>
        <v>1</v>
      </c>
      <c r="J42" s="8">
        <f>Table38[[#Totals],[Participating Schools]:[Other Total]]</f>
        <v>0</v>
      </c>
      <c r="K42" s="8">
        <f>Table38[[#Totals],[Participating Schools]:[Other Total]]</f>
        <v>158</v>
      </c>
      <c r="L42" s="8">
        <f>Table38[[#Totals],[Participating Schools]:[Other Total]]</f>
        <v>0</v>
      </c>
      <c r="M42" s="8">
        <f>Table38[[#Totals],[Participating Schools]:[Other Total]]</f>
        <v>0</v>
      </c>
      <c r="N42" s="16">
        <f>SUM(Table30[[#This Row],[American Sign Language Total]:[Other Total]])</f>
        <v>163</v>
      </c>
    </row>
    <row r="43" spans="1:14" x14ac:dyDescent="0.25">
      <c r="A43" t="s">
        <v>592</v>
      </c>
      <c r="B43" s="7" t="str">
        <f>Table39[[#Totals],[Participating Schools]:[Other Total]]</f>
        <v>19</v>
      </c>
      <c r="C43" s="8">
        <f>Table39[[#Totals],[Participating Schools]:[Other Total]]</f>
        <v>0</v>
      </c>
      <c r="D43" s="8">
        <f>Table39[[#Totals],[Participating Schools]:[Other Total]]</f>
        <v>1</v>
      </c>
      <c r="E43" s="8">
        <f>Table39[[#Totals],[Participating Schools]:[Other Total]]</f>
        <v>130</v>
      </c>
      <c r="F43" s="8">
        <f>Table39[[#Totals],[Participating Schools]:[Other Total]]</f>
        <v>5</v>
      </c>
      <c r="G43" s="8">
        <f>Table39[[#Totals],[Participating Schools]:[Other Total]]</f>
        <v>32</v>
      </c>
      <c r="H43" s="8">
        <f>Table39[[#Totals],[Participating Schools]:[Other Total]]</f>
        <v>0</v>
      </c>
      <c r="I43" s="8">
        <f>Table39[[#Totals],[Participating Schools]:[Other Total]]</f>
        <v>33</v>
      </c>
      <c r="J43" s="8">
        <f>Table39[[#Totals],[Participating Schools]:[Other Total]]</f>
        <v>160</v>
      </c>
      <c r="K43" s="8">
        <f>Table39[[#Totals],[Participating Schools]:[Other Total]]</f>
        <v>986</v>
      </c>
      <c r="L43" s="8">
        <f>Table39[[#Totals],[Participating Schools]:[Other Total]]</f>
        <v>0</v>
      </c>
      <c r="M43" s="8">
        <f>Table39[[#Totals],[Participating Schools]:[Other Total]]</f>
        <v>33</v>
      </c>
      <c r="N43" s="16">
        <f>SUM(Table30[[#This Row],[American Sign Language Total]:[Other Total]])</f>
        <v>1380</v>
      </c>
    </row>
    <row r="44" spans="1:14" x14ac:dyDescent="0.25">
      <c r="A44" t="s">
        <v>593</v>
      </c>
      <c r="B44" s="7" t="str">
        <f>Table40[[#Totals],[Participating Schools]:[Other Total]]</f>
        <v>10</v>
      </c>
      <c r="C44" s="8">
        <f>Table40[[#Totals],[Participating Schools]:[Other Total]]</f>
        <v>1</v>
      </c>
      <c r="D44" s="8">
        <f>Table40[[#Totals],[Participating Schools]:[Other Total]]</f>
        <v>0</v>
      </c>
      <c r="E44" s="8">
        <f>Table40[[#Totals],[Participating Schools]:[Other Total]]</f>
        <v>42</v>
      </c>
      <c r="F44" s="8">
        <f>Table40[[#Totals],[Participating Schools]:[Other Total]]</f>
        <v>2</v>
      </c>
      <c r="G44" s="8">
        <f>Table40[[#Totals],[Participating Schools]:[Other Total]]</f>
        <v>0</v>
      </c>
      <c r="H44" s="8">
        <f>Table40[[#Totals],[Participating Schools]:[Other Total]]</f>
        <v>0</v>
      </c>
      <c r="I44" s="8">
        <f>Table40[[#Totals],[Participating Schools]:[Other Total]]</f>
        <v>18</v>
      </c>
      <c r="J44" s="8">
        <f>Table40[[#Totals],[Participating Schools]:[Other Total]]</f>
        <v>0</v>
      </c>
      <c r="K44" s="8">
        <f>Table40[[#Totals],[Participating Schools]:[Other Total]]</f>
        <v>467</v>
      </c>
      <c r="L44" s="8">
        <f>Table40[[#Totals],[Participating Schools]:[Other Total]]</f>
        <v>0</v>
      </c>
      <c r="M44" s="8">
        <f>Table40[[#Totals],[Participating Schools]:[Other Total]]</f>
        <v>2</v>
      </c>
      <c r="N44" s="16">
        <f>SUM(Table30[[#This Row],[American Sign Language Total]:[Other Total]])</f>
        <v>532</v>
      </c>
    </row>
    <row r="45" spans="1:14" x14ac:dyDescent="0.25">
      <c r="A45" t="s">
        <v>594</v>
      </c>
      <c r="B45" s="7" t="str">
        <f>Table41[[#Totals],[Participating Schools]:[Other Total]]</f>
        <v>53</v>
      </c>
      <c r="C45" s="8">
        <f>Table41[[#Totals],[Participating Schools]:[Other Total]]</f>
        <v>205</v>
      </c>
      <c r="D45" s="8">
        <f>Table41[[#Totals],[Participating Schools]:[Other Total]]</f>
        <v>7</v>
      </c>
      <c r="E45" s="8">
        <f>Table41[[#Totals],[Participating Schools]:[Other Total]]</f>
        <v>392</v>
      </c>
      <c r="F45" s="8">
        <f>Table41[[#Totals],[Participating Schools]:[Other Total]]</f>
        <v>39</v>
      </c>
      <c r="G45" s="8">
        <f>Table41[[#Totals],[Participating Schools]:[Other Total]]</f>
        <v>162</v>
      </c>
      <c r="H45" s="8">
        <f>Table41[[#Totals],[Participating Schools]:[Other Total]]</f>
        <v>33</v>
      </c>
      <c r="I45" s="8">
        <f>Table41[[#Totals],[Participating Schools]:[Other Total]]</f>
        <v>10</v>
      </c>
      <c r="J45" s="8">
        <f>Table41[[#Totals],[Participating Schools]:[Other Total]]</f>
        <v>536</v>
      </c>
      <c r="K45" s="8">
        <f>Table41[[#Totals],[Participating Schools]:[Other Total]]</f>
        <v>2094</v>
      </c>
      <c r="L45" s="8">
        <f>Table41[[#Totals],[Participating Schools]:[Other Total]]</f>
        <v>156</v>
      </c>
      <c r="M45" s="8">
        <f>Table41[[#Totals],[Participating Schools]:[Other Total]]</f>
        <v>49</v>
      </c>
      <c r="N45" s="16">
        <f>SUM(Table30[[#This Row],[American Sign Language Total]:[Other Total]])</f>
        <v>3683</v>
      </c>
    </row>
    <row r="46" spans="1:14" x14ac:dyDescent="0.25">
      <c r="A46" t="s">
        <v>595</v>
      </c>
      <c r="B46" s="7" t="str">
        <f>Table42[[#Totals],[Participating Schools]:[Other Total]]</f>
        <v>8</v>
      </c>
      <c r="C46" s="8">
        <f>Table42[[#Totals],[Participating Schools]:[Other Total]]</f>
        <v>0</v>
      </c>
      <c r="D46" s="8">
        <f>Table42[[#Totals],[Participating Schools]:[Other Total]]</f>
        <v>0</v>
      </c>
      <c r="E46" s="8">
        <f>Table42[[#Totals],[Participating Schools]:[Other Total]]</f>
        <v>13</v>
      </c>
      <c r="F46" s="8">
        <f>Table42[[#Totals],[Participating Schools]:[Other Total]]</f>
        <v>1</v>
      </c>
      <c r="G46" s="8">
        <f>Table42[[#Totals],[Participating Schools]:[Other Total]]</f>
        <v>0</v>
      </c>
      <c r="H46" s="8">
        <f>Table42[[#Totals],[Participating Schools]:[Other Total]]</f>
        <v>0</v>
      </c>
      <c r="I46" s="8">
        <f>Table42[[#Totals],[Participating Schools]:[Other Total]]</f>
        <v>4</v>
      </c>
      <c r="J46" s="8">
        <f>Table42[[#Totals],[Participating Schools]:[Other Total]]</f>
        <v>1</v>
      </c>
      <c r="K46" s="8">
        <f>Table42[[#Totals],[Participating Schools]:[Other Total]]</f>
        <v>189</v>
      </c>
      <c r="L46" s="8">
        <f>Table42[[#Totals],[Participating Schools]:[Other Total]]</f>
        <v>0</v>
      </c>
      <c r="M46" s="8">
        <f>Table42[[#Totals],[Participating Schools]:[Other Total]]</f>
        <v>2</v>
      </c>
      <c r="N46" s="16">
        <f>SUM(Table30[[#This Row],[American Sign Language Total]:[Other Total]])</f>
        <v>210</v>
      </c>
    </row>
    <row r="47" spans="1:14" x14ac:dyDescent="0.25">
      <c r="A47" t="s">
        <v>596</v>
      </c>
      <c r="B47" s="7" t="str">
        <f>Table43[[#Totals],[Participating Schools]:[Other Total]]</f>
        <v>1</v>
      </c>
      <c r="C47" s="8">
        <f>Table43[[#Totals],[Participating Schools]:[Other Total]]</f>
        <v>0</v>
      </c>
      <c r="D47" s="8">
        <f>Table43[[#Totals],[Participating Schools]:[Other Total]]</f>
        <v>0</v>
      </c>
      <c r="E47" s="8">
        <f>Table43[[#Totals],[Participating Schools]:[Other Total]]</f>
        <v>0</v>
      </c>
      <c r="F47" s="8">
        <f>Table43[[#Totals],[Participating Schools]:[Other Total]]</f>
        <v>0</v>
      </c>
      <c r="G47" s="8">
        <f>Table43[[#Totals],[Participating Schools]:[Other Total]]</f>
        <v>0</v>
      </c>
      <c r="H47" s="8">
        <f>Table43[[#Totals],[Participating Schools]:[Other Total]]</f>
        <v>0</v>
      </c>
      <c r="I47" s="8">
        <f>Table43[[#Totals],[Participating Schools]:[Other Total]]</f>
        <v>0</v>
      </c>
      <c r="J47" s="8">
        <f>Table43[[#Totals],[Participating Schools]:[Other Total]]</f>
        <v>0</v>
      </c>
      <c r="K47" s="8">
        <f>Table43[[#Totals],[Participating Schools]:[Other Total]]</f>
        <v>2</v>
      </c>
      <c r="L47" s="8">
        <f>Table43[[#Totals],[Participating Schools]:[Other Total]]</f>
        <v>0</v>
      </c>
      <c r="M47" s="8">
        <f>Table43[[#Totals],[Participating Schools]:[Other Total]]</f>
        <v>0</v>
      </c>
      <c r="N47" s="16">
        <f>SUM(Table30[[#This Row],[American Sign Language Total]:[Other Total]])</f>
        <v>2</v>
      </c>
    </row>
    <row r="48" spans="1:14" x14ac:dyDescent="0.25">
      <c r="A48" t="s">
        <v>597</v>
      </c>
      <c r="B48" s="7" t="str">
        <f>Table44[[#Totals],[Participating Schools]:[Other Total]]</f>
        <v>9</v>
      </c>
      <c r="C48" s="8">
        <f>Table44[[#Totals],[Participating Schools]:[Other Total]]</f>
        <v>0</v>
      </c>
      <c r="D48" s="8">
        <f>Table44[[#Totals],[Participating Schools]:[Other Total]]</f>
        <v>1</v>
      </c>
      <c r="E48" s="8">
        <f>Table44[[#Totals],[Participating Schools]:[Other Total]]</f>
        <v>43</v>
      </c>
      <c r="F48" s="8">
        <f>Table44[[#Totals],[Participating Schools]:[Other Total]]</f>
        <v>2</v>
      </c>
      <c r="G48" s="8">
        <f>Table44[[#Totals],[Participating Schools]:[Other Total]]</f>
        <v>0</v>
      </c>
      <c r="H48" s="8">
        <f>Table44[[#Totals],[Participating Schools]:[Other Total]]</f>
        <v>1</v>
      </c>
      <c r="I48" s="8">
        <f>Table44[[#Totals],[Participating Schools]:[Other Total]]</f>
        <v>0</v>
      </c>
      <c r="J48" s="8">
        <f>Table44[[#Totals],[Participating Schools]:[Other Total]]</f>
        <v>8</v>
      </c>
      <c r="K48" s="8">
        <f>Table44[[#Totals],[Participating Schools]:[Other Total]]</f>
        <v>232</v>
      </c>
      <c r="L48" s="8">
        <f>Table44[[#Totals],[Participating Schools]:[Other Total]]</f>
        <v>0</v>
      </c>
      <c r="M48" s="8">
        <f>Table44[[#Totals],[Participating Schools]:[Other Total]]</f>
        <v>5</v>
      </c>
      <c r="N48" s="16">
        <f>SUM(Table30[[#This Row],[American Sign Language Total]:[Other Total]])</f>
        <v>292</v>
      </c>
    </row>
    <row r="49" spans="1:14" x14ac:dyDescent="0.25">
      <c r="A49" t="s">
        <v>598</v>
      </c>
      <c r="B49" s="7" t="str">
        <f>Table45[[#Totals],[Participating Schools]:[Other Total]]</f>
        <v>14</v>
      </c>
      <c r="C49" s="8">
        <f>Table45[[#Totals],[Participating Schools]:[Other Total]]</f>
        <v>6</v>
      </c>
      <c r="D49" s="8">
        <f>Table45[[#Totals],[Participating Schools]:[Other Total]]</f>
        <v>0</v>
      </c>
      <c r="E49" s="8">
        <f>Table45[[#Totals],[Participating Schools]:[Other Total]]</f>
        <v>61</v>
      </c>
      <c r="F49" s="8">
        <f>Table45[[#Totals],[Participating Schools]:[Other Total]]</f>
        <v>1</v>
      </c>
      <c r="G49" s="8">
        <f>Table45[[#Totals],[Participating Schools]:[Other Total]]</f>
        <v>1</v>
      </c>
      <c r="H49" s="8">
        <f>Table45[[#Totals],[Participating Schools]:[Other Total]]</f>
        <v>0</v>
      </c>
      <c r="I49" s="8">
        <f>Table45[[#Totals],[Participating Schools]:[Other Total]]</f>
        <v>4</v>
      </c>
      <c r="J49" s="8">
        <f>Table45[[#Totals],[Participating Schools]:[Other Total]]</f>
        <v>5</v>
      </c>
      <c r="K49" s="8">
        <f>Table45[[#Totals],[Participating Schools]:[Other Total]]</f>
        <v>523</v>
      </c>
      <c r="L49" s="8">
        <f>Table45[[#Totals],[Participating Schools]:[Other Total]]</f>
        <v>0</v>
      </c>
      <c r="M49" s="8">
        <f>Table45[[#Totals],[Participating Schools]:[Other Total]]</f>
        <v>10</v>
      </c>
      <c r="N49" s="16">
        <f>SUM(Table30[[#This Row],[American Sign Language Total]:[Other Total]])</f>
        <v>611</v>
      </c>
    </row>
    <row r="50" spans="1:14" x14ac:dyDescent="0.25">
      <c r="A50" t="s">
        <v>599</v>
      </c>
      <c r="B50" s="7" t="str">
        <f>Table46[[#Totals],[Participating Schools]:[Other Total]]</f>
        <v>14</v>
      </c>
      <c r="C50" s="8">
        <f>Table46[[#Totals],[Participating Schools]:[Other Total]]</f>
        <v>0</v>
      </c>
      <c r="D50" s="8">
        <f>Table46[[#Totals],[Participating Schools]:[Other Total]]</f>
        <v>0</v>
      </c>
      <c r="E50" s="8">
        <f>Table46[[#Totals],[Participating Schools]:[Other Total]]</f>
        <v>17</v>
      </c>
      <c r="F50" s="8">
        <f>Table46[[#Totals],[Participating Schools]:[Other Total]]</f>
        <v>6</v>
      </c>
      <c r="G50" s="8">
        <f>Table46[[#Totals],[Participating Schools]:[Other Total]]</f>
        <v>0</v>
      </c>
      <c r="H50" s="8">
        <f>Table46[[#Totals],[Participating Schools]:[Other Total]]</f>
        <v>0</v>
      </c>
      <c r="I50" s="8">
        <f>Table46[[#Totals],[Participating Schools]:[Other Total]]</f>
        <v>0</v>
      </c>
      <c r="J50" s="8">
        <f>Table46[[#Totals],[Participating Schools]:[Other Total]]</f>
        <v>0</v>
      </c>
      <c r="K50" s="8">
        <f>Table46[[#Totals],[Participating Schools]:[Other Total]]</f>
        <v>361</v>
      </c>
      <c r="L50" s="8">
        <f>Table46[[#Totals],[Participating Schools]:[Other Total]]</f>
        <v>40</v>
      </c>
      <c r="M50" s="8">
        <f>Table46[[#Totals],[Participating Schools]:[Other Total]]</f>
        <v>0</v>
      </c>
      <c r="N50" s="16">
        <f>SUM(Table30[[#This Row],[American Sign Language Total]:[Other Total]])</f>
        <v>424</v>
      </c>
    </row>
    <row r="51" spans="1:14" x14ac:dyDescent="0.25">
      <c r="A51" t="s">
        <v>600</v>
      </c>
      <c r="B51" s="7" t="str">
        <f>Table47[[#Totals],[Participating Schools]:[Other Total]]</f>
        <v>6</v>
      </c>
      <c r="C51" s="8">
        <f>Table47[[#Totals],[Participating Schools]:[Other Total]]</f>
        <v>0</v>
      </c>
      <c r="D51" s="8">
        <f>Table47[[#Totals],[Participating Schools]:[Other Total]]</f>
        <v>0</v>
      </c>
      <c r="E51" s="8">
        <f>Table47[[#Totals],[Participating Schools]:[Other Total]]</f>
        <v>11</v>
      </c>
      <c r="F51" s="8">
        <f>Table47[[#Totals],[Participating Schools]:[Other Total]]</f>
        <v>13</v>
      </c>
      <c r="G51" s="8">
        <f>Table47[[#Totals],[Participating Schools]:[Other Total]]</f>
        <v>0</v>
      </c>
      <c r="H51" s="8">
        <f>Table47[[#Totals],[Participating Schools]:[Other Total]]</f>
        <v>0</v>
      </c>
      <c r="I51" s="8">
        <f>Table47[[#Totals],[Participating Schools]:[Other Total]]</f>
        <v>0</v>
      </c>
      <c r="J51" s="8">
        <f>Table47[[#Totals],[Participating Schools]:[Other Total]]</f>
        <v>0</v>
      </c>
      <c r="K51" s="8">
        <f>Table47[[#Totals],[Participating Schools]:[Other Total]]</f>
        <v>111</v>
      </c>
      <c r="L51" s="8">
        <f>Table47[[#Totals],[Participating Schools]:[Other Total]]</f>
        <v>0</v>
      </c>
      <c r="M51" s="8">
        <f>Table47[[#Totals],[Participating Schools]:[Other Total]]</f>
        <v>1</v>
      </c>
      <c r="N51" s="16">
        <f>SUM(Table30[[#This Row],[American Sign Language Total]:[Other Total]])</f>
        <v>136</v>
      </c>
    </row>
    <row r="52" spans="1:14" x14ac:dyDescent="0.25">
      <c r="A52" t="s">
        <v>601</v>
      </c>
      <c r="B52" s="7" t="str">
        <f>Table48[[#Totals],[Participating Schools]:[Other Total]]</f>
        <v>2</v>
      </c>
      <c r="C52" s="8">
        <f>Table48[[#Totals],[Participating Schools]:[Other Total]]</f>
        <v>0</v>
      </c>
      <c r="D52" s="8">
        <f>Table48[[#Totals],[Participating Schools]:[Other Total]]</f>
        <v>0</v>
      </c>
      <c r="E52" s="8">
        <f>Table48[[#Totals],[Participating Schools]:[Other Total]]</f>
        <v>0</v>
      </c>
      <c r="F52" s="8">
        <f>Table48[[#Totals],[Participating Schools]:[Other Total]]</f>
        <v>0</v>
      </c>
      <c r="G52" s="8">
        <f>Table48[[#Totals],[Participating Schools]:[Other Total]]</f>
        <v>0</v>
      </c>
      <c r="H52" s="8">
        <f>Table48[[#Totals],[Participating Schools]:[Other Total]]</f>
        <v>0</v>
      </c>
      <c r="I52" s="8">
        <f>Table48[[#Totals],[Participating Schools]:[Other Total]]</f>
        <v>0</v>
      </c>
      <c r="J52" s="8">
        <f>Table48[[#Totals],[Participating Schools]:[Other Total]]</f>
        <v>0</v>
      </c>
      <c r="K52" s="8">
        <f>Table48[[#Totals],[Participating Schools]:[Other Total]]</f>
        <v>27</v>
      </c>
      <c r="L52" s="8">
        <f>Table48[[#Totals],[Participating Schools]:[Other Total]]</f>
        <v>0</v>
      </c>
      <c r="M52" s="8">
        <f>Table48[[#Totals],[Participating Schools]:[Other Total]]</f>
        <v>0</v>
      </c>
      <c r="N52" s="16">
        <f>SUM(Table30[[#This Row],[American Sign Language Total]:[Other Total]])</f>
        <v>27</v>
      </c>
    </row>
    <row r="53" spans="1:14" x14ac:dyDescent="0.25">
      <c r="A53" t="s">
        <v>602</v>
      </c>
      <c r="B53" s="7" t="str">
        <f>Table50[[#Totals],[Participating Schools]:[Other Total]]</f>
        <v>19</v>
      </c>
      <c r="C53" s="8">
        <f>Table50[[#Totals],[Participating Schools]:[Other Total]]</f>
        <v>0</v>
      </c>
      <c r="D53" s="8">
        <f>Table50[[#Totals],[Participating Schools]:[Other Total]]</f>
        <v>0</v>
      </c>
      <c r="E53" s="8">
        <f>Table50[[#Totals],[Participating Schools]:[Other Total]]</f>
        <v>29</v>
      </c>
      <c r="F53" s="8">
        <f>Table50[[#Totals],[Participating Schools]:[Other Total]]</f>
        <v>0</v>
      </c>
      <c r="G53" s="8">
        <f>Table50[[#Totals],[Participating Schools]:[Other Total]]</f>
        <v>1</v>
      </c>
      <c r="H53" s="8">
        <f>Table50[[#Totals],[Participating Schools]:[Other Total]]</f>
        <v>0</v>
      </c>
      <c r="I53" s="8">
        <f>Table50[[#Totals],[Participating Schools]:[Other Total]]</f>
        <v>0</v>
      </c>
      <c r="J53" s="8">
        <f>Table50[[#Totals],[Participating Schools]:[Other Total]]</f>
        <v>0</v>
      </c>
      <c r="K53" s="8">
        <f>Table50[[#Totals],[Participating Schools]:[Other Total]]</f>
        <v>551</v>
      </c>
      <c r="L53" s="8">
        <f>Table50[[#Totals],[Participating Schools]:[Other Total]]</f>
        <v>0</v>
      </c>
      <c r="M53" s="8">
        <f>Table50[[#Totals],[Participating Schools]:[Other Total]]</f>
        <v>7</v>
      </c>
      <c r="N53" s="16">
        <f>SUM(Table30[[#This Row],[American Sign Language Total]:[Other Total]])</f>
        <v>588</v>
      </c>
    </row>
    <row r="54" spans="1:14" x14ac:dyDescent="0.25">
      <c r="A54" t="s">
        <v>603</v>
      </c>
      <c r="B54" s="7" t="str">
        <f>Table49[[#Totals],[Participating Schools]:[Other Total]]</f>
        <v>1</v>
      </c>
      <c r="C54" s="8">
        <f>Table49[[#Totals],[Participating Schools]:[Other Total]]</f>
        <v>0</v>
      </c>
      <c r="D54" s="8">
        <f>Table49[[#Totals],[Participating Schools]:[Other Total]]</f>
        <v>0</v>
      </c>
      <c r="E54" s="8">
        <f>Table49[[#Totals],[Participating Schools]:[Other Total]]</f>
        <v>0</v>
      </c>
      <c r="F54" s="8">
        <f>Table49[[#Totals],[Participating Schools]:[Other Total]]</f>
        <v>0</v>
      </c>
      <c r="G54" s="8">
        <f>Table49[[#Totals],[Participating Schools]:[Other Total]]</f>
        <v>0</v>
      </c>
      <c r="H54" s="8">
        <f>Table49[[#Totals],[Participating Schools]:[Other Total]]</f>
        <v>0</v>
      </c>
      <c r="I54" s="8">
        <f>Table49[[#Totals],[Participating Schools]:[Other Total]]</f>
        <v>0</v>
      </c>
      <c r="J54" s="8">
        <f>Table49[[#Totals],[Participating Schools]:[Other Total]]</f>
        <v>0</v>
      </c>
      <c r="K54" s="8">
        <f>Table49[[#Totals],[Participating Schools]:[Other Total]]</f>
        <v>1</v>
      </c>
      <c r="L54" s="8">
        <f>Table49[[#Totals],[Participating Schools]:[Other Total]]</f>
        <v>0</v>
      </c>
      <c r="M54" s="8">
        <f>Table49[[#Totals],[Participating Schools]:[Other Total]]</f>
        <v>0</v>
      </c>
      <c r="N54" s="16">
        <f>SUM(Table30[[#This Row],[American Sign Language Total]:[Other Total]])</f>
        <v>1</v>
      </c>
    </row>
    <row r="55" spans="1:14" x14ac:dyDescent="0.25">
      <c r="A55" t="s">
        <v>604</v>
      </c>
      <c r="B55" s="7" t="str">
        <f>Table51[[#Totals],[Participating Schools]:[Other Total]]</f>
        <v>19</v>
      </c>
      <c r="C55" s="8">
        <f>Table51[[#Totals],[Participating Schools]:[Other Total]]</f>
        <v>97</v>
      </c>
      <c r="D55" s="8">
        <f>Table51[[#Totals],[Participating Schools]:[Other Total]]</f>
        <v>0</v>
      </c>
      <c r="E55" s="8">
        <f>Table51[[#Totals],[Participating Schools]:[Other Total]]</f>
        <v>89</v>
      </c>
      <c r="F55" s="8">
        <f>Table51[[#Totals],[Participating Schools]:[Other Total]]</f>
        <v>29</v>
      </c>
      <c r="G55" s="8">
        <f>Table51[[#Totals],[Participating Schools]:[Other Total]]</f>
        <v>2</v>
      </c>
      <c r="H55" s="8">
        <f>Table51[[#Totals],[Participating Schools]:[Other Total]]</f>
        <v>2</v>
      </c>
      <c r="I55" s="8">
        <f>Table51[[#Totals],[Participating Schools]:[Other Total]]</f>
        <v>0</v>
      </c>
      <c r="J55" s="8">
        <f>Table51[[#Totals],[Participating Schools]:[Other Total]]</f>
        <v>29</v>
      </c>
      <c r="K55" s="8">
        <f>Table51[[#Totals],[Participating Schools]:[Other Total]]</f>
        <v>769</v>
      </c>
      <c r="L55" s="8">
        <f>Table51[[#Totals],[Participating Schools]:[Other Total]]</f>
        <v>0</v>
      </c>
      <c r="M55" s="8">
        <f>Table51[[#Totals],[Participating Schools]:[Other Total]]</f>
        <v>4</v>
      </c>
      <c r="N55" s="16">
        <f>SUM(Table30[[#This Row],[American Sign Language Total]:[Other Total]])</f>
        <v>1021</v>
      </c>
    </row>
    <row r="56" spans="1:14" x14ac:dyDescent="0.25">
      <c r="A56" t="s">
        <v>605</v>
      </c>
      <c r="B56" s="7" t="str">
        <f>Table53[[#Totals],[Participating Schools]:[Other Total]]</f>
        <v>8</v>
      </c>
      <c r="C56" s="8">
        <f>Table53[[#Totals],[Participating Schools]:[Other Total]]</f>
        <v>5</v>
      </c>
      <c r="D56" s="8">
        <f>Table53[[#Totals],[Participating Schools]:[Other Total]]</f>
        <v>0</v>
      </c>
      <c r="E56" s="8">
        <f>Table53[[#Totals],[Participating Schools]:[Other Total]]</f>
        <v>63</v>
      </c>
      <c r="F56" s="8">
        <f>Table53[[#Totals],[Participating Schools]:[Other Total]]</f>
        <v>2</v>
      </c>
      <c r="G56" s="8">
        <f>Table53[[#Totals],[Participating Schools]:[Other Total]]</f>
        <v>4</v>
      </c>
      <c r="H56" s="8">
        <f>Table53[[#Totals],[Participating Schools]:[Other Total]]</f>
        <v>0</v>
      </c>
      <c r="I56" s="8">
        <f>Table53[[#Totals],[Participating Schools]:[Other Total]]</f>
        <v>0</v>
      </c>
      <c r="J56" s="8">
        <f>Table53[[#Totals],[Participating Schools]:[Other Total]]</f>
        <v>11</v>
      </c>
      <c r="K56" s="8">
        <f>Table53[[#Totals],[Participating Schools]:[Other Total]]</f>
        <v>402</v>
      </c>
      <c r="L56" s="8">
        <f>Table53[[#Totals],[Participating Schools]:[Other Total]]</f>
        <v>0</v>
      </c>
      <c r="M56" s="8">
        <f>Table53[[#Totals],[Participating Schools]:[Other Total]]</f>
        <v>18</v>
      </c>
      <c r="N56" s="16">
        <f>SUM(Table30[[#This Row],[American Sign Language Total]:[Other Total]])</f>
        <v>505</v>
      </c>
    </row>
    <row r="57" spans="1:14" x14ac:dyDescent="0.25">
      <c r="A57" t="s">
        <v>606</v>
      </c>
      <c r="B57" s="7" t="str">
        <f>Table52[[#Totals],[Participating Schools]:[Other Total]]</f>
        <v>1</v>
      </c>
      <c r="C57" s="8">
        <f>Table52[[#Totals],[Participating Schools]:[Other Total]]</f>
        <v>0</v>
      </c>
      <c r="D57" s="8">
        <f>Table52[[#Totals],[Participating Schools]:[Other Total]]</f>
        <v>0</v>
      </c>
      <c r="E57" s="8">
        <f>Table52[[#Totals],[Participating Schools]:[Other Total]]</f>
        <v>0</v>
      </c>
      <c r="F57" s="8">
        <f>Table52[[#Totals],[Participating Schools]:[Other Total]]</f>
        <v>0</v>
      </c>
      <c r="G57" s="8">
        <f>Table52[[#Totals],[Participating Schools]:[Other Total]]</f>
        <v>0</v>
      </c>
      <c r="H57" s="8">
        <f>Table52[[#Totals],[Participating Schools]:[Other Total]]</f>
        <v>0</v>
      </c>
      <c r="I57" s="8">
        <f>Table52[[#Totals],[Participating Schools]:[Other Total]]</f>
        <v>0</v>
      </c>
      <c r="J57" s="8">
        <f>Table52[[#Totals],[Participating Schools]:[Other Total]]</f>
        <v>0</v>
      </c>
      <c r="K57" s="8">
        <f>Table52[[#Totals],[Participating Schools]:[Other Total]]</f>
        <v>27</v>
      </c>
      <c r="L57" s="8">
        <f>Table52[[#Totals],[Participating Schools]:[Other Total]]</f>
        <v>0</v>
      </c>
      <c r="M57" s="8">
        <f>Table52[[#Totals],[Participating Schools]:[Other Total]]</f>
        <v>18</v>
      </c>
      <c r="N57" s="16">
        <f>SUM(Table30[[#This Row],[American Sign Language Total]:[Other Total]])</f>
        <v>45</v>
      </c>
    </row>
    <row r="58" spans="1:14" x14ac:dyDescent="0.25">
      <c r="A58" t="s">
        <v>804</v>
      </c>
      <c r="B58" s="7" t="s">
        <v>785</v>
      </c>
      <c r="C58" s="8">
        <f>SUM(Table30[American Sign Language Total])</f>
        <v>846</v>
      </c>
      <c r="D58" s="8">
        <f>SUM(Table30[Cantonese Total])</f>
        <v>113</v>
      </c>
      <c r="E58" s="8">
        <f>SUM(Table30[French Total])</f>
        <v>4442</v>
      </c>
      <c r="F58" s="8">
        <f>SUM(Table30[German Total])</f>
        <v>565</v>
      </c>
      <c r="G58" s="8">
        <f>SUM(Table30[[ Japanese Total]])</f>
        <v>1069</v>
      </c>
      <c r="H58" s="8">
        <f>SUM(Table30[Korean Total])</f>
        <v>629</v>
      </c>
      <c r="I58" s="8">
        <f>SUM(Table30[Latin Total])</f>
        <v>513</v>
      </c>
      <c r="J58" s="8">
        <f>SUM(Table30[Mandarin Total])</f>
        <v>3085</v>
      </c>
      <c r="K58" s="8">
        <f>SUM(Table30[Spanish Total])</f>
        <v>42429</v>
      </c>
      <c r="L58" s="8">
        <f>SUM(Table30[Vietnamese Total])</f>
        <v>678</v>
      </c>
      <c r="M58" s="8">
        <f>SUM(Table30[Other Total])</f>
        <v>806</v>
      </c>
      <c r="N58" s="16">
        <f>SUM(Table30[Seal Total])</f>
        <v>55175</v>
      </c>
    </row>
  </sheetData>
  <pageMargins left="0.7" right="0.7" top="0.75" bottom="0.75" header="0.3" footer="0.3"/>
  <pageSetup scale="76" fitToHeight="0" orientation="landscape" horizontalDpi="1200" verticalDpi="1200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1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25.26953125" bestFit="1" customWidth="1"/>
    <col min="2" max="2" width="30.26953125" customWidth="1"/>
    <col min="3" max="3" width="17.26953125" customWidth="1"/>
    <col min="4" max="4" width="12.7265625" customWidth="1"/>
    <col min="5" max="5" width="9.7265625" customWidth="1"/>
    <col min="6" max="6" width="10.54296875" customWidth="1"/>
    <col min="7" max="7" width="12.26953125" customWidth="1"/>
    <col min="8" max="8" width="10.26953125" customWidth="1"/>
    <col min="9" max="9" width="8" customWidth="1"/>
    <col min="10" max="10" width="11.26953125" customWidth="1"/>
    <col min="11" max="11" width="10.6328125" customWidth="1"/>
    <col min="12" max="12" width="13.7265625" customWidth="1"/>
    <col min="13" max="13" width="8.26953125" customWidth="1"/>
  </cols>
  <sheetData>
    <row r="1" spans="1:13" ht="21" x14ac:dyDescent="0.4">
      <c r="A1" s="18" t="s">
        <v>563</v>
      </c>
    </row>
    <row r="2" spans="1:13" ht="30" x14ac:dyDescent="0.25">
      <c r="A2" s="4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31</v>
      </c>
      <c r="G2" s="4" t="s">
        <v>32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25">
      <c r="A3" s="3" t="s">
        <v>86</v>
      </c>
      <c r="B3" t="s">
        <v>97</v>
      </c>
      <c r="C3">
        <v>0</v>
      </c>
      <c r="D3">
        <v>0</v>
      </c>
      <c r="E3">
        <v>1</v>
      </c>
      <c r="F3">
        <v>0</v>
      </c>
      <c r="G3">
        <v>0</v>
      </c>
      <c r="H3">
        <v>0</v>
      </c>
      <c r="I3">
        <v>0</v>
      </c>
      <c r="J3">
        <v>0</v>
      </c>
      <c r="K3">
        <v>24</v>
      </c>
      <c r="L3">
        <v>0</v>
      </c>
      <c r="M3">
        <v>0</v>
      </c>
    </row>
    <row r="4" spans="1:13" ht="45" x14ac:dyDescent="0.25">
      <c r="A4" s="3" t="s">
        <v>87</v>
      </c>
      <c r="B4" s="4" t="s">
        <v>272</v>
      </c>
      <c r="C4">
        <v>0</v>
      </c>
      <c r="D4">
        <v>0</v>
      </c>
      <c r="E4">
        <v>26</v>
      </c>
      <c r="F4">
        <v>4</v>
      </c>
      <c r="G4">
        <v>0</v>
      </c>
      <c r="H4">
        <v>0</v>
      </c>
      <c r="I4">
        <v>0</v>
      </c>
      <c r="J4">
        <v>34</v>
      </c>
      <c r="K4">
        <v>83</v>
      </c>
      <c r="L4">
        <v>0</v>
      </c>
      <c r="M4">
        <v>0</v>
      </c>
    </row>
    <row r="5" spans="1:13" x14ac:dyDescent="0.25">
      <c r="A5" s="3" t="s">
        <v>88</v>
      </c>
      <c r="B5" s="3" t="s">
        <v>98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12</v>
      </c>
      <c r="L5">
        <v>0</v>
      </c>
      <c r="M5">
        <v>0</v>
      </c>
    </row>
    <row r="6" spans="1:13" x14ac:dyDescent="0.25">
      <c r="A6" s="3" t="s">
        <v>89</v>
      </c>
      <c r="B6" s="3" t="s">
        <v>99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11</v>
      </c>
      <c r="L6">
        <v>0</v>
      </c>
      <c r="M6">
        <v>0</v>
      </c>
    </row>
    <row r="7" spans="1:13" x14ac:dyDescent="0.25">
      <c r="A7" s="3" t="s">
        <v>85</v>
      </c>
      <c r="B7" s="3" t="s">
        <v>100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17</v>
      </c>
      <c r="L7">
        <v>0</v>
      </c>
      <c r="M7">
        <v>0</v>
      </c>
    </row>
    <row r="8" spans="1:13" ht="120" x14ac:dyDescent="0.25">
      <c r="A8" s="3" t="s">
        <v>90</v>
      </c>
      <c r="B8" s="4" t="s">
        <v>273</v>
      </c>
      <c r="C8" s="3">
        <v>2</v>
      </c>
      <c r="D8" s="3">
        <v>0</v>
      </c>
      <c r="E8" s="3">
        <v>62</v>
      </c>
      <c r="F8" s="3">
        <v>3</v>
      </c>
      <c r="G8" s="3">
        <v>0</v>
      </c>
      <c r="H8" s="3">
        <v>0</v>
      </c>
      <c r="I8" s="3">
        <v>5</v>
      </c>
      <c r="J8" s="3">
        <v>8</v>
      </c>
      <c r="K8" s="3">
        <v>697</v>
      </c>
      <c r="L8" s="3">
        <v>0</v>
      </c>
      <c r="M8" s="3">
        <v>88</v>
      </c>
    </row>
    <row r="9" spans="1:13" x14ac:dyDescent="0.25">
      <c r="A9" s="3" t="s">
        <v>91</v>
      </c>
      <c r="B9" t="s">
        <v>101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18</v>
      </c>
      <c r="L9" s="3">
        <v>0</v>
      </c>
      <c r="M9" s="3">
        <v>0</v>
      </c>
    </row>
    <row r="10" spans="1:13" x14ac:dyDescent="0.25">
      <c r="A10" s="3" t="s">
        <v>92</v>
      </c>
      <c r="B10" t="s">
        <v>102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15</v>
      </c>
      <c r="L10" s="3">
        <v>0</v>
      </c>
      <c r="M10" s="3">
        <v>12</v>
      </c>
    </row>
    <row r="11" spans="1:13" ht="30" x14ac:dyDescent="0.25">
      <c r="A11" s="3" t="s">
        <v>84</v>
      </c>
      <c r="B11" s="4" t="s">
        <v>274</v>
      </c>
      <c r="C11" s="3">
        <v>0</v>
      </c>
      <c r="D11" s="3">
        <v>0</v>
      </c>
      <c r="E11" s="3">
        <v>0</v>
      </c>
      <c r="F11" s="3">
        <v>5</v>
      </c>
      <c r="G11" s="3">
        <v>0</v>
      </c>
      <c r="H11" s="3">
        <v>0</v>
      </c>
      <c r="I11" s="3">
        <v>0</v>
      </c>
      <c r="J11" s="3">
        <v>0</v>
      </c>
      <c r="K11" s="3">
        <v>91</v>
      </c>
      <c r="L11" s="3">
        <v>0</v>
      </c>
      <c r="M11" s="3">
        <v>0</v>
      </c>
    </row>
    <row r="12" spans="1:13" x14ac:dyDescent="0.25">
      <c r="A12" s="3" t="s">
        <v>83</v>
      </c>
      <c r="B12" t="s">
        <v>275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35</v>
      </c>
      <c r="L12">
        <v>0</v>
      </c>
      <c r="M12">
        <v>0</v>
      </c>
    </row>
    <row r="13" spans="1:13" x14ac:dyDescent="0.25">
      <c r="A13" s="3" t="s">
        <v>93</v>
      </c>
      <c r="B13" t="s">
        <v>103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28</v>
      </c>
      <c r="L13">
        <v>0</v>
      </c>
      <c r="M13">
        <v>0</v>
      </c>
    </row>
    <row r="14" spans="1:13" x14ac:dyDescent="0.25">
      <c r="A14" s="3" t="s">
        <v>94</v>
      </c>
      <c r="B14" t="s">
        <v>104</v>
      </c>
      <c r="C14">
        <v>0</v>
      </c>
      <c r="D14">
        <v>0</v>
      </c>
      <c r="E14">
        <v>9</v>
      </c>
      <c r="F14">
        <v>0</v>
      </c>
      <c r="G14">
        <v>0</v>
      </c>
      <c r="H14">
        <v>0</v>
      </c>
      <c r="I14">
        <v>0</v>
      </c>
      <c r="J14">
        <v>0</v>
      </c>
      <c r="K14">
        <v>42</v>
      </c>
      <c r="L14">
        <v>0</v>
      </c>
      <c r="M14">
        <v>6</v>
      </c>
    </row>
    <row r="15" spans="1:13" x14ac:dyDescent="0.25">
      <c r="A15" s="3" t="s">
        <v>95</v>
      </c>
      <c r="B15" t="s">
        <v>105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15</v>
      </c>
      <c r="L15">
        <v>0</v>
      </c>
      <c r="M15">
        <v>0</v>
      </c>
    </row>
    <row r="16" spans="1:13" x14ac:dyDescent="0.25">
      <c r="A16" s="3" t="s">
        <v>82</v>
      </c>
      <c r="B16" t="s">
        <v>106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16</v>
      </c>
      <c r="L16">
        <v>0</v>
      </c>
    </row>
    <row r="17" spans="1:13" x14ac:dyDescent="0.25">
      <c r="A17" t="s">
        <v>96</v>
      </c>
      <c r="B17" s="2" t="s">
        <v>107</v>
      </c>
      <c r="C17" s="8">
        <f>SUM(Table10[American Sign Language Total])</f>
        <v>2</v>
      </c>
      <c r="D17" s="8">
        <f>SUM(Table10[Cantonese Total])</f>
        <v>0</v>
      </c>
      <c r="E17" s="8">
        <f>SUM(Table10[French Total])</f>
        <v>98</v>
      </c>
      <c r="F17" s="8">
        <f>SUM(Table10[German Total])</f>
        <v>12</v>
      </c>
      <c r="G17" s="8">
        <f>SUM(Table10[[ Japanese Total]])</f>
        <v>0</v>
      </c>
      <c r="H17" s="8">
        <f>SUM(Table10[Korean Total])</f>
        <v>0</v>
      </c>
      <c r="I17" s="8">
        <f>SUM(Table10[Latin Total])</f>
        <v>5</v>
      </c>
      <c r="J17" s="8">
        <f>SUM(Table10[Mandarin Total])</f>
        <v>42</v>
      </c>
      <c r="K17" s="8">
        <f>SUM(Table10[Spanish Total])</f>
        <v>1104</v>
      </c>
      <c r="L17" s="8">
        <f>SUM(Table10[Vietnamese Total])</f>
        <v>0</v>
      </c>
      <c r="M17" s="8">
        <f>SUM(Table10[Other Total])</f>
        <v>106</v>
      </c>
    </row>
  </sheetData>
  <sortState xmlns:xlrd2="http://schemas.microsoft.com/office/spreadsheetml/2017/richdata2" ref="A2:A15">
    <sortCondition ref="A13"/>
  </sortState>
  <pageMargins left="0.7" right="0.7" top="0.75" bottom="0.75" header="0.3" footer="0.3"/>
  <pageSetup scale="57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22.6328125" bestFit="1" customWidth="1"/>
    <col min="2" max="2" width="14.08984375" customWidth="1"/>
    <col min="3" max="3" width="17.90625" customWidth="1"/>
    <col min="4" max="4" width="12.6328125" customWidth="1"/>
    <col min="5" max="5" width="9.453125" customWidth="1"/>
    <col min="6" max="6" width="10.453125" customWidth="1"/>
    <col min="7" max="7" width="11.90625" customWidth="1"/>
    <col min="8" max="8" width="9.6328125" customWidth="1"/>
    <col min="9" max="9" width="8.7265625" customWidth="1"/>
    <col min="10" max="10" width="11.453125" customWidth="1"/>
    <col min="11" max="11" width="10.7265625" customWidth="1"/>
    <col min="12" max="12" width="12.7265625" customWidth="1"/>
    <col min="13" max="13" width="8.81640625" customWidth="1"/>
  </cols>
  <sheetData>
    <row r="1" spans="1:13" ht="21" x14ac:dyDescent="0.4">
      <c r="A1" s="18" t="s">
        <v>564</v>
      </c>
    </row>
    <row r="2" spans="1:13" ht="30" x14ac:dyDescent="0.25">
      <c r="A2" s="4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31</v>
      </c>
      <c r="G2" s="4" t="s">
        <v>32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25">
      <c r="A3" t="s">
        <v>108</v>
      </c>
      <c r="B3" t="s">
        <v>109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12</v>
      </c>
      <c r="L3">
        <v>0</v>
      </c>
      <c r="M3">
        <v>0</v>
      </c>
    </row>
    <row r="4" spans="1:13" x14ac:dyDescent="0.25">
      <c r="A4" t="s">
        <v>110</v>
      </c>
      <c r="B4" s="2" t="s">
        <v>52</v>
      </c>
      <c r="C4">
        <f>SUM(Table2[American Sign Language Total])</f>
        <v>0</v>
      </c>
      <c r="D4">
        <f>SUM(Table2[Cantonese Total])</f>
        <v>0</v>
      </c>
      <c r="E4">
        <f>SUM(Table2[French Total])</f>
        <v>0</v>
      </c>
      <c r="F4">
        <f>SUM(Table2[German Total])</f>
        <v>0</v>
      </c>
      <c r="G4">
        <f>SUM(Table2[[ Japanese Total]])</f>
        <v>0</v>
      </c>
      <c r="H4">
        <f>SUM(Table2[Korean Total])</f>
        <v>0</v>
      </c>
      <c r="I4">
        <f>SUM(Table2[Latin Total])</f>
        <v>0</v>
      </c>
      <c r="J4">
        <f>SUM(Table2[Mandarin Total])</f>
        <v>0</v>
      </c>
      <c r="K4">
        <f>SUM(Table2[Spanish Total])</f>
        <v>12</v>
      </c>
      <c r="L4">
        <f>SUM(Table2[Vietnamese Total])</f>
        <v>0</v>
      </c>
      <c r="M4">
        <f>SUM(Table2[Other Total])</f>
        <v>0</v>
      </c>
    </row>
  </sheetData>
  <pageMargins left="0.7" right="0.7" top="0.75" bottom="0.75" header="0.3" footer="0.3"/>
  <pageSetup scale="63" fitToHeight="0" orientation="landscape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31.26953125" customWidth="1"/>
    <col min="2" max="2" width="28.6328125" customWidth="1"/>
    <col min="3" max="3" width="16.54296875" customWidth="1"/>
    <col min="4" max="4" width="11" customWidth="1"/>
    <col min="5" max="5" width="8.54296875" customWidth="1"/>
    <col min="6" max="6" width="9.453125" customWidth="1"/>
    <col min="7" max="7" width="11.453125" customWidth="1"/>
    <col min="8" max="8" width="9" customWidth="1"/>
    <col min="9" max="9" width="8.26953125" customWidth="1"/>
    <col min="10" max="10" width="10.90625" customWidth="1"/>
    <col min="11" max="11" width="10" customWidth="1"/>
    <col min="12" max="12" width="12.26953125" customWidth="1"/>
    <col min="13" max="13" width="8.08984375" customWidth="1"/>
  </cols>
  <sheetData>
    <row r="1" spans="1:13" ht="21" x14ac:dyDescent="0.4">
      <c r="A1" s="18" t="s">
        <v>565</v>
      </c>
    </row>
    <row r="2" spans="1:13" ht="30" x14ac:dyDescent="0.25">
      <c r="A2" s="4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31</v>
      </c>
      <c r="G2" s="4" t="s">
        <v>32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25">
      <c r="A3" t="s">
        <v>112</v>
      </c>
      <c r="B3" t="s">
        <v>116</v>
      </c>
      <c r="C3">
        <v>0</v>
      </c>
      <c r="D3">
        <v>0</v>
      </c>
      <c r="E3">
        <v>0</v>
      </c>
      <c r="F3">
        <v>3</v>
      </c>
      <c r="G3">
        <v>0</v>
      </c>
      <c r="H3">
        <v>0</v>
      </c>
      <c r="I3">
        <v>0</v>
      </c>
      <c r="J3">
        <v>0</v>
      </c>
      <c r="K3">
        <v>21</v>
      </c>
      <c r="L3">
        <v>0</v>
      </c>
      <c r="M3">
        <v>8</v>
      </c>
    </row>
    <row r="4" spans="1:13" x14ac:dyDescent="0.25">
      <c r="A4" s="3" t="s">
        <v>114</v>
      </c>
      <c r="B4" t="s">
        <v>114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35</v>
      </c>
      <c r="L4">
        <v>0</v>
      </c>
      <c r="M4">
        <v>1</v>
      </c>
    </row>
    <row r="5" spans="1:13" x14ac:dyDescent="0.25">
      <c r="A5" s="3" t="s">
        <v>111</v>
      </c>
      <c r="B5" t="s">
        <v>113</v>
      </c>
      <c r="C5">
        <v>0</v>
      </c>
      <c r="D5">
        <v>0</v>
      </c>
      <c r="E5">
        <v>5</v>
      </c>
      <c r="F5">
        <v>0</v>
      </c>
      <c r="G5">
        <v>0</v>
      </c>
      <c r="H5">
        <v>0</v>
      </c>
      <c r="I5">
        <v>0</v>
      </c>
      <c r="J5">
        <v>0</v>
      </c>
      <c r="K5">
        <v>2</v>
      </c>
      <c r="L5">
        <v>0</v>
      </c>
      <c r="M5">
        <v>1</v>
      </c>
    </row>
    <row r="6" spans="1:13" ht="30" x14ac:dyDescent="0.25">
      <c r="A6" s="3" t="s">
        <v>115</v>
      </c>
      <c r="B6" s="4" t="s">
        <v>276</v>
      </c>
      <c r="C6" s="3">
        <v>0</v>
      </c>
      <c r="D6" s="3">
        <v>0</v>
      </c>
      <c r="E6" s="3">
        <v>8</v>
      </c>
      <c r="F6" s="3">
        <v>5</v>
      </c>
      <c r="G6" s="3">
        <v>0</v>
      </c>
      <c r="H6" s="3">
        <v>0</v>
      </c>
      <c r="I6" s="3">
        <v>0</v>
      </c>
      <c r="J6" s="3">
        <v>0</v>
      </c>
      <c r="K6" s="3">
        <v>22</v>
      </c>
      <c r="L6" s="3">
        <v>0</v>
      </c>
      <c r="M6" s="3">
        <v>1</v>
      </c>
    </row>
    <row r="7" spans="1:13" x14ac:dyDescent="0.25">
      <c r="A7" t="s">
        <v>118</v>
      </c>
      <c r="B7" s="2" t="s">
        <v>117</v>
      </c>
      <c r="C7">
        <f>SUM(Table11[American Sign Language Total])</f>
        <v>0</v>
      </c>
      <c r="D7">
        <f>SUM(Table11[Cantonese Total])</f>
        <v>0</v>
      </c>
      <c r="E7">
        <f>SUM(Table11[French Total])</f>
        <v>13</v>
      </c>
      <c r="F7">
        <f>SUM(Table11[German Total])</f>
        <v>8</v>
      </c>
      <c r="G7">
        <f>SUM(Table11[[ Japanese Total]])</f>
        <v>0</v>
      </c>
      <c r="H7">
        <f>SUM(Table11[Korean Total])</f>
        <v>0</v>
      </c>
      <c r="I7">
        <f>SUM(Table11[Latin Total])</f>
        <v>0</v>
      </c>
      <c r="J7">
        <f>SUM(Table11[Mandarin Total])</f>
        <v>0</v>
      </c>
      <c r="K7">
        <f>SUM(Table11[Spanish Total])</f>
        <v>80</v>
      </c>
      <c r="L7">
        <f>SUM(Table11[Vietnamese Total])</f>
        <v>0</v>
      </c>
      <c r="M7">
        <f>SUM(Table11[Other Total])</f>
        <v>11</v>
      </c>
    </row>
  </sheetData>
  <sortState xmlns:xlrd2="http://schemas.microsoft.com/office/spreadsheetml/2017/richdata2" ref="A2:A5">
    <sortCondition ref="A2"/>
  </sortState>
  <pageMargins left="0.7" right="0.7" top="0.75" bottom="0.75" header="0.3" footer="0.3"/>
  <pageSetup scale="58" fitToHeight="0" orientation="landscape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M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22.6328125" bestFit="1" customWidth="1"/>
    <col min="2" max="2" width="22.36328125" customWidth="1"/>
    <col min="3" max="3" width="17.36328125" customWidth="1"/>
    <col min="4" max="4" width="12.453125" customWidth="1"/>
    <col min="5" max="5" width="9.54296875" customWidth="1"/>
    <col min="6" max="6" width="10.54296875" customWidth="1"/>
    <col min="7" max="7" width="12.1796875" customWidth="1"/>
    <col min="8" max="8" width="10.36328125" customWidth="1"/>
    <col min="9" max="9" width="8.26953125" customWidth="1"/>
    <col min="10" max="10" width="11.36328125" customWidth="1"/>
    <col min="11" max="11" width="10.6328125" customWidth="1"/>
    <col min="12" max="12" width="13.7265625" customWidth="1"/>
    <col min="13" max="13" width="8.7265625" customWidth="1"/>
  </cols>
  <sheetData>
    <row r="1" spans="1:13" ht="21" x14ac:dyDescent="0.4">
      <c r="A1" s="18" t="s">
        <v>566</v>
      </c>
    </row>
    <row r="2" spans="1:13" ht="30" x14ac:dyDescent="0.25">
      <c r="A2" s="4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31</v>
      </c>
      <c r="G2" s="4" t="s">
        <v>32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25">
      <c r="A3" s="3" t="s">
        <v>121</v>
      </c>
      <c r="B3" t="s">
        <v>121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61</v>
      </c>
      <c r="L3">
        <v>0</v>
      </c>
      <c r="M3">
        <v>0</v>
      </c>
    </row>
    <row r="4" spans="1:13" x14ac:dyDescent="0.25">
      <c r="A4" s="3" t="s">
        <v>122</v>
      </c>
      <c r="B4" t="s">
        <v>124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134</v>
      </c>
      <c r="L4">
        <v>0</v>
      </c>
      <c r="M4">
        <v>0</v>
      </c>
    </row>
    <row r="5" spans="1:13" x14ac:dyDescent="0.25">
      <c r="A5" s="3" t="s">
        <v>123</v>
      </c>
      <c r="B5" t="s">
        <v>125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8</v>
      </c>
      <c r="L5">
        <v>0</v>
      </c>
      <c r="M5">
        <v>0</v>
      </c>
    </row>
    <row r="6" spans="1:13" ht="30" x14ac:dyDescent="0.25">
      <c r="A6" s="3" t="s">
        <v>120</v>
      </c>
      <c r="B6" s="4" t="s">
        <v>189</v>
      </c>
      <c r="C6" s="3">
        <v>0</v>
      </c>
      <c r="D6" s="3">
        <v>0</v>
      </c>
      <c r="E6" s="3">
        <v>2</v>
      </c>
      <c r="F6" s="3">
        <v>0</v>
      </c>
      <c r="G6" s="3">
        <v>0</v>
      </c>
      <c r="H6" s="3">
        <v>1</v>
      </c>
      <c r="I6" s="3">
        <v>0</v>
      </c>
      <c r="J6" s="3">
        <v>1</v>
      </c>
      <c r="K6" s="3">
        <v>155</v>
      </c>
      <c r="L6" s="3">
        <v>0</v>
      </c>
      <c r="M6" s="3">
        <v>0</v>
      </c>
    </row>
    <row r="7" spans="1:13" x14ac:dyDescent="0.25">
      <c r="A7" s="3" t="s">
        <v>119</v>
      </c>
      <c r="B7" t="s">
        <v>126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16</v>
      </c>
      <c r="L7">
        <v>0</v>
      </c>
      <c r="M7">
        <v>0</v>
      </c>
    </row>
    <row r="8" spans="1:13" x14ac:dyDescent="0.25">
      <c r="A8" t="s">
        <v>127</v>
      </c>
      <c r="B8" s="2" t="s">
        <v>117</v>
      </c>
      <c r="C8">
        <f>SUM(Table12[American Sign Language Total])</f>
        <v>0</v>
      </c>
      <c r="D8">
        <f>SUM(Table12[Cantonese Total])</f>
        <v>0</v>
      </c>
      <c r="E8">
        <f>SUM(Table12[French Total])</f>
        <v>2</v>
      </c>
      <c r="F8">
        <f>SUM(Table12[German Total])</f>
        <v>0</v>
      </c>
      <c r="G8">
        <f>SUM(Table12[[ Japanese Total]])</f>
        <v>0</v>
      </c>
      <c r="H8">
        <f>SUM(Table12[Korean Total])</f>
        <v>1</v>
      </c>
      <c r="I8">
        <f>SUM(Table12[Latin Total])</f>
        <v>0</v>
      </c>
      <c r="J8">
        <f>SUM(Table12[Mandarin Total])</f>
        <v>1</v>
      </c>
      <c r="K8">
        <f>SUM(Table12[Spanish Total])</f>
        <v>374</v>
      </c>
      <c r="L8">
        <f>SUM(Table12[Vietnamese Total])</f>
        <v>0</v>
      </c>
      <c r="M8">
        <f>SUM(Table12[Other Total])</f>
        <v>0</v>
      </c>
    </row>
  </sheetData>
  <sortState xmlns:xlrd2="http://schemas.microsoft.com/office/spreadsheetml/2017/richdata2" ref="A2:A7">
    <sortCondition ref="A2"/>
  </sortState>
  <pageMargins left="0.7" right="0.7" top="0.75" bottom="0.75" header="0.3" footer="0.3"/>
  <pageSetup scale="60" fitToHeight="0" orientation="landscape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M4"/>
  <sheetViews>
    <sheetView workbookViewId="0"/>
  </sheetViews>
  <sheetFormatPr defaultRowHeight="15" x14ac:dyDescent="0.25"/>
  <cols>
    <col min="1" max="1" width="22.6328125" customWidth="1"/>
    <col min="2" max="2" width="14.54296875" customWidth="1"/>
    <col min="3" max="3" width="16.1796875" customWidth="1"/>
    <col min="4" max="4" width="10.26953125" customWidth="1"/>
    <col min="5" max="5" width="7.6328125" customWidth="1"/>
    <col min="6" max="6" width="7.7265625" customWidth="1"/>
    <col min="8" max="8" width="7.7265625" customWidth="1"/>
    <col min="9" max="9" width="7.54296875" customWidth="1"/>
    <col min="11" max="11" width="8.1796875" customWidth="1"/>
    <col min="12" max="12" width="11.36328125" customWidth="1"/>
    <col min="13" max="13" width="7" customWidth="1"/>
  </cols>
  <sheetData>
    <row r="1" spans="1:13" ht="21" x14ac:dyDescent="0.4">
      <c r="A1" s="18" t="s">
        <v>798</v>
      </c>
    </row>
    <row r="2" spans="1:13" ht="45" x14ac:dyDescent="0.25">
      <c r="A2" s="4" t="s">
        <v>4</v>
      </c>
      <c r="B2" s="1" t="s">
        <v>5</v>
      </c>
      <c r="C2" s="1" t="s">
        <v>6</v>
      </c>
      <c r="D2" s="1" t="s">
        <v>7</v>
      </c>
      <c r="E2" s="1" t="s">
        <v>8</v>
      </c>
      <c r="F2" s="1" t="s">
        <v>31</v>
      </c>
      <c r="G2" s="1" t="s">
        <v>32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</row>
    <row r="3" spans="1:13" x14ac:dyDescent="0.25">
      <c r="A3" s="3" t="s">
        <v>799</v>
      </c>
      <c r="B3" s="4" t="s">
        <v>802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1</v>
      </c>
      <c r="L3" s="3">
        <v>0</v>
      </c>
      <c r="M3" s="3">
        <v>0</v>
      </c>
    </row>
    <row r="4" spans="1:13" x14ac:dyDescent="0.25">
      <c r="A4" t="s">
        <v>803</v>
      </c>
      <c r="B4" s="2" t="s">
        <v>52</v>
      </c>
      <c r="C4">
        <f>SUM(Table1255[American Sign Language Total])</f>
        <v>0</v>
      </c>
      <c r="D4">
        <f>SUM(Table1255[Cantonese Total])</f>
        <v>0</v>
      </c>
      <c r="E4">
        <f>SUM(Table1255[French Total])</f>
        <v>0</v>
      </c>
      <c r="F4">
        <f>SUM(Table1255[German Total])</f>
        <v>0</v>
      </c>
      <c r="G4">
        <f>SUM(Table1255[[ Japanese Total]])</f>
        <v>0</v>
      </c>
      <c r="H4">
        <f>SUM(Table1255[Korean Total])</f>
        <v>0</v>
      </c>
      <c r="I4">
        <f>SUM(Table1255[Latin Total])</f>
        <v>0</v>
      </c>
      <c r="J4">
        <f>SUM(Table1255[Mandarin Total])</f>
        <v>0</v>
      </c>
      <c r="K4">
        <f>SUM(Table1255[Spanish Total])</f>
        <v>1</v>
      </c>
      <c r="L4">
        <f>SUM(Table1255[Vietnamese Total])</f>
        <v>0</v>
      </c>
      <c r="M4">
        <f>SUM(Table1255[Other Total])</f>
        <v>0</v>
      </c>
    </row>
  </sheetData>
  <pageMargins left="0.7" right="0.7" top="0.75" bottom="0.75" header="0.3" footer="0.3"/>
  <pageSetup scale="69" fitToHeight="0" orientation="landscape" horizontalDpi="1200" verticalDpi="1200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M9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22.6328125" bestFit="1" customWidth="1"/>
    <col min="2" max="2" width="25.90625" bestFit="1" customWidth="1"/>
    <col min="3" max="3" width="17.08984375" customWidth="1"/>
    <col min="4" max="4" width="12.6328125" customWidth="1"/>
    <col min="5" max="5" width="10.26953125" customWidth="1"/>
    <col min="6" max="6" width="10.6328125" customWidth="1"/>
    <col min="7" max="7" width="12.26953125" customWidth="1"/>
    <col min="8" max="8" width="10.1796875" customWidth="1"/>
    <col min="9" max="9" width="8.81640625" customWidth="1"/>
    <col min="10" max="10" width="12.453125" customWidth="1"/>
    <col min="11" max="11" width="11.26953125" customWidth="1"/>
    <col min="12" max="12" width="13.26953125" customWidth="1"/>
    <col min="13" max="13" width="9.08984375" customWidth="1"/>
  </cols>
  <sheetData>
    <row r="1" spans="1:13" ht="21" x14ac:dyDescent="0.4">
      <c r="A1" s="18" t="s">
        <v>567</v>
      </c>
    </row>
    <row r="2" spans="1:13" ht="30" x14ac:dyDescent="0.25">
      <c r="A2" s="4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31</v>
      </c>
      <c r="G2" s="4" t="s">
        <v>32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ht="30" x14ac:dyDescent="0.25">
      <c r="A3" s="3" t="s">
        <v>129</v>
      </c>
      <c r="B3" s="4" t="s">
        <v>277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132</v>
      </c>
      <c r="L3">
        <v>0</v>
      </c>
      <c r="M3">
        <v>0</v>
      </c>
    </row>
    <row r="4" spans="1:13" ht="165" x14ac:dyDescent="0.25">
      <c r="A4" s="3" t="s">
        <v>131</v>
      </c>
      <c r="B4" s="4" t="s">
        <v>190</v>
      </c>
      <c r="C4" s="3">
        <v>0</v>
      </c>
      <c r="D4" s="3">
        <v>0</v>
      </c>
      <c r="E4" s="3">
        <v>85</v>
      </c>
      <c r="F4" s="3">
        <v>0</v>
      </c>
      <c r="G4" s="3">
        <v>0</v>
      </c>
      <c r="H4" s="3">
        <v>0</v>
      </c>
      <c r="I4" s="3">
        <v>0</v>
      </c>
      <c r="J4" s="3">
        <v>1</v>
      </c>
      <c r="K4" s="3">
        <v>729</v>
      </c>
      <c r="L4">
        <v>0</v>
      </c>
      <c r="M4">
        <v>0</v>
      </c>
    </row>
    <row r="5" spans="1:13" x14ac:dyDescent="0.25">
      <c r="A5" s="3" t="s">
        <v>132</v>
      </c>
      <c r="B5" s="4" t="s">
        <v>135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37</v>
      </c>
      <c r="L5">
        <v>0</v>
      </c>
      <c r="M5">
        <v>0</v>
      </c>
    </row>
    <row r="6" spans="1:13" x14ac:dyDescent="0.25">
      <c r="A6" s="3" t="s">
        <v>128</v>
      </c>
      <c r="B6" s="4" t="s">
        <v>136</v>
      </c>
      <c r="C6">
        <v>0</v>
      </c>
      <c r="D6">
        <v>0</v>
      </c>
      <c r="E6">
        <v>0</v>
      </c>
      <c r="F6">
        <v>5</v>
      </c>
      <c r="G6">
        <v>0</v>
      </c>
      <c r="H6">
        <v>0</v>
      </c>
      <c r="I6">
        <v>0</v>
      </c>
      <c r="J6">
        <v>0</v>
      </c>
      <c r="K6">
        <v>10</v>
      </c>
      <c r="L6">
        <v>0</v>
      </c>
      <c r="M6">
        <v>0</v>
      </c>
    </row>
    <row r="7" spans="1:13" x14ac:dyDescent="0.25">
      <c r="A7" s="3" t="s">
        <v>133</v>
      </c>
      <c r="B7" s="4" t="s">
        <v>137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8</v>
      </c>
      <c r="L7">
        <v>0</v>
      </c>
      <c r="M7">
        <v>0</v>
      </c>
    </row>
    <row r="8" spans="1:13" x14ac:dyDescent="0.25">
      <c r="A8" s="3" t="s">
        <v>134</v>
      </c>
      <c r="B8" s="4" t="s">
        <v>134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45</v>
      </c>
      <c r="L8">
        <v>0</v>
      </c>
      <c r="M8">
        <v>0</v>
      </c>
    </row>
    <row r="9" spans="1:13" x14ac:dyDescent="0.25">
      <c r="A9" t="s">
        <v>138</v>
      </c>
      <c r="B9" s="11" t="s">
        <v>139</v>
      </c>
      <c r="C9">
        <f>SUM(Table13[American Sign Language Total])</f>
        <v>0</v>
      </c>
      <c r="D9">
        <f>SUM(Table13[Cantonese Total])</f>
        <v>0</v>
      </c>
      <c r="E9">
        <f>SUM(Table13[French Total])</f>
        <v>85</v>
      </c>
      <c r="F9">
        <f>SUM(Table13[German Total])</f>
        <v>5</v>
      </c>
      <c r="G9">
        <f>SUM(Table13[[ Japanese Total]])</f>
        <v>0</v>
      </c>
      <c r="H9">
        <f>SUM(Table13[Korean Total])</f>
        <v>0</v>
      </c>
      <c r="I9">
        <f>SUM(Table13[Latin Total])</f>
        <v>0</v>
      </c>
      <c r="J9">
        <f>SUM(Table13[Mandarin Total])</f>
        <v>1</v>
      </c>
      <c r="K9">
        <f>SUM(Table13[Spanish Total])</f>
        <v>961</v>
      </c>
      <c r="L9">
        <f>SUM(Table13[Vietnamese Total])</f>
        <v>0</v>
      </c>
      <c r="M9">
        <f>SUM(Table13[Other Total])</f>
        <v>0</v>
      </c>
    </row>
  </sheetData>
  <sortState xmlns:xlrd2="http://schemas.microsoft.com/office/spreadsheetml/2017/richdata2" ref="A2:A8">
    <sortCondition ref="A2"/>
  </sortState>
  <pageMargins left="0.7" right="0.7" top="0.75" bottom="0.75" header="0.3" footer="0.3"/>
  <pageSetup scale="58" fitToHeight="0" orientation="landscape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M6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22" bestFit="1" customWidth="1"/>
    <col min="2" max="2" width="24.1796875" customWidth="1"/>
    <col min="3" max="3" width="16.36328125" customWidth="1"/>
    <col min="4" max="4" width="12.26953125" customWidth="1"/>
    <col min="5" max="5" width="9.90625" customWidth="1"/>
    <col min="6" max="6" width="10.453125" customWidth="1"/>
    <col min="7" max="7" width="12" customWidth="1"/>
    <col min="8" max="8" width="9.6328125" customWidth="1"/>
    <col min="9" max="9" width="8.54296875" customWidth="1"/>
    <col min="10" max="10" width="11.81640625" customWidth="1"/>
    <col min="11" max="11" width="10.7265625" customWidth="1"/>
    <col min="12" max="12" width="13.26953125" customWidth="1"/>
    <col min="13" max="13" width="8.6328125" customWidth="1"/>
  </cols>
  <sheetData>
    <row r="1" spans="1:13" ht="21" x14ac:dyDescent="0.4">
      <c r="A1" s="18" t="s">
        <v>568</v>
      </c>
    </row>
    <row r="2" spans="1:13" ht="30" x14ac:dyDescent="0.25">
      <c r="A2" s="4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31</v>
      </c>
      <c r="G2" s="4" t="s">
        <v>32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ht="35.549999999999997" customHeight="1" x14ac:dyDescent="0.25">
      <c r="A3" s="3" t="s">
        <v>141</v>
      </c>
      <c r="B3" s="4" t="s">
        <v>191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21</v>
      </c>
      <c r="L3" s="3">
        <v>0</v>
      </c>
      <c r="M3" s="3">
        <v>0</v>
      </c>
    </row>
    <row r="4" spans="1:13" x14ac:dyDescent="0.25">
      <c r="A4" t="s">
        <v>142</v>
      </c>
      <c r="B4" s="1" t="s">
        <v>144</v>
      </c>
      <c r="C4">
        <v>0</v>
      </c>
      <c r="D4">
        <v>0</v>
      </c>
      <c r="E4">
        <v>1</v>
      </c>
      <c r="F4">
        <v>0</v>
      </c>
      <c r="G4">
        <v>0</v>
      </c>
      <c r="H4">
        <v>0</v>
      </c>
      <c r="I4">
        <v>0</v>
      </c>
      <c r="J4">
        <v>0</v>
      </c>
      <c r="K4">
        <v>19</v>
      </c>
      <c r="L4">
        <v>0</v>
      </c>
      <c r="M4">
        <v>0</v>
      </c>
    </row>
    <row r="5" spans="1:13" x14ac:dyDescent="0.25">
      <c r="A5" t="s">
        <v>140</v>
      </c>
      <c r="B5" s="1" t="s">
        <v>143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42</v>
      </c>
      <c r="L5">
        <v>0</v>
      </c>
      <c r="M5">
        <v>0</v>
      </c>
    </row>
    <row r="6" spans="1:13" x14ac:dyDescent="0.25">
      <c r="A6" t="s">
        <v>145</v>
      </c>
      <c r="B6" s="2" t="s">
        <v>79</v>
      </c>
      <c r="C6">
        <f>SUM(Table14[American Sign Language Total])</f>
        <v>0</v>
      </c>
      <c r="D6">
        <f>SUM(Table14[Cantonese Total])</f>
        <v>0</v>
      </c>
      <c r="E6">
        <f>SUM(Table14[French Total])</f>
        <v>1</v>
      </c>
      <c r="F6">
        <f>SUM(Table14[German Total])</f>
        <v>0</v>
      </c>
      <c r="G6">
        <f>SUM(Table14[[ Japanese Total]])</f>
        <v>0</v>
      </c>
      <c r="H6">
        <f>SUM(Table14[Korean Total])</f>
        <v>0</v>
      </c>
      <c r="I6">
        <f>SUM(Table14[Latin Total])</f>
        <v>0</v>
      </c>
      <c r="J6">
        <f>SUM(Table14[Mandarin Total])</f>
        <v>0</v>
      </c>
      <c r="K6">
        <f>SUM(Table14[Spanish Total])</f>
        <v>82</v>
      </c>
      <c r="L6">
        <f>SUM(Table14[Vietnamese Total])</f>
        <v>0</v>
      </c>
      <c r="M6">
        <f>SUM(Table14[Other Total])</f>
        <v>0</v>
      </c>
    </row>
  </sheetData>
  <sortState xmlns:xlrd2="http://schemas.microsoft.com/office/spreadsheetml/2017/richdata2" ref="A2:A4">
    <sortCondition ref="A2"/>
  </sortState>
  <pageMargins left="0.7" right="0.7" top="0.75" bottom="0.75" header="0.3" footer="0.3"/>
  <pageSetup scale="60" fitToHeight="0" orientation="landscape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M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ColWidth="19.36328125" defaultRowHeight="15" x14ac:dyDescent="0.25"/>
  <cols>
    <col min="1" max="1" width="22.6328125" bestFit="1" customWidth="1"/>
    <col min="2" max="2" width="21.7265625" customWidth="1"/>
    <col min="3" max="3" width="17.26953125" customWidth="1"/>
    <col min="4" max="4" width="13" customWidth="1"/>
    <col min="5" max="5" width="9.7265625" customWidth="1"/>
    <col min="6" max="6" width="10.81640625" customWidth="1"/>
    <col min="7" max="7" width="11.90625" customWidth="1"/>
    <col min="8" max="8" width="9.6328125" customWidth="1"/>
    <col min="9" max="9" width="8.36328125" customWidth="1"/>
    <col min="10" max="10" width="11.7265625" customWidth="1"/>
    <col min="11" max="11" width="10.81640625" customWidth="1"/>
    <col min="12" max="12" width="13.54296875" customWidth="1"/>
    <col min="13" max="13" width="8.90625" customWidth="1"/>
  </cols>
  <sheetData>
    <row r="1" spans="1:13" ht="21" x14ac:dyDescent="0.4">
      <c r="A1" s="18" t="s">
        <v>569</v>
      </c>
    </row>
    <row r="2" spans="1:13" ht="30" x14ac:dyDescent="0.25">
      <c r="A2" s="4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31</v>
      </c>
      <c r="G2" s="4" t="s">
        <v>32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25">
      <c r="A3" t="s">
        <v>148</v>
      </c>
      <c r="B3" t="s">
        <v>151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7</v>
      </c>
      <c r="L3">
        <v>0</v>
      </c>
      <c r="M3">
        <v>0</v>
      </c>
    </row>
    <row r="4" spans="1:13" x14ac:dyDescent="0.25">
      <c r="A4" t="s">
        <v>149</v>
      </c>
      <c r="B4" t="s">
        <v>152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2</v>
      </c>
      <c r="L4">
        <v>0</v>
      </c>
      <c r="M4">
        <v>0</v>
      </c>
    </row>
    <row r="5" spans="1:13" ht="30" x14ac:dyDescent="0.25">
      <c r="A5" s="3" t="s">
        <v>146</v>
      </c>
      <c r="B5" s="4" t="s">
        <v>147</v>
      </c>
      <c r="C5" s="3">
        <v>0</v>
      </c>
      <c r="D5" s="3">
        <v>0</v>
      </c>
      <c r="E5" s="3">
        <v>1</v>
      </c>
      <c r="F5" s="3">
        <v>1</v>
      </c>
      <c r="G5" s="3">
        <v>0</v>
      </c>
      <c r="H5" s="3">
        <v>0</v>
      </c>
      <c r="I5" s="3">
        <v>0</v>
      </c>
      <c r="J5" s="3">
        <v>0</v>
      </c>
      <c r="K5" s="3">
        <v>3</v>
      </c>
      <c r="L5" s="3">
        <v>0</v>
      </c>
      <c r="M5" s="3">
        <v>0</v>
      </c>
    </row>
    <row r="6" spans="1:13" x14ac:dyDescent="0.25">
      <c r="A6" t="s">
        <v>150</v>
      </c>
      <c r="B6" t="s">
        <v>153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2</v>
      </c>
      <c r="L6">
        <v>0</v>
      </c>
      <c r="M6">
        <v>0</v>
      </c>
    </row>
    <row r="7" spans="1:13" x14ac:dyDescent="0.25">
      <c r="A7" t="s">
        <v>154</v>
      </c>
      <c r="B7" s="2" t="s">
        <v>155</v>
      </c>
      <c r="C7">
        <f>SUM(Table15[American Sign Language Total])</f>
        <v>0</v>
      </c>
      <c r="D7">
        <f>SUM(Table15[Cantonese Total])</f>
        <v>0</v>
      </c>
      <c r="E7">
        <f>SUM(Table15[French Total])</f>
        <v>1</v>
      </c>
      <c r="F7">
        <f>SUM(Table15[German Total])</f>
        <v>1</v>
      </c>
      <c r="G7">
        <f>SUM(Table15[[ Japanese Total]])</f>
        <v>0</v>
      </c>
      <c r="H7">
        <f>SUM(Table15[Korean Total])</f>
        <v>0</v>
      </c>
      <c r="I7">
        <f>SUM(Table15[Latin Total])</f>
        <v>0</v>
      </c>
      <c r="J7">
        <f>SUM(Table15[Mandarin Total])</f>
        <v>0</v>
      </c>
      <c r="K7">
        <f>SUM(Table15[Spanish Total])</f>
        <v>14</v>
      </c>
      <c r="L7">
        <f>SUM(Table15[Vietnamese Total])</f>
        <v>0</v>
      </c>
      <c r="M7">
        <f>SUM(Table15[Other Total])</f>
        <v>0</v>
      </c>
    </row>
  </sheetData>
  <sortState xmlns:xlrd2="http://schemas.microsoft.com/office/spreadsheetml/2017/richdata2" ref="A2:A5">
    <sortCondition ref="A2"/>
  </sortState>
  <pageMargins left="0.7" right="0.7" top="0.75" bottom="0.75" header="0.3" footer="0.3"/>
  <pageSetup scale="60" fitToHeight="0" orientation="landscape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22.6328125" bestFit="1" customWidth="1"/>
    <col min="2" max="2" width="14.7265625" customWidth="1"/>
    <col min="3" max="3" width="17" customWidth="1"/>
    <col min="4" max="4" width="12.81640625" customWidth="1"/>
    <col min="5" max="5" width="9.81640625" customWidth="1"/>
    <col min="6" max="6" width="10.26953125" customWidth="1"/>
    <col min="7" max="7" width="12.1796875" customWidth="1"/>
    <col min="8" max="8" width="10.26953125" customWidth="1"/>
    <col min="9" max="9" width="8.453125" customWidth="1"/>
    <col min="10" max="10" width="11.81640625" customWidth="1"/>
    <col min="11" max="11" width="10.81640625" customWidth="1"/>
    <col min="12" max="12" width="13.54296875" customWidth="1"/>
    <col min="13" max="13" width="8.6328125" customWidth="1"/>
  </cols>
  <sheetData>
    <row r="1" spans="1:13" ht="21" x14ac:dyDescent="0.4">
      <c r="A1" s="18" t="s">
        <v>570</v>
      </c>
    </row>
    <row r="2" spans="1:13" ht="30" x14ac:dyDescent="0.25">
      <c r="A2" s="3" t="s">
        <v>4</v>
      </c>
      <c r="B2" s="1" t="s">
        <v>5</v>
      </c>
      <c r="C2" s="4" t="s">
        <v>6</v>
      </c>
      <c r="D2" s="4" t="s">
        <v>7</v>
      </c>
      <c r="E2" s="4" t="s">
        <v>8</v>
      </c>
      <c r="F2" s="4" t="s">
        <v>31</v>
      </c>
      <c r="G2" s="4" t="s">
        <v>32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25">
      <c r="A3" t="s">
        <v>156</v>
      </c>
      <c r="B3" t="s">
        <v>158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10</v>
      </c>
      <c r="L3">
        <v>0</v>
      </c>
      <c r="M3">
        <v>0</v>
      </c>
    </row>
    <row r="4" spans="1:13" x14ac:dyDescent="0.25">
      <c r="A4" t="s">
        <v>157</v>
      </c>
      <c r="B4" s="2" t="s">
        <v>52</v>
      </c>
      <c r="C4">
        <f>SUM(Table16[American Sign Language Total])</f>
        <v>0</v>
      </c>
      <c r="D4">
        <f>SUM(Table16[Cantonese Total])</f>
        <v>0</v>
      </c>
      <c r="E4">
        <f>SUM(Table16[French Total])</f>
        <v>0</v>
      </c>
      <c r="F4">
        <f>SUM(Table16[German Total])</f>
        <v>0</v>
      </c>
      <c r="G4">
        <f>SUM(Table16[[ Japanese Total]])</f>
        <v>0</v>
      </c>
      <c r="H4">
        <f>SUM(Table16[Korean Total])</f>
        <v>0</v>
      </c>
      <c r="I4">
        <f>SUM(Table16[Latin Total])</f>
        <v>0</v>
      </c>
      <c r="J4">
        <f>SUM(Table16[Mandarin Total])</f>
        <v>0</v>
      </c>
      <c r="K4">
        <f>SUM(Table16[Spanish Total])</f>
        <v>10</v>
      </c>
      <c r="L4">
        <f>SUM(Table16[Vietnamese Total])</f>
        <v>0</v>
      </c>
      <c r="M4">
        <f>SUM(Table16[Other Total])</f>
        <v>0</v>
      </c>
    </row>
  </sheetData>
  <pageMargins left="0.7" right="0.7" top="0.75" bottom="0.75" header="0.3" footer="0.3"/>
  <pageSetup scale="62" fitToHeight="0" orientation="landscape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M55"/>
  <sheetViews>
    <sheetView zoomScaleNormal="100" workbookViewId="0">
      <pane xSplit="1" ySplit="2" topLeftCell="C3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31.26953125" customWidth="1"/>
    <col min="2" max="2" width="167.26953125" customWidth="1"/>
    <col min="3" max="3" width="16.90625" customWidth="1"/>
    <col min="4" max="4" width="12.453125" customWidth="1"/>
    <col min="5" max="5" width="9.90625" customWidth="1"/>
    <col min="6" max="6" width="10.81640625" customWidth="1"/>
    <col min="7" max="7" width="12.26953125" customWidth="1"/>
    <col min="8" max="8" width="10.26953125" customWidth="1"/>
    <col min="9" max="9" width="8.6328125" customWidth="1"/>
    <col min="10" max="10" width="11.7265625" customWidth="1"/>
    <col min="11" max="11" width="11" customWidth="1"/>
    <col min="12" max="12" width="13.7265625" customWidth="1"/>
    <col min="13" max="13" width="9.453125" customWidth="1"/>
  </cols>
  <sheetData>
    <row r="1" spans="1:13" ht="21" x14ac:dyDescent="0.4">
      <c r="A1" s="18" t="s">
        <v>571</v>
      </c>
    </row>
    <row r="2" spans="1:13" ht="80.55" customHeight="1" x14ac:dyDescent="0.25">
      <c r="A2" s="4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31</v>
      </c>
      <c r="G2" s="4" t="s">
        <v>32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25">
      <c r="A3" s="4" t="s">
        <v>192</v>
      </c>
      <c r="B3" s="4" t="s">
        <v>246</v>
      </c>
      <c r="C3" s="14">
        <v>0</v>
      </c>
      <c r="D3" s="14">
        <v>0</v>
      </c>
      <c r="E3" s="14">
        <v>20</v>
      </c>
      <c r="F3" s="14">
        <v>0</v>
      </c>
      <c r="G3" s="14">
        <v>34</v>
      </c>
      <c r="H3" s="14">
        <v>41</v>
      </c>
      <c r="I3" s="14">
        <v>0</v>
      </c>
      <c r="J3" s="14">
        <v>39</v>
      </c>
      <c r="K3" s="14">
        <v>190</v>
      </c>
      <c r="L3" s="14">
        <v>0</v>
      </c>
      <c r="M3" s="14">
        <v>8</v>
      </c>
    </row>
    <row r="4" spans="1:13" x14ac:dyDescent="0.25">
      <c r="A4" s="4" t="s">
        <v>160</v>
      </c>
      <c r="B4" s="4" t="s">
        <v>162</v>
      </c>
      <c r="C4" s="14">
        <v>0</v>
      </c>
      <c r="D4" s="14">
        <v>0</v>
      </c>
      <c r="E4" s="14">
        <v>0</v>
      </c>
      <c r="F4" s="14">
        <v>0</v>
      </c>
      <c r="G4" s="14">
        <v>0</v>
      </c>
      <c r="H4" s="14">
        <v>0</v>
      </c>
      <c r="I4" s="14">
        <v>0</v>
      </c>
      <c r="J4" s="14">
        <v>3</v>
      </c>
      <c r="K4" s="14">
        <v>5</v>
      </c>
      <c r="L4" s="14">
        <v>0</v>
      </c>
      <c r="M4" s="14">
        <v>3</v>
      </c>
    </row>
    <row r="5" spans="1:13" x14ac:dyDescent="0.25">
      <c r="A5" s="4" t="s">
        <v>160</v>
      </c>
      <c r="B5" s="4" t="s">
        <v>163</v>
      </c>
      <c r="C5" s="14">
        <v>0</v>
      </c>
      <c r="D5" s="14">
        <v>0</v>
      </c>
      <c r="E5" s="14">
        <v>0</v>
      </c>
      <c r="F5" s="14">
        <v>0</v>
      </c>
      <c r="G5" s="14">
        <v>0</v>
      </c>
      <c r="H5" s="14">
        <v>0</v>
      </c>
      <c r="I5" s="14">
        <v>0</v>
      </c>
      <c r="J5" s="14">
        <v>0</v>
      </c>
      <c r="K5" s="14">
        <v>8</v>
      </c>
      <c r="L5" s="14">
        <v>0</v>
      </c>
      <c r="M5" s="14">
        <v>0</v>
      </c>
    </row>
    <row r="6" spans="1:13" x14ac:dyDescent="0.25">
      <c r="A6" s="4" t="s">
        <v>193</v>
      </c>
      <c r="B6" s="4" t="s">
        <v>247</v>
      </c>
      <c r="C6" s="14">
        <v>0</v>
      </c>
      <c r="D6" s="14">
        <v>0</v>
      </c>
      <c r="E6" s="14">
        <v>13</v>
      </c>
      <c r="F6" s="14">
        <v>0</v>
      </c>
      <c r="G6" s="14">
        <v>19</v>
      </c>
      <c r="H6" s="14">
        <v>0</v>
      </c>
      <c r="I6" s="14">
        <v>0</v>
      </c>
      <c r="J6" s="14">
        <v>121</v>
      </c>
      <c r="K6" s="14">
        <v>195</v>
      </c>
      <c r="L6" s="14">
        <v>0</v>
      </c>
      <c r="M6" s="14">
        <v>0</v>
      </c>
    </row>
    <row r="7" spans="1:13" ht="45" x14ac:dyDescent="0.25">
      <c r="A7" s="4" t="s">
        <v>161</v>
      </c>
      <c r="B7" s="4" t="s">
        <v>161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6</v>
      </c>
      <c r="L7" s="14">
        <v>0</v>
      </c>
      <c r="M7" s="14">
        <v>0</v>
      </c>
    </row>
    <row r="8" spans="1:13" x14ac:dyDescent="0.25">
      <c r="A8" s="4" t="s">
        <v>194</v>
      </c>
      <c r="B8" s="4" t="s">
        <v>278</v>
      </c>
      <c r="C8" s="14">
        <v>0</v>
      </c>
      <c r="D8" s="14">
        <v>0</v>
      </c>
      <c r="E8" s="14">
        <v>5</v>
      </c>
      <c r="F8" s="14">
        <v>2</v>
      </c>
      <c r="G8" s="14">
        <v>0</v>
      </c>
      <c r="H8" s="14">
        <v>1</v>
      </c>
      <c r="I8" s="14">
        <v>1</v>
      </c>
      <c r="J8" s="14">
        <v>0</v>
      </c>
      <c r="K8" s="14">
        <v>210</v>
      </c>
      <c r="L8" s="14">
        <v>0</v>
      </c>
      <c r="M8" s="14">
        <v>4</v>
      </c>
    </row>
    <row r="9" spans="1:13" x14ac:dyDescent="0.25">
      <c r="A9" s="4" t="s">
        <v>195</v>
      </c>
      <c r="B9" s="4" t="s">
        <v>248</v>
      </c>
      <c r="C9" s="14">
        <v>0</v>
      </c>
      <c r="D9" s="14">
        <v>0</v>
      </c>
      <c r="E9" s="14">
        <v>3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90</v>
      </c>
      <c r="L9" s="14">
        <v>0</v>
      </c>
      <c r="M9" s="14">
        <v>0</v>
      </c>
    </row>
    <row r="10" spans="1:13" x14ac:dyDescent="0.25">
      <c r="A10" s="4" t="s">
        <v>196</v>
      </c>
      <c r="B10" s="4" t="s">
        <v>230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27</v>
      </c>
      <c r="L10" s="14">
        <v>0</v>
      </c>
      <c r="M10" s="14">
        <v>0</v>
      </c>
    </row>
    <row r="11" spans="1:13" x14ac:dyDescent="0.25">
      <c r="A11" s="4" t="s">
        <v>197</v>
      </c>
      <c r="B11" s="4" t="s">
        <v>279</v>
      </c>
      <c r="C11" s="14">
        <v>0</v>
      </c>
      <c r="D11" s="14">
        <v>0</v>
      </c>
      <c r="E11" s="14">
        <v>11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142</v>
      </c>
      <c r="L11" s="14">
        <v>0</v>
      </c>
      <c r="M11" s="14">
        <v>0</v>
      </c>
    </row>
    <row r="12" spans="1:13" x14ac:dyDescent="0.25">
      <c r="A12" s="4" t="s">
        <v>198</v>
      </c>
      <c r="B12" s="4" t="s">
        <v>249</v>
      </c>
      <c r="C12" s="14">
        <v>0</v>
      </c>
      <c r="D12" s="14">
        <v>0</v>
      </c>
      <c r="E12" s="14">
        <v>27</v>
      </c>
      <c r="F12" s="14">
        <v>5</v>
      </c>
      <c r="G12" s="14">
        <v>1</v>
      </c>
      <c r="H12" s="14">
        <v>2</v>
      </c>
      <c r="I12" s="14">
        <v>0</v>
      </c>
      <c r="J12" s="14">
        <v>1</v>
      </c>
      <c r="K12" s="14">
        <v>131</v>
      </c>
      <c r="L12" s="14">
        <v>0</v>
      </c>
      <c r="M12" s="14">
        <v>0</v>
      </c>
    </row>
    <row r="13" spans="1:13" x14ac:dyDescent="0.25">
      <c r="A13" s="4" t="s">
        <v>199</v>
      </c>
      <c r="B13" s="4" t="s">
        <v>250</v>
      </c>
      <c r="C13" s="14">
        <v>1</v>
      </c>
      <c r="D13" s="14">
        <v>0</v>
      </c>
      <c r="E13" s="14">
        <v>1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150</v>
      </c>
      <c r="L13" s="14">
        <v>0</v>
      </c>
      <c r="M13" s="14">
        <v>0</v>
      </c>
    </row>
    <row r="14" spans="1:13" x14ac:dyDescent="0.25">
      <c r="A14" s="4" t="s">
        <v>200</v>
      </c>
      <c r="B14" s="4" t="s">
        <v>231</v>
      </c>
      <c r="C14" s="14">
        <v>0</v>
      </c>
      <c r="D14" s="14">
        <v>0</v>
      </c>
      <c r="E14" s="14">
        <v>1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41</v>
      </c>
      <c r="L14" s="14">
        <v>0</v>
      </c>
      <c r="M14" s="14">
        <v>0</v>
      </c>
    </row>
    <row r="15" spans="1:13" x14ac:dyDescent="0.25">
      <c r="A15" s="4" t="s">
        <v>201</v>
      </c>
      <c r="B15" s="4" t="s">
        <v>232</v>
      </c>
      <c r="C15" s="14">
        <v>0</v>
      </c>
      <c r="D15" s="14">
        <v>0</v>
      </c>
      <c r="E15" s="14">
        <v>30</v>
      </c>
      <c r="F15" s="14">
        <v>19</v>
      </c>
      <c r="G15" s="14">
        <v>2</v>
      </c>
      <c r="H15" s="14">
        <v>3</v>
      </c>
      <c r="I15" s="14">
        <v>0</v>
      </c>
      <c r="J15" s="14">
        <v>2</v>
      </c>
      <c r="K15" s="14">
        <v>128</v>
      </c>
      <c r="L15" s="14">
        <v>0</v>
      </c>
      <c r="M15" s="14">
        <v>0</v>
      </c>
    </row>
    <row r="16" spans="1:13" x14ac:dyDescent="0.25">
      <c r="A16" s="4" t="s">
        <v>202</v>
      </c>
      <c r="B16" s="4" t="s">
        <v>280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55</v>
      </c>
      <c r="L16" s="14">
        <v>0</v>
      </c>
      <c r="M16" s="14">
        <v>0</v>
      </c>
    </row>
    <row r="17" spans="1:13" x14ac:dyDescent="0.25">
      <c r="A17" s="4" t="s">
        <v>203</v>
      </c>
      <c r="B17" s="4" t="s">
        <v>251</v>
      </c>
      <c r="C17" s="14">
        <v>36</v>
      </c>
      <c r="D17" s="14">
        <v>7</v>
      </c>
      <c r="E17" s="14">
        <v>6</v>
      </c>
      <c r="F17" s="14">
        <v>0</v>
      </c>
      <c r="G17" s="14">
        <v>0</v>
      </c>
      <c r="H17" s="14">
        <v>0</v>
      </c>
      <c r="I17" s="14">
        <v>0</v>
      </c>
      <c r="J17" s="14">
        <v>8</v>
      </c>
      <c r="K17" s="14">
        <v>166</v>
      </c>
      <c r="L17" s="14">
        <v>0</v>
      </c>
      <c r="M17" s="14">
        <v>7</v>
      </c>
    </row>
    <row r="18" spans="1:13" x14ac:dyDescent="0.25">
      <c r="A18" s="4" t="s">
        <v>204</v>
      </c>
      <c r="B18" s="4" t="s">
        <v>233</v>
      </c>
      <c r="C18" s="14">
        <v>0</v>
      </c>
      <c r="D18" s="14">
        <v>0</v>
      </c>
      <c r="E18" s="14">
        <v>16</v>
      </c>
      <c r="F18" s="14">
        <v>0</v>
      </c>
      <c r="G18" s="14">
        <v>33</v>
      </c>
      <c r="H18" s="14">
        <v>0</v>
      </c>
      <c r="I18" s="14">
        <v>1</v>
      </c>
      <c r="J18" s="14">
        <v>0</v>
      </c>
      <c r="K18" s="14">
        <v>125</v>
      </c>
      <c r="L18" s="14">
        <v>0</v>
      </c>
      <c r="M18" s="14">
        <v>0</v>
      </c>
    </row>
    <row r="19" spans="1:13" x14ac:dyDescent="0.25">
      <c r="A19" s="4" t="s">
        <v>205</v>
      </c>
      <c r="B19" s="4" t="s">
        <v>252</v>
      </c>
      <c r="C19" s="14">
        <v>0</v>
      </c>
      <c r="D19" s="14">
        <v>0</v>
      </c>
      <c r="E19" s="14">
        <v>19</v>
      </c>
      <c r="F19" s="14">
        <v>8</v>
      </c>
      <c r="G19" s="14">
        <v>0</v>
      </c>
      <c r="H19" s="14">
        <v>2</v>
      </c>
      <c r="I19" s="14">
        <v>0</v>
      </c>
      <c r="J19" s="14">
        <v>0</v>
      </c>
      <c r="K19" s="14">
        <v>239</v>
      </c>
      <c r="L19" s="14">
        <v>0</v>
      </c>
      <c r="M19" s="14">
        <v>0</v>
      </c>
    </row>
    <row r="20" spans="1:13" x14ac:dyDescent="0.25">
      <c r="A20" s="4" t="s">
        <v>164</v>
      </c>
      <c r="B20" s="4" t="s">
        <v>234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4</v>
      </c>
      <c r="K20" s="14">
        <v>58</v>
      </c>
      <c r="L20" s="14">
        <v>0</v>
      </c>
      <c r="M20" s="14">
        <v>0</v>
      </c>
    </row>
    <row r="21" spans="1:13" x14ac:dyDescent="0.25">
      <c r="A21" s="4" t="s">
        <v>206</v>
      </c>
      <c r="B21" s="4" t="s">
        <v>253</v>
      </c>
      <c r="C21" s="14">
        <v>0</v>
      </c>
      <c r="D21" s="14">
        <v>0</v>
      </c>
      <c r="E21" s="14">
        <v>5</v>
      </c>
      <c r="F21" s="14">
        <v>0</v>
      </c>
      <c r="G21" s="14">
        <v>0</v>
      </c>
      <c r="H21" s="14">
        <v>0</v>
      </c>
      <c r="I21" s="14">
        <v>0</v>
      </c>
      <c r="J21" s="14">
        <v>28</v>
      </c>
      <c r="K21" s="14">
        <v>284</v>
      </c>
      <c r="L21" s="14">
        <v>0</v>
      </c>
      <c r="M21" s="14">
        <v>0</v>
      </c>
    </row>
    <row r="22" spans="1:13" x14ac:dyDescent="0.25">
      <c r="A22" s="4" t="s">
        <v>207</v>
      </c>
      <c r="B22" s="4" t="s">
        <v>235</v>
      </c>
      <c r="C22" s="14">
        <v>0</v>
      </c>
      <c r="D22" s="14">
        <v>0</v>
      </c>
      <c r="E22" s="14">
        <v>14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116</v>
      </c>
      <c r="L22" s="14">
        <v>0</v>
      </c>
      <c r="M22" s="14">
        <v>0</v>
      </c>
    </row>
    <row r="23" spans="1:13" x14ac:dyDescent="0.25">
      <c r="A23" s="4" t="s">
        <v>208</v>
      </c>
      <c r="B23" s="4" t="s">
        <v>254</v>
      </c>
      <c r="C23" s="14">
        <v>0</v>
      </c>
      <c r="D23" s="14">
        <v>0</v>
      </c>
      <c r="E23" s="14">
        <v>20</v>
      </c>
      <c r="F23" s="14">
        <v>10</v>
      </c>
      <c r="G23" s="14">
        <v>5</v>
      </c>
      <c r="H23" s="14">
        <v>20</v>
      </c>
      <c r="I23" s="14">
        <v>5</v>
      </c>
      <c r="J23" s="14">
        <v>0</v>
      </c>
      <c r="K23" s="14">
        <v>50</v>
      </c>
      <c r="L23" s="14">
        <v>0</v>
      </c>
      <c r="M23" s="14">
        <v>40</v>
      </c>
    </row>
    <row r="24" spans="1:13" x14ac:dyDescent="0.25">
      <c r="A24" s="4" t="s">
        <v>228</v>
      </c>
      <c r="B24" s="4" t="s">
        <v>281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9</v>
      </c>
      <c r="I24" s="14">
        <v>0</v>
      </c>
      <c r="J24" s="14">
        <v>66</v>
      </c>
      <c r="K24" s="14">
        <v>137</v>
      </c>
      <c r="L24" s="14">
        <v>1</v>
      </c>
      <c r="M24" s="14">
        <v>0</v>
      </c>
    </row>
    <row r="25" spans="1:13" x14ac:dyDescent="0.25">
      <c r="A25" s="4" t="s">
        <v>209</v>
      </c>
      <c r="B25" s="4" t="s">
        <v>165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93</v>
      </c>
      <c r="L25" s="14">
        <v>0</v>
      </c>
      <c r="M25" s="14">
        <v>0</v>
      </c>
    </row>
    <row r="26" spans="1:13" x14ac:dyDescent="0.25">
      <c r="A26" s="4" t="s">
        <v>210</v>
      </c>
      <c r="B26" s="4" t="s">
        <v>255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49</v>
      </c>
      <c r="L26" s="14">
        <v>0</v>
      </c>
      <c r="M26" s="14">
        <v>0</v>
      </c>
    </row>
    <row r="27" spans="1:13" x14ac:dyDescent="0.25">
      <c r="A27" s="4" t="s">
        <v>211</v>
      </c>
      <c r="B27" s="4" t="s">
        <v>236</v>
      </c>
      <c r="C27" s="14">
        <v>0</v>
      </c>
      <c r="D27" s="14">
        <v>0</v>
      </c>
      <c r="E27" s="14">
        <v>26</v>
      </c>
      <c r="F27" s="14">
        <v>16</v>
      </c>
      <c r="G27" s="14">
        <v>0</v>
      </c>
      <c r="H27" s="14">
        <v>6</v>
      </c>
      <c r="I27" s="14">
        <v>0</v>
      </c>
      <c r="J27" s="14">
        <v>4</v>
      </c>
      <c r="K27" s="14">
        <v>21</v>
      </c>
      <c r="L27" s="14">
        <v>0</v>
      </c>
      <c r="M27" s="14">
        <v>0</v>
      </c>
    </row>
    <row r="28" spans="1:13" x14ac:dyDescent="0.25">
      <c r="A28" s="4" t="s">
        <v>212</v>
      </c>
      <c r="B28" s="4" t="s">
        <v>256</v>
      </c>
      <c r="C28" s="14">
        <v>0</v>
      </c>
      <c r="D28" s="14">
        <v>0</v>
      </c>
      <c r="E28" s="14">
        <v>16</v>
      </c>
      <c r="F28" s="14">
        <v>0</v>
      </c>
      <c r="G28" s="14">
        <v>0</v>
      </c>
      <c r="H28" s="14">
        <v>0</v>
      </c>
      <c r="I28" s="14">
        <v>0</v>
      </c>
      <c r="J28" s="14">
        <v>11</v>
      </c>
      <c r="K28" s="14">
        <v>60</v>
      </c>
      <c r="L28" s="14">
        <v>0</v>
      </c>
      <c r="M28" s="14">
        <v>0</v>
      </c>
    </row>
    <row r="29" spans="1:13" x14ac:dyDescent="0.25">
      <c r="A29" s="4" t="s">
        <v>166</v>
      </c>
      <c r="B29" s="4" t="s">
        <v>237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35</v>
      </c>
      <c r="L29" s="14">
        <v>0</v>
      </c>
      <c r="M29" s="14">
        <v>0</v>
      </c>
    </row>
    <row r="30" spans="1:13" x14ac:dyDescent="0.25">
      <c r="A30" s="4" t="s">
        <v>167</v>
      </c>
      <c r="B30" s="4" t="s">
        <v>257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168</v>
      </c>
      <c r="L30" s="14">
        <v>0</v>
      </c>
      <c r="M30" s="14">
        <v>0</v>
      </c>
    </row>
    <row r="31" spans="1:13" ht="30" x14ac:dyDescent="0.25">
      <c r="A31" s="4" t="s">
        <v>168</v>
      </c>
      <c r="B31" s="4" t="s">
        <v>282</v>
      </c>
      <c r="C31" s="14">
        <v>0</v>
      </c>
      <c r="D31" s="14">
        <v>0</v>
      </c>
      <c r="E31" s="14">
        <v>10</v>
      </c>
      <c r="F31" s="14">
        <v>0</v>
      </c>
      <c r="G31" s="14">
        <v>1</v>
      </c>
      <c r="H31" s="14">
        <v>2</v>
      </c>
      <c r="I31" s="14">
        <v>0</v>
      </c>
      <c r="J31" s="14">
        <v>0</v>
      </c>
      <c r="K31" s="14">
        <v>55</v>
      </c>
      <c r="L31" s="14">
        <v>15</v>
      </c>
      <c r="M31" s="14">
        <v>2</v>
      </c>
    </row>
    <row r="32" spans="1:13" x14ac:dyDescent="0.25">
      <c r="A32" s="4" t="s">
        <v>170</v>
      </c>
      <c r="B32" s="4" t="s">
        <v>258</v>
      </c>
      <c r="C32" s="14">
        <v>24</v>
      </c>
      <c r="D32" s="14">
        <v>0</v>
      </c>
      <c r="E32" s="14">
        <v>111</v>
      </c>
      <c r="F32" s="14">
        <v>28</v>
      </c>
      <c r="G32" s="14">
        <v>62</v>
      </c>
      <c r="H32" s="14">
        <v>1</v>
      </c>
      <c r="I32" s="14">
        <v>0</v>
      </c>
      <c r="J32" s="14">
        <v>11</v>
      </c>
      <c r="K32" s="14">
        <v>651</v>
      </c>
      <c r="L32" s="14">
        <v>0</v>
      </c>
      <c r="M32" s="14">
        <v>7</v>
      </c>
    </row>
    <row r="33" spans="1:13" ht="375" x14ac:dyDescent="0.25">
      <c r="A33" s="4" t="s">
        <v>169</v>
      </c>
      <c r="B33" s="4" t="s">
        <v>259</v>
      </c>
      <c r="C33" s="14">
        <v>10</v>
      </c>
      <c r="D33" s="14">
        <v>0</v>
      </c>
      <c r="E33" s="14">
        <v>159</v>
      </c>
      <c r="F33" s="14">
        <v>3</v>
      </c>
      <c r="G33" s="14">
        <v>26</v>
      </c>
      <c r="H33" s="14">
        <v>59</v>
      </c>
      <c r="I33" s="14">
        <v>4</v>
      </c>
      <c r="J33" s="14">
        <v>75</v>
      </c>
      <c r="K33" s="14">
        <v>4538</v>
      </c>
      <c r="L33" s="14">
        <v>0</v>
      </c>
      <c r="M33" s="14">
        <v>76</v>
      </c>
    </row>
    <row r="34" spans="1:13" x14ac:dyDescent="0.25">
      <c r="A34" s="4" t="s">
        <v>213</v>
      </c>
      <c r="B34" s="4" t="s">
        <v>260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290</v>
      </c>
      <c r="L34" s="14">
        <v>0</v>
      </c>
      <c r="M34" s="14">
        <v>0</v>
      </c>
    </row>
    <row r="35" spans="1:13" x14ac:dyDescent="0.25">
      <c r="A35" s="4" t="s">
        <v>214</v>
      </c>
      <c r="B35" s="4" t="s">
        <v>245</v>
      </c>
      <c r="C35" s="14">
        <v>0</v>
      </c>
      <c r="D35" s="14">
        <v>0</v>
      </c>
      <c r="E35" s="14">
        <v>27</v>
      </c>
      <c r="F35" s="14">
        <v>0</v>
      </c>
      <c r="G35" s="14">
        <v>3</v>
      </c>
      <c r="H35" s="14">
        <v>2</v>
      </c>
      <c r="I35" s="14">
        <v>0</v>
      </c>
      <c r="J35" s="14">
        <v>32</v>
      </c>
      <c r="K35" s="14">
        <v>141</v>
      </c>
      <c r="L35" s="14">
        <v>0</v>
      </c>
      <c r="M35" s="14">
        <v>0</v>
      </c>
    </row>
    <row r="36" spans="1:13" x14ac:dyDescent="0.25">
      <c r="A36" s="4" t="s">
        <v>215</v>
      </c>
      <c r="B36" s="4" t="s">
        <v>243</v>
      </c>
      <c r="C36" s="14">
        <v>0</v>
      </c>
      <c r="D36" s="14">
        <v>0</v>
      </c>
      <c r="E36" s="14">
        <v>20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68</v>
      </c>
      <c r="L36" s="14">
        <v>0</v>
      </c>
      <c r="M36" s="14">
        <v>0</v>
      </c>
    </row>
    <row r="37" spans="1:13" x14ac:dyDescent="0.25">
      <c r="A37" s="4" t="s">
        <v>216</v>
      </c>
      <c r="B37" s="4" t="s">
        <v>283</v>
      </c>
      <c r="C37" s="14">
        <v>0</v>
      </c>
      <c r="D37" s="14">
        <v>0</v>
      </c>
      <c r="E37" s="14">
        <v>1</v>
      </c>
      <c r="F37" s="14">
        <v>0</v>
      </c>
      <c r="G37" s="14">
        <v>9</v>
      </c>
      <c r="H37" s="14">
        <v>0</v>
      </c>
      <c r="I37" s="14">
        <v>0</v>
      </c>
      <c r="J37" s="14">
        <v>8</v>
      </c>
      <c r="K37" s="14">
        <v>369</v>
      </c>
      <c r="L37" s="14">
        <v>1</v>
      </c>
      <c r="M37" s="14">
        <v>0</v>
      </c>
    </row>
    <row r="38" spans="1:13" x14ac:dyDescent="0.25">
      <c r="A38" s="4" t="s">
        <v>171</v>
      </c>
      <c r="B38" s="4" t="s">
        <v>284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1</v>
      </c>
      <c r="K38" s="14">
        <v>125</v>
      </c>
      <c r="L38" s="14">
        <v>0</v>
      </c>
      <c r="M38" s="14">
        <v>0</v>
      </c>
    </row>
    <row r="39" spans="1:13" x14ac:dyDescent="0.25">
      <c r="A39" s="4" t="s">
        <v>217</v>
      </c>
      <c r="B39" s="4" t="s">
        <v>261</v>
      </c>
      <c r="C39" s="14">
        <v>0</v>
      </c>
      <c r="D39" s="14">
        <v>0</v>
      </c>
      <c r="E39" s="14">
        <v>32</v>
      </c>
      <c r="F39" s="14">
        <v>0</v>
      </c>
      <c r="G39" s="14">
        <v>33</v>
      </c>
      <c r="H39" s="14">
        <v>17</v>
      </c>
      <c r="I39" s="14">
        <v>16</v>
      </c>
      <c r="J39" s="14">
        <v>73</v>
      </c>
      <c r="K39" s="14">
        <v>262</v>
      </c>
      <c r="L39" s="14">
        <v>0</v>
      </c>
      <c r="M39" s="14">
        <v>0</v>
      </c>
    </row>
    <row r="40" spans="1:13" x14ac:dyDescent="0.25">
      <c r="A40" s="4" t="s">
        <v>218</v>
      </c>
      <c r="B40" s="4" t="s">
        <v>244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58</v>
      </c>
      <c r="L40" s="14">
        <v>0</v>
      </c>
      <c r="M40" s="14">
        <v>0</v>
      </c>
    </row>
    <row r="41" spans="1:13" x14ac:dyDescent="0.25">
      <c r="A41" s="4" t="s">
        <v>219</v>
      </c>
      <c r="B41" s="4" t="s">
        <v>285</v>
      </c>
      <c r="C41" s="14">
        <v>0</v>
      </c>
      <c r="D41" s="14">
        <v>0</v>
      </c>
      <c r="E41" s="14">
        <v>1</v>
      </c>
      <c r="F41" s="14">
        <v>0</v>
      </c>
      <c r="G41" s="14">
        <v>1</v>
      </c>
      <c r="H41" s="14">
        <v>1</v>
      </c>
      <c r="I41" s="14">
        <v>0</v>
      </c>
      <c r="J41" s="14">
        <v>0</v>
      </c>
      <c r="K41" s="14">
        <v>98</v>
      </c>
      <c r="L41" s="14">
        <v>0</v>
      </c>
      <c r="M41" s="14">
        <v>0</v>
      </c>
    </row>
    <row r="42" spans="1:13" x14ac:dyDescent="0.25">
      <c r="A42" s="4" t="s">
        <v>220</v>
      </c>
      <c r="B42" s="4" t="s">
        <v>262</v>
      </c>
      <c r="C42" s="14">
        <v>17</v>
      </c>
      <c r="D42" s="14">
        <v>0</v>
      </c>
      <c r="E42" s="14">
        <v>9</v>
      </c>
      <c r="F42" s="14">
        <v>0</v>
      </c>
      <c r="G42" s="14">
        <v>0</v>
      </c>
      <c r="H42" s="14">
        <v>0</v>
      </c>
      <c r="I42" s="14">
        <v>0</v>
      </c>
      <c r="J42" s="14">
        <v>11</v>
      </c>
      <c r="K42" s="14">
        <v>189</v>
      </c>
      <c r="L42" s="14">
        <v>0</v>
      </c>
      <c r="M42" s="14">
        <v>0</v>
      </c>
    </row>
    <row r="43" spans="1:13" x14ac:dyDescent="0.25">
      <c r="A43" s="4" t="s">
        <v>175</v>
      </c>
      <c r="B43" s="4" t="s">
        <v>242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20</v>
      </c>
      <c r="L43" s="14">
        <v>0</v>
      </c>
      <c r="M43" s="14">
        <v>0</v>
      </c>
    </row>
    <row r="44" spans="1:13" x14ac:dyDescent="0.25">
      <c r="A44" s="4" t="s">
        <v>221</v>
      </c>
      <c r="B44" s="4" t="s">
        <v>241</v>
      </c>
      <c r="C44" s="14">
        <v>0</v>
      </c>
      <c r="D44" s="14">
        <v>0</v>
      </c>
      <c r="E44" s="14">
        <v>7</v>
      </c>
      <c r="F44" s="14">
        <v>0</v>
      </c>
      <c r="G44" s="14">
        <v>3</v>
      </c>
      <c r="H44" s="14">
        <v>0</v>
      </c>
      <c r="I44" s="14">
        <v>0</v>
      </c>
      <c r="J44" s="14">
        <v>18</v>
      </c>
      <c r="K44" s="14">
        <v>93</v>
      </c>
      <c r="L44" s="14">
        <v>0</v>
      </c>
      <c r="M44" s="14">
        <v>2</v>
      </c>
    </row>
    <row r="45" spans="1:13" x14ac:dyDescent="0.25">
      <c r="A45" s="4" t="s">
        <v>222</v>
      </c>
      <c r="B45" s="4" t="s">
        <v>240</v>
      </c>
      <c r="C45" s="14">
        <v>0</v>
      </c>
      <c r="D45" s="14">
        <v>0</v>
      </c>
      <c r="E45" s="14">
        <v>0</v>
      </c>
      <c r="F45" s="14">
        <v>0</v>
      </c>
      <c r="G45" s="14">
        <v>2</v>
      </c>
      <c r="H45" s="14">
        <v>2</v>
      </c>
      <c r="I45" s="14">
        <v>0</v>
      </c>
      <c r="J45" s="14">
        <v>55</v>
      </c>
      <c r="K45" s="14">
        <v>45</v>
      </c>
      <c r="L45" s="14">
        <v>0</v>
      </c>
      <c r="M45" s="14">
        <v>0</v>
      </c>
    </row>
    <row r="46" spans="1:13" x14ac:dyDescent="0.25">
      <c r="A46" s="4" t="s">
        <v>176</v>
      </c>
      <c r="B46" s="4" t="s">
        <v>177</v>
      </c>
      <c r="C46" s="14">
        <v>2</v>
      </c>
      <c r="D46" s="14">
        <v>0</v>
      </c>
      <c r="E46" s="14">
        <v>1</v>
      </c>
      <c r="F46" s="14">
        <v>0</v>
      </c>
      <c r="G46" s="14">
        <v>2</v>
      </c>
      <c r="H46" s="14">
        <v>0</v>
      </c>
      <c r="I46" s="14">
        <v>0</v>
      </c>
      <c r="J46" s="14">
        <v>37</v>
      </c>
      <c r="K46" s="14">
        <v>128</v>
      </c>
      <c r="L46" s="14">
        <v>0</v>
      </c>
      <c r="M46" s="14">
        <v>0</v>
      </c>
    </row>
    <row r="47" spans="1:13" x14ac:dyDescent="0.25">
      <c r="A47" s="4" t="s">
        <v>223</v>
      </c>
      <c r="B47" s="4" t="s">
        <v>286</v>
      </c>
      <c r="C47" s="14">
        <v>0</v>
      </c>
      <c r="D47" s="14">
        <v>0</v>
      </c>
      <c r="E47" s="14">
        <v>21</v>
      </c>
      <c r="F47" s="14">
        <v>1</v>
      </c>
      <c r="G47" s="14">
        <v>9</v>
      </c>
      <c r="H47" s="14">
        <v>1</v>
      </c>
      <c r="I47" s="14">
        <v>10</v>
      </c>
      <c r="J47" s="14">
        <v>4</v>
      </c>
      <c r="K47" s="14">
        <v>117</v>
      </c>
      <c r="L47" s="14">
        <v>0</v>
      </c>
      <c r="M47" s="14">
        <v>3</v>
      </c>
    </row>
    <row r="48" spans="1:13" x14ac:dyDescent="0.25">
      <c r="A48" s="4" t="s">
        <v>172</v>
      </c>
      <c r="B48" s="4" t="s">
        <v>172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13</v>
      </c>
      <c r="L48" s="14">
        <v>0</v>
      </c>
      <c r="M48" s="14">
        <v>0</v>
      </c>
    </row>
    <row r="49" spans="1:13" x14ac:dyDescent="0.25">
      <c r="A49" s="4" t="s">
        <v>173</v>
      </c>
      <c r="B49" s="4" t="s">
        <v>239</v>
      </c>
      <c r="C49" s="14">
        <v>0</v>
      </c>
      <c r="D49" s="14">
        <v>0</v>
      </c>
      <c r="E49" s="14">
        <v>1</v>
      </c>
      <c r="F49" s="14">
        <v>0</v>
      </c>
      <c r="G49" s="14">
        <v>0</v>
      </c>
      <c r="H49" s="14">
        <v>1</v>
      </c>
      <c r="I49" s="14">
        <v>1</v>
      </c>
      <c r="J49" s="14">
        <v>1</v>
      </c>
      <c r="K49" s="14">
        <v>6</v>
      </c>
      <c r="L49" s="14">
        <v>0</v>
      </c>
      <c r="M49" s="14">
        <v>0</v>
      </c>
    </row>
    <row r="50" spans="1:13" x14ac:dyDescent="0.25">
      <c r="A50" s="4" t="s">
        <v>224</v>
      </c>
      <c r="B50" s="4" t="s">
        <v>238</v>
      </c>
      <c r="C50" s="14">
        <v>0</v>
      </c>
      <c r="D50" s="14">
        <v>0</v>
      </c>
      <c r="E50" s="14">
        <v>14</v>
      </c>
      <c r="F50" s="14">
        <v>17</v>
      </c>
      <c r="G50" s="14">
        <v>6</v>
      </c>
      <c r="H50" s="14">
        <v>0</v>
      </c>
      <c r="I50" s="14">
        <v>0</v>
      </c>
      <c r="J50" s="14">
        <v>48</v>
      </c>
      <c r="K50" s="14">
        <v>19</v>
      </c>
      <c r="L50" s="14">
        <v>0</v>
      </c>
      <c r="M50" s="14">
        <v>0</v>
      </c>
    </row>
    <row r="51" spans="1:13" x14ac:dyDescent="0.25">
      <c r="A51" s="4" t="s">
        <v>225</v>
      </c>
      <c r="B51" s="4" t="s">
        <v>287</v>
      </c>
      <c r="C51" s="14">
        <v>0</v>
      </c>
      <c r="D51" s="14">
        <v>0</v>
      </c>
      <c r="E51" s="14">
        <v>16</v>
      </c>
      <c r="F51" s="14">
        <v>0</v>
      </c>
      <c r="G51" s="14">
        <v>62</v>
      </c>
      <c r="H51" s="14">
        <v>63</v>
      </c>
      <c r="I51" s="14">
        <v>0</v>
      </c>
      <c r="J51" s="14">
        <v>9</v>
      </c>
      <c r="K51" s="14">
        <v>174</v>
      </c>
      <c r="L51" s="14">
        <v>0</v>
      </c>
      <c r="M51" s="14">
        <v>0</v>
      </c>
    </row>
    <row r="52" spans="1:13" x14ac:dyDescent="0.25">
      <c r="A52" s="4" t="s">
        <v>174</v>
      </c>
      <c r="B52" s="4" t="s">
        <v>263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40</v>
      </c>
      <c r="K52" s="14">
        <v>124</v>
      </c>
      <c r="L52" s="14">
        <v>0</v>
      </c>
      <c r="M52" s="14">
        <v>0</v>
      </c>
    </row>
    <row r="53" spans="1:13" x14ac:dyDescent="0.25">
      <c r="A53" s="4" t="s">
        <v>226</v>
      </c>
      <c r="B53" s="4" t="s">
        <v>264</v>
      </c>
      <c r="C53" s="14">
        <v>0</v>
      </c>
      <c r="D53" s="14">
        <v>0</v>
      </c>
      <c r="E53" s="14">
        <v>41</v>
      </c>
      <c r="F53" s="14">
        <v>21</v>
      </c>
      <c r="G53" s="14">
        <v>3</v>
      </c>
      <c r="H53" s="14">
        <v>0</v>
      </c>
      <c r="I53" s="14">
        <v>14</v>
      </c>
      <c r="J53" s="14">
        <v>1</v>
      </c>
      <c r="K53" s="14">
        <v>431</v>
      </c>
      <c r="L53" s="14">
        <v>1</v>
      </c>
      <c r="M53" s="14">
        <v>3</v>
      </c>
    </row>
    <row r="54" spans="1:13" x14ac:dyDescent="0.25">
      <c r="A54" s="4" t="s">
        <v>227</v>
      </c>
      <c r="B54" s="4" t="s">
        <v>288</v>
      </c>
      <c r="C54" s="14">
        <v>0</v>
      </c>
      <c r="D54" s="14">
        <v>0</v>
      </c>
      <c r="E54" s="14">
        <v>67</v>
      </c>
      <c r="F54" s="14">
        <v>0</v>
      </c>
      <c r="G54" s="14">
        <v>0</v>
      </c>
      <c r="H54" s="14">
        <v>14</v>
      </c>
      <c r="I54" s="14">
        <v>0</v>
      </c>
      <c r="J54" s="14">
        <v>18</v>
      </c>
      <c r="K54" s="14">
        <v>194</v>
      </c>
      <c r="L54" s="14">
        <v>0</v>
      </c>
      <c r="M54" s="14">
        <v>1</v>
      </c>
    </row>
    <row r="55" spans="1:13" x14ac:dyDescent="0.25">
      <c r="A55" t="s">
        <v>229</v>
      </c>
      <c r="B55" s="2" t="s">
        <v>265</v>
      </c>
      <c r="C55" s="8">
        <f>SUM(Table17[American Sign Language Total])</f>
        <v>90</v>
      </c>
      <c r="D55" s="8">
        <f>SUM(Table17[Cantonese Total])</f>
        <v>7</v>
      </c>
      <c r="E55" s="8">
        <f>SUM(Table17[French Total])</f>
        <v>771</v>
      </c>
      <c r="F55" s="8">
        <f>SUM(Table17[German Total])</f>
        <v>130</v>
      </c>
      <c r="G55" s="8">
        <f>SUM(Table17[[ Japanese Total]])</f>
        <v>316</v>
      </c>
      <c r="H55" s="8">
        <f>SUM(Table17[Korean Total])</f>
        <v>247</v>
      </c>
      <c r="I55" s="8">
        <f>SUM(Table17[Latin Total])</f>
        <v>52</v>
      </c>
      <c r="J55" s="8">
        <f>SUM(Table17[Mandarin Total])</f>
        <v>729</v>
      </c>
      <c r="K55" s="8">
        <f>SUM(Table17[Spanish Total])</f>
        <v>11187</v>
      </c>
      <c r="L55" s="8">
        <f>SUM(Table17[Vietnamese Total])</f>
        <v>18</v>
      </c>
      <c r="M55" s="8">
        <f>SUM(Table17[Other Total])</f>
        <v>156</v>
      </c>
    </row>
  </sheetData>
  <pageMargins left="0.7" right="0.7" top="0.75" bottom="0.75" header="0.3" footer="0.3"/>
  <pageSetup scale="31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6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25.453125" bestFit="1" customWidth="1"/>
    <col min="2" max="2" width="31.90625" bestFit="1" customWidth="1"/>
    <col min="3" max="3" width="17" customWidth="1"/>
    <col min="4" max="4" width="10.36328125" customWidth="1"/>
    <col min="5" max="5" width="8" customWidth="1"/>
    <col min="6" max="6" width="7.90625" customWidth="1"/>
    <col min="7" max="7" width="9.453125" customWidth="1"/>
    <col min="8" max="8" width="8.1796875" customWidth="1"/>
    <col min="9" max="9" width="7.26953125" customWidth="1"/>
    <col min="10" max="10" width="9.1796875" customWidth="1"/>
    <col min="11" max="11" width="8.26953125" customWidth="1"/>
    <col min="12" max="12" width="11.1796875" customWidth="1"/>
    <col min="13" max="13" width="7.90625" customWidth="1"/>
  </cols>
  <sheetData>
    <row r="1" spans="1:13" ht="21" x14ac:dyDescent="0.4">
      <c r="A1" s="18" t="s">
        <v>554</v>
      </c>
    </row>
    <row r="2" spans="1:13" ht="30" x14ac:dyDescent="0.25">
      <c r="A2" s="3" t="s">
        <v>4</v>
      </c>
      <c r="B2" s="3" t="s">
        <v>5</v>
      </c>
      <c r="C2" s="4" t="s">
        <v>6</v>
      </c>
      <c r="D2" s="4" t="s">
        <v>7</v>
      </c>
      <c r="E2" s="4" t="s">
        <v>8</v>
      </c>
      <c r="F2" s="4" t="s">
        <v>31</v>
      </c>
      <c r="G2" s="4" t="s">
        <v>159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ht="30" x14ac:dyDescent="0.25">
      <c r="A3" s="5" t="s">
        <v>2</v>
      </c>
      <c r="B3" s="1" t="s">
        <v>181</v>
      </c>
      <c r="C3" s="3">
        <v>0</v>
      </c>
      <c r="D3" s="3">
        <v>0</v>
      </c>
      <c r="E3" s="3">
        <v>16</v>
      </c>
      <c r="F3" s="3">
        <v>0</v>
      </c>
      <c r="G3" s="3">
        <v>0</v>
      </c>
      <c r="H3" s="3">
        <v>2</v>
      </c>
      <c r="I3" s="3">
        <v>0</v>
      </c>
      <c r="J3" s="3">
        <v>26</v>
      </c>
      <c r="K3" s="3">
        <v>28</v>
      </c>
      <c r="L3" s="3">
        <v>0</v>
      </c>
      <c r="M3" s="3">
        <v>0</v>
      </c>
    </row>
    <row r="4" spans="1:13" x14ac:dyDescent="0.25">
      <c r="A4" s="6" t="s">
        <v>3</v>
      </c>
      <c r="B4" t="s">
        <v>18</v>
      </c>
      <c r="C4">
        <v>0</v>
      </c>
      <c r="D4">
        <v>0</v>
      </c>
      <c r="E4">
        <v>4</v>
      </c>
      <c r="F4">
        <v>1</v>
      </c>
      <c r="G4">
        <v>0</v>
      </c>
      <c r="H4">
        <v>0</v>
      </c>
      <c r="I4">
        <v>0</v>
      </c>
      <c r="J4">
        <v>15</v>
      </c>
      <c r="K4">
        <v>67</v>
      </c>
      <c r="L4">
        <v>0</v>
      </c>
      <c r="M4">
        <v>0</v>
      </c>
    </row>
    <row r="5" spans="1:13" x14ac:dyDescent="0.25">
      <c r="A5" s="5" t="s">
        <v>19</v>
      </c>
      <c r="B5" t="s">
        <v>17</v>
      </c>
      <c r="C5">
        <v>0</v>
      </c>
      <c r="D5">
        <v>1</v>
      </c>
      <c r="E5">
        <v>22</v>
      </c>
      <c r="F5">
        <v>1</v>
      </c>
      <c r="G5">
        <v>0</v>
      </c>
      <c r="H5">
        <v>0</v>
      </c>
      <c r="I5">
        <v>0</v>
      </c>
      <c r="J5">
        <v>4</v>
      </c>
      <c r="K5">
        <v>79</v>
      </c>
      <c r="L5">
        <v>0</v>
      </c>
      <c r="M5">
        <v>0</v>
      </c>
    </row>
    <row r="6" spans="1:13" x14ac:dyDescent="0.25">
      <c r="A6" s="6" t="s">
        <v>20</v>
      </c>
      <c r="B6" t="s">
        <v>16</v>
      </c>
      <c r="C6">
        <v>10</v>
      </c>
      <c r="D6">
        <v>0</v>
      </c>
      <c r="E6">
        <v>15</v>
      </c>
      <c r="F6">
        <v>10</v>
      </c>
      <c r="G6">
        <v>15</v>
      </c>
      <c r="H6">
        <v>0</v>
      </c>
      <c r="I6">
        <v>0</v>
      </c>
      <c r="J6">
        <v>15</v>
      </c>
      <c r="K6">
        <v>70</v>
      </c>
      <c r="L6">
        <v>0</v>
      </c>
      <c r="M6">
        <v>0</v>
      </c>
    </row>
    <row r="7" spans="1:13" x14ac:dyDescent="0.25">
      <c r="A7" s="5" t="s">
        <v>0</v>
      </c>
      <c r="B7" t="s">
        <v>15</v>
      </c>
      <c r="C7">
        <v>3</v>
      </c>
      <c r="D7">
        <v>0</v>
      </c>
      <c r="E7">
        <v>27</v>
      </c>
      <c r="F7">
        <v>0</v>
      </c>
      <c r="G7">
        <v>0</v>
      </c>
      <c r="H7">
        <v>0</v>
      </c>
      <c r="I7">
        <v>0</v>
      </c>
      <c r="J7">
        <v>22</v>
      </c>
      <c r="K7">
        <v>72</v>
      </c>
      <c r="L7">
        <v>0</v>
      </c>
      <c r="M7">
        <v>0</v>
      </c>
    </row>
    <row r="8" spans="1:13" ht="60" x14ac:dyDescent="0.25">
      <c r="A8" s="6" t="s">
        <v>21</v>
      </c>
      <c r="B8" s="4" t="s">
        <v>266</v>
      </c>
      <c r="C8" s="3">
        <v>0</v>
      </c>
      <c r="D8" s="3">
        <v>0</v>
      </c>
      <c r="E8" s="3">
        <v>91</v>
      </c>
      <c r="F8" s="3">
        <v>0</v>
      </c>
      <c r="G8" s="3">
        <v>24</v>
      </c>
      <c r="H8" s="3">
        <v>2</v>
      </c>
      <c r="I8" s="3">
        <v>0</v>
      </c>
      <c r="J8" s="3">
        <v>270</v>
      </c>
      <c r="K8" s="3">
        <v>295</v>
      </c>
      <c r="L8" s="3">
        <v>0</v>
      </c>
      <c r="M8" s="3">
        <v>12</v>
      </c>
    </row>
    <row r="9" spans="1:13" ht="60" x14ac:dyDescent="0.25">
      <c r="A9" s="3" t="s">
        <v>1</v>
      </c>
      <c r="B9" s="1" t="s">
        <v>267</v>
      </c>
      <c r="C9" s="3">
        <v>0</v>
      </c>
      <c r="D9" s="3">
        <v>0</v>
      </c>
      <c r="E9" s="3">
        <v>21</v>
      </c>
      <c r="F9" s="3">
        <v>0</v>
      </c>
      <c r="G9" s="3">
        <v>16</v>
      </c>
      <c r="H9" s="3">
        <v>0</v>
      </c>
      <c r="I9" s="3">
        <v>0</v>
      </c>
      <c r="J9" s="3">
        <v>2</v>
      </c>
      <c r="K9" s="3">
        <v>228</v>
      </c>
      <c r="L9" s="3">
        <v>0</v>
      </c>
      <c r="M9" s="3">
        <v>0</v>
      </c>
    </row>
    <row r="10" spans="1:13" x14ac:dyDescent="0.25">
      <c r="A10" s="3" t="s">
        <v>22</v>
      </c>
      <c r="B10" t="s">
        <v>178</v>
      </c>
      <c r="C10" s="3">
        <v>0</v>
      </c>
      <c r="D10" s="3">
        <v>0</v>
      </c>
      <c r="E10" s="3">
        <v>23</v>
      </c>
      <c r="F10" s="3">
        <v>0</v>
      </c>
      <c r="G10" s="3">
        <v>1</v>
      </c>
      <c r="H10" s="3">
        <v>0</v>
      </c>
      <c r="I10" s="3">
        <v>3</v>
      </c>
      <c r="J10" s="3">
        <v>3</v>
      </c>
      <c r="K10" s="3">
        <v>105</v>
      </c>
      <c r="L10" s="3">
        <v>0</v>
      </c>
      <c r="M10" s="3">
        <v>1</v>
      </c>
    </row>
    <row r="11" spans="1:13" x14ac:dyDescent="0.25">
      <c r="A11" s="3" t="s">
        <v>23</v>
      </c>
      <c r="B11" t="s">
        <v>28</v>
      </c>
      <c r="C11" s="3">
        <v>0</v>
      </c>
      <c r="D11" s="3">
        <v>0</v>
      </c>
      <c r="E11" s="3">
        <v>0</v>
      </c>
      <c r="F11" s="3">
        <v>0</v>
      </c>
      <c r="G11" s="3">
        <v>1</v>
      </c>
      <c r="H11" s="3">
        <v>0</v>
      </c>
      <c r="I11" s="3">
        <v>0</v>
      </c>
      <c r="J11" s="3">
        <v>25</v>
      </c>
      <c r="K11" s="3">
        <v>29</v>
      </c>
      <c r="L11" s="3">
        <v>0</v>
      </c>
      <c r="M11" s="3">
        <v>0</v>
      </c>
    </row>
    <row r="12" spans="1:13" ht="60" x14ac:dyDescent="0.25">
      <c r="A12" s="3" t="s">
        <v>24</v>
      </c>
      <c r="B12" s="1" t="s">
        <v>179</v>
      </c>
      <c r="C12" s="3">
        <v>0</v>
      </c>
      <c r="D12" s="3">
        <v>5</v>
      </c>
      <c r="E12" s="3">
        <v>0</v>
      </c>
      <c r="F12" s="3">
        <v>0</v>
      </c>
      <c r="G12" s="3">
        <v>1</v>
      </c>
      <c r="H12" s="3">
        <v>0</v>
      </c>
      <c r="I12" s="3">
        <v>0</v>
      </c>
      <c r="J12" s="3">
        <v>0</v>
      </c>
      <c r="K12" s="3">
        <v>120</v>
      </c>
      <c r="L12" s="3">
        <v>0</v>
      </c>
      <c r="M12" s="3">
        <v>0</v>
      </c>
    </row>
    <row r="13" spans="1:13" x14ac:dyDescent="0.25">
      <c r="A13" s="3" t="s">
        <v>25</v>
      </c>
      <c r="B13" t="s">
        <v>29</v>
      </c>
      <c r="C13" s="3">
        <v>0</v>
      </c>
      <c r="D13" s="3">
        <v>0</v>
      </c>
      <c r="E13" s="3">
        <v>10</v>
      </c>
      <c r="F13" s="3">
        <v>0</v>
      </c>
      <c r="G13" s="3">
        <v>0</v>
      </c>
      <c r="H13" s="3">
        <v>0</v>
      </c>
      <c r="I13" s="3">
        <v>0</v>
      </c>
      <c r="J13" s="3">
        <v>9</v>
      </c>
      <c r="K13" s="3">
        <v>17</v>
      </c>
      <c r="L13" s="3">
        <v>0</v>
      </c>
      <c r="M13" s="3">
        <v>0</v>
      </c>
    </row>
    <row r="14" spans="1:13" x14ac:dyDescent="0.25">
      <c r="A14" s="3" t="s">
        <v>26</v>
      </c>
      <c r="B14" s="1" t="s">
        <v>180</v>
      </c>
      <c r="C14" s="3">
        <v>46</v>
      </c>
      <c r="D14" s="3">
        <v>14</v>
      </c>
      <c r="E14" s="3">
        <v>40</v>
      </c>
      <c r="F14" s="3">
        <v>3</v>
      </c>
      <c r="G14" s="3">
        <v>12</v>
      </c>
      <c r="H14" s="3">
        <v>38</v>
      </c>
      <c r="I14" s="3">
        <v>4</v>
      </c>
      <c r="J14" s="3">
        <v>31</v>
      </c>
      <c r="K14" s="3">
        <v>223</v>
      </c>
      <c r="L14" s="3">
        <v>5</v>
      </c>
      <c r="M14" s="3">
        <v>0</v>
      </c>
    </row>
    <row r="15" spans="1:13" ht="30" x14ac:dyDescent="0.25">
      <c r="A15" s="3" t="s">
        <v>27</v>
      </c>
      <c r="B15" s="1" t="s">
        <v>268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1</v>
      </c>
      <c r="K15" s="3">
        <v>19</v>
      </c>
      <c r="L15" s="3">
        <v>0</v>
      </c>
      <c r="M15" s="3">
        <v>1</v>
      </c>
    </row>
    <row r="16" spans="1:13" x14ac:dyDescent="0.25">
      <c r="A16" t="s">
        <v>33</v>
      </c>
      <c r="B16" s="7" t="s">
        <v>30</v>
      </c>
      <c r="C16" s="8">
        <f t="shared" ref="C16:L16" si="0">SUBTOTAL(109,C3:C15)</f>
        <v>59</v>
      </c>
      <c r="D16" s="8">
        <f t="shared" si="0"/>
        <v>20</v>
      </c>
      <c r="E16" s="8">
        <f t="shared" si="0"/>
        <v>269</v>
      </c>
      <c r="F16" s="8">
        <f t="shared" si="0"/>
        <v>15</v>
      </c>
      <c r="G16" s="8">
        <f t="shared" si="0"/>
        <v>70</v>
      </c>
      <c r="H16" s="8">
        <f t="shared" si="0"/>
        <v>42</v>
      </c>
      <c r="I16" s="8">
        <f t="shared" si="0"/>
        <v>7</v>
      </c>
      <c r="J16" s="8">
        <f t="shared" si="0"/>
        <v>423</v>
      </c>
      <c r="K16" s="8">
        <f t="shared" si="0"/>
        <v>1352</v>
      </c>
      <c r="L16" s="8">
        <f t="shared" si="0"/>
        <v>5</v>
      </c>
      <c r="M16" s="8">
        <f>SUBTOTAL(109,Table1[Other Total])</f>
        <v>14</v>
      </c>
    </row>
  </sheetData>
  <sortState xmlns:xlrd2="http://schemas.microsoft.com/office/spreadsheetml/2017/richdata2" ref="A17:N33">
    <sortCondition ref="A2"/>
  </sortState>
  <pageMargins left="0.7" right="0.7" top="0.75" bottom="0.75" header="0.3" footer="0.3"/>
  <pageSetup scale="63" fitToHeight="0" orientation="landscape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M6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22.6328125" bestFit="1" customWidth="1"/>
    <col min="2" max="2" width="28.7265625" bestFit="1" customWidth="1"/>
    <col min="3" max="3" width="17.54296875" customWidth="1"/>
    <col min="4" max="4" width="13.1796875" customWidth="1"/>
    <col min="5" max="5" width="9.6328125" customWidth="1"/>
    <col min="6" max="6" width="10.7265625" customWidth="1"/>
    <col min="7" max="7" width="12.54296875" customWidth="1"/>
    <col min="8" max="8" width="10.26953125" customWidth="1"/>
    <col min="9" max="9" width="8.7265625" customWidth="1"/>
    <col min="10" max="10" width="11.7265625" customWidth="1"/>
    <col min="11" max="11" width="11.26953125" customWidth="1"/>
    <col min="12" max="12" width="13.26953125" customWidth="1"/>
    <col min="13" max="13" width="8.81640625" customWidth="1"/>
  </cols>
  <sheetData>
    <row r="1" spans="1:13" ht="21" x14ac:dyDescent="0.4">
      <c r="A1" s="18" t="s">
        <v>572</v>
      </c>
    </row>
    <row r="2" spans="1:13" ht="30" x14ac:dyDescent="0.25">
      <c r="A2" s="3" t="s">
        <v>4</v>
      </c>
      <c r="B2" s="3" t="s">
        <v>5</v>
      </c>
      <c r="C2" s="1" t="s">
        <v>6</v>
      </c>
      <c r="D2" s="1" t="s">
        <v>7</v>
      </c>
      <c r="E2" s="1" t="s">
        <v>8</v>
      </c>
      <c r="F2" s="1" t="s">
        <v>31</v>
      </c>
      <c r="G2" s="1" t="s">
        <v>32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</row>
    <row r="3" spans="1:13" x14ac:dyDescent="0.25">
      <c r="A3" t="s">
        <v>289</v>
      </c>
      <c r="B3" t="s">
        <v>289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14</v>
      </c>
      <c r="L3">
        <v>0</v>
      </c>
      <c r="M3">
        <v>0</v>
      </c>
    </row>
    <row r="4" spans="1:13" x14ac:dyDescent="0.25">
      <c r="A4" t="s">
        <v>290</v>
      </c>
      <c r="B4" t="s">
        <v>293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33</v>
      </c>
      <c r="L4">
        <v>0</v>
      </c>
      <c r="M4">
        <v>0</v>
      </c>
    </row>
    <row r="5" spans="1:13" x14ac:dyDescent="0.25">
      <c r="A5" t="s">
        <v>292</v>
      </c>
      <c r="B5" t="s">
        <v>295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29</v>
      </c>
      <c r="L5">
        <v>0</v>
      </c>
      <c r="M5">
        <v>0</v>
      </c>
    </row>
    <row r="6" spans="1:13" x14ac:dyDescent="0.25">
      <c r="A6" t="s">
        <v>296</v>
      </c>
      <c r="B6" s="2" t="s">
        <v>155</v>
      </c>
      <c r="C6">
        <f>SUM(Table18[American Sign Language Total])</f>
        <v>0</v>
      </c>
      <c r="D6">
        <f>SUM(Table18[Cantonese Total])</f>
        <v>0</v>
      </c>
      <c r="E6">
        <f>SUM(Table18[French Total])</f>
        <v>0</v>
      </c>
      <c r="F6">
        <f>SUM(Table18[German Total])</f>
        <v>0</v>
      </c>
      <c r="G6">
        <f>SUM(Table18[[ Japanese Total]])</f>
        <v>0</v>
      </c>
      <c r="H6">
        <f>SUM(Table18[Korean Total])</f>
        <v>0</v>
      </c>
      <c r="I6">
        <f>SUM(Table18[Latin Total])</f>
        <v>0</v>
      </c>
      <c r="J6">
        <f>SUM(Table18[Mandarin Total])</f>
        <v>0</v>
      </c>
      <c r="K6">
        <f>SUM(Table18[Spanish Total])</f>
        <v>76</v>
      </c>
      <c r="L6">
        <f>SUM(Table18[Vietnamese Total])</f>
        <v>0</v>
      </c>
      <c r="M6">
        <f>SUM(Table18[Other Total])</f>
        <v>0</v>
      </c>
    </row>
  </sheetData>
  <sortState xmlns:xlrd2="http://schemas.microsoft.com/office/spreadsheetml/2017/richdata2" ref="A2:A6">
    <sortCondition ref="A2"/>
  </sortState>
  <pageMargins left="0.7" right="0.7" top="0.75" bottom="0.75" header="0.3" footer="0.3"/>
  <pageSetup scale="57" fitToHeight="0" orientation="landscape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M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9.453125" customWidth="1"/>
    <col min="2" max="2" width="29" customWidth="1"/>
    <col min="3" max="3" width="17.26953125" customWidth="1"/>
    <col min="4" max="4" width="12.54296875" customWidth="1"/>
    <col min="5" max="5" width="9.7265625" customWidth="1"/>
    <col min="6" max="6" width="10.6328125" customWidth="1"/>
    <col min="7" max="7" width="12.26953125" customWidth="1"/>
    <col min="8" max="8" width="9.90625" customWidth="1"/>
    <col min="9" max="9" width="8.26953125" customWidth="1"/>
    <col min="10" max="10" width="11.6328125" customWidth="1"/>
    <col min="11" max="11" width="10.6328125" customWidth="1"/>
    <col min="12" max="12" width="13.7265625" customWidth="1"/>
    <col min="13" max="13" width="9.1796875" customWidth="1"/>
  </cols>
  <sheetData>
    <row r="1" spans="1:13" ht="21" x14ac:dyDescent="0.4">
      <c r="A1" s="18" t="s">
        <v>573</v>
      </c>
    </row>
    <row r="2" spans="1:13" ht="30" x14ac:dyDescent="0.25">
      <c r="A2" s="3" t="s">
        <v>4</v>
      </c>
      <c r="B2" s="3" t="s">
        <v>5</v>
      </c>
      <c r="C2" s="1" t="s">
        <v>6</v>
      </c>
      <c r="D2" s="1" t="s">
        <v>7</v>
      </c>
      <c r="E2" s="1" t="s">
        <v>8</v>
      </c>
      <c r="F2" s="1" t="s">
        <v>31</v>
      </c>
      <c r="G2" s="1" t="s">
        <v>32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</row>
    <row r="3" spans="1:13" x14ac:dyDescent="0.25">
      <c r="A3" t="s">
        <v>301</v>
      </c>
      <c r="B3" t="s">
        <v>299</v>
      </c>
      <c r="C3">
        <v>0</v>
      </c>
      <c r="D3">
        <v>0</v>
      </c>
      <c r="E3">
        <v>10</v>
      </c>
      <c r="F3">
        <v>0</v>
      </c>
      <c r="G3">
        <v>0</v>
      </c>
      <c r="H3">
        <v>0</v>
      </c>
      <c r="I3">
        <v>0</v>
      </c>
      <c r="J3">
        <v>0</v>
      </c>
      <c r="K3">
        <v>54</v>
      </c>
      <c r="L3">
        <v>0</v>
      </c>
      <c r="M3">
        <v>0</v>
      </c>
    </row>
    <row r="4" spans="1:13" x14ac:dyDescent="0.25">
      <c r="A4" t="s">
        <v>297</v>
      </c>
      <c r="B4" t="s">
        <v>298</v>
      </c>
      <c r="C4">
        <v>0</v>
      </c>
      <c r="D4">
        <v>0</v>
      </c>
      <c r="E4">
        <v>19</v>
      </c>
      <c r="F4">
        <v>1</v>
      </c>
      <c r="G4">
        <v>0</v>
      </c>
      <c r="H4">
        <v>0</v>
      </c>
      <c r="I4">
        <v>0</v>
      </c>
      <c r="J4">
        <v>0</v>
      </c>
      <c r="K4">
        <v>84</v>
      </c>
      <c r="L4">
        <v>0</v>
      </c>
      <c r="M4">
        <v>0</v>
      </c>
    </row>
    <row r="5" spans="1:13" x14ac:dyDescent="0.25">
      <c r="A5" s="12" t="s">
        <v>291</v>
      </c>
      <c r="B5" s="13" t="s">
        <v>294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6</v>
      </c>
      <c r="L5" s="13">
        <v>0</v>
      </c>
      <c r="M5" s="13">
        <v>0</v>
      </c>
    </row>
    <row r="6" spans="1:13" ht="45" x14ac:dyDescent="0.25">
      <c r="A6" s="3" t="s">
        <v>302</v>
      </c>
      <c r="B6" s="4" t="s">
        <v>609</v>
      </c>
      <c r="C6" s="3">
        <v>0</v>
      </c>
      <c r="D6" s="3">
        <v>0</v>
      </c>
      <c r="E6" s="3">
        <v>49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360</v>
      </c>
      <c r="L6" s="3">
        <v>0</v>
      </c>
      <c r="M6" s="3">
        <v>0</v>
      </c>
    </row>
    <row r="7" spans="1:13" x14ac:dyDescent="0.25">
      <c r="A7" t="s">
        <v>300</v>
      </c>
      <c r="B7" s="2" t="s">
        <v>303</v>
      </c>
      <c r="C7">
        <f>SUM(Table19[American Sign Language Total])</f>
        <v>0</v>
      </c>
      <c r="D7">
        <f>SUM(Table19[Cantonese Total])</f>
        <v>0</v>
      </c>
      <c r="E7">
        <f>SUM(Table19[French Total])</f>
        <v>78</v>
      </c>
      <c r="F7">
        <f>SUM(Table19[German Total])</f>
        <v>1</v>
      </c>
      <c r="G7">
        <f>SUM(Table19[[ Japanese Total]])</f>
        <v>0</v>
      </c>
      <c r="H7">
        <f>SUM(Table19[Korean Total])</f>
        <v>0</v>
      </c>
      <c r="I7">
        <f>SUM(Table19[Latin Total])</f>
        <v>0</v>
      </c>
      <c r="J7">
        <f>SUM(Table19[Mandarin Total])</f>
        <v>0</v>
      </c>
      <c r="K7">
        <f>SUM(Table19[Spanish Total])</f>
        <v>504</v>
      </c>
      <c r="L7">
        <f>SUM(Table19[Vietnamese Total])</f>
        <v>0</v>
      </c>
      <c r="M7">
        <f>SUM(Table19[Other Total])</f>
        <v>0</v>
      </c>
    </row>
  </sheetData>
  <pageMargins left="0.7" right="0.7" top="0.75" bottom="0.75" header="0.3" footer="0.3"/>
  <pageSetup scale="58" fitToHeight="0" orientation="landscape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M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24" bestFit="1" customWidth="1"/>
    <col min="2" max="2" width="31.26953125" customWidth="1"/>
    <col min="3" max="3" width="16.7265625" customWidth="1"/>
    <col min="4" max="4" width="12.26953125" customWidth="1"/>
    <col min="5" max="5" width="9.7265625" customWidth="1"/>
    <col min="6" max="6" width="10.26953125" customWidth="1"/>
    <col min="7" max="7" width="12.1796875" customWidth="1"/>
    <col min="8" max="8" width="10.26953125" customWidth="1"/>
    <col min="9" max="9" width="8.54296875" customWidth="1"/>
    <col min="10" max="10" width="11.54296875" customWidth="1"/>
    <col min="11" max="11" width="10.90625" customWidth="1"/>
    <col min="12" max="12" width="13.453125" customWidth="1"/>
    <col min="13" max="13" width="8.81640625" customWidth="1"/>
  </cols>
  <sheetData>
    <row r="1" spans="1:13" s="18" customFormat="1" ht="21" x14ac:dyDescent="0.4">
      <c r="A1" s="18" t="s">
        <v>574</v>
      </c>
    </row>
    <row r="2" spans="1:13" ht="30" x14ac:dyDescent="0.25">
      <c r="A2" s="3" t="s">
        <v>4</v>
      </c>
      <c r="B2" s="3" t="s">
        <v>5</v>
      </c>
      <c r="C2" s="4" t="s">
        <v>6</v>
      </c>
      <c r="D2" s="4" t="s">
        <v>7</v>
      </c>
      <c r="E2" s="4" t="s">
        <v>8</v>
      </c>
      <c r="F2" s="4" t="s">
        <v>31</v>
      </c>
      <c r="G2" s="4" t="s">
        <v>32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25">
      <c r="A3" t="s">
        <v>304</v>
      </c>
      <c r="B3" t="s">
        <v>305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6</v>
      </c>
      <c r="L3">
        <v>0</v>
      </c>
      <c r="M3">
        <v>0</v>
      </c>
    </row>
    <row r="4" spans="1:13" x14ac:dyDescent="0.25">
      <c r="A4" t="s">
        <v>309</v>
      </c>
      <c r="B4" t="s">
        <v>307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19</v>
      </c>
      <c r="L4">
        <v>0</v>
      </c>
      <c r="M4">
        <v>0</v>
      </c>
    </row>
    <row r="5" spans="1:13" x14ac:dyDescent="0.25">
      <c r="A5" t="s">
        <v>310</v>
      </c>
      <c r="B5" t="s">
        <v>308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6</v>
      </c>
      <c r="L5">
        <v>0</v>
      </c>
      <c r="M5">
        <v>0</v>
      </c>
    </row>
    <row r="6" spans="1:13" ht="30" x14ac:dyDescent="0.25">
      <c r="A6" s="3" t="s">
        <v>311</v>
      </c>
      <c r="B6" s="4" t="s">
        <v>306</v>
      </c>
      <c r="C6" s="3">
        <v>0</v>
      </c>
      <c r="D6" s="3">
        <v>0</v>
      </c>
      <c r="E6" s="3">
        <v>4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75</v>
      </c>
      <c r="L6" s="3">
        <v>0</v>
      </c>
      <c r="M6" s="3">
        <v>0</v>
      </c>
    </row>
    <row r="7" spans="1:13" x14ac:dyDescent="0.25">
      <c r="A7" t="s">
        <v>312</v>
      </c>
      <c r="B7" s="2" t="s">
        <v>79</v>
      </c>
      <c r="C7">
        <f>SUM(Table20[American Sign Language Total])</f>
        <v>0</v>
      </c>
      <c r="D7">
        <f>SUM(Table20[Cantonese Total])</f>
        <v>0</v>
      </c>
      <c r="E7">
        <f>SUM(Table20[French Total])</f>
        <v>4</v>
      </c>
      <c r="F7">
        <f>SUM(Table20[German Total])</f>
        <v>0</v>
      </c>
      <c r="G7">
        <f>SUM(Table20[[ Japanese Total]])</f>
        <v>0</v>
      </c>
      <c r="H7">
        <f>SUM(Table20[Korean Total])</f>
        <v>0</v>
      </c>
      <c r="I7">
        <f>SUM(Table20[Latin Total])</f>
        <v>0</v>
      </c>
      <c r="J7">
        <f>SUM(Table20[Mandarin Total])</f>
        <v>0</v>
      </c>
      <c r="K7">
        <f>SUM(Table20[Spanish Total])</f>
        <v>106</v>
      </c>
      <c r="L7">
        <f>SUM(Table20[Vietnamese Total])</f>
        <v>0</v>
      </c>
      <c r="M7">
        <f>SUM(Table20[Other Total])</f>
        <v>0</v>
      </c>
    </row>
  </sheetData>
  <sortState xmlns:xlrd2="http://schemas.microsoft.com/office/spreadsheetml/2017/richdata2" ref="A2:A5">
    <sortCondition ref="A2"/>
  </sortState>
  <pageMargins left="0.7" right="0.7" top="0.75" bottom="0.75" header="0.3" footer="0.3"/>
  <pageSetup scale="57" fitToHeight="0" orientation="landscape"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M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22" bestFit="1" customWidth="1"/>
    <col min="2" max="2" width="22.453125" bestFit="1" customWidth="1"/>
    <col min="3" max="3" width="17.36328125" customWidth="1"/>
    <col min="4" max="4" width="12.26953125" customWidth="1"/>
    <col min="5" max="5" width="9.90625" customWidth="1"/>
    <col min="6" max="6" width="10.08984375" customWidth="1"/>
    <col min="7" max="7" width="12.26953125" customWidth="1"/>
    <col min="8" max="8" width="9.90625" customWidth="1"/>
    <col min="9" max="9" width="8.81640625" customWidth="1"/>
    <col min="10" max="10" width="11.81640625" customWidth="1"/>
    <col min="11" max="11" width="10.7265625" customWidth="1"/>
    <col min="12" max="12" width="13.7265625" customWidth="1"/>
    <col min="13" max="13" width="8.7265625" customWidth="1"/>
  </cols>
  <sheetData>
    <row r="1" spans="1:13" ht="21" x14ac:dyDescent="0.4">
      <c r="A1" s="18" t="s">
        <v>575</v>
      </c>
    </row>
    <row r="2" spans="1:13" ht="30" x14ac:dyDescent="0.25">
      <c r="A2" s="3" t="s">
        <v>4</v>
      </c>
      <c r="B2" s="3" t="s">
        <v>5</v>
      </c>
      <c r="C2" s="4" t="s">
        <v>6</v>
      </c>
      <c r="D2" s="4" t="s">
        <v>7</v>
      </c>
      <c r="E2" s="4" t="s">
        <v>8</v>
      </c>
      <c r="F2" s="4" t="s">
        <v>31</v>
      </c>
      <c r="G2" s="4" t="s">
        <v>32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25">
      <c r="A3" t="s">
        <v>316</v>
      </c>
      <c r="B3" t="s">
        <v>313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14</v>
      </c>
      <c r="L3">
        <v>0</v>
      </c>
      <c r="M3">
        <v>2</v>
      </c>
    </row>
    <row r="4" spans="1:13" x14ac:dyDescent="0.25">
      <c r="A4" t="s">
        <v>317</v>
      </c>
      <c r="B4" t="s">
        <v>314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31</v>
      </c>
      <c r="L4">
        <v>0</v>
      </c>
      <c r="M4">
        <v>0</v>
      </c>
    </row>
    <row r="5" spans="1:13" x14ac:dyDescent="0.25">
      <c r="A5" t="s">
        <v>315</v>
      </c>
      <c r="B5" s="2" t="s">
        <v>34</v>
      </c>
      <c r="C5">
        <f>SUM(Table21[American Sign Language Total])</f>
        <v>0</v>
      </c>
      <c r="D5">
        <f>SUM(Table21[Cantonese Total])</f>
        <v>0</v>
      </c>
      <c r="E5">
        <f>SUM(Table21[French Total])</f>
        <v>0</v>
      </c>
      <c r="F5">
        <f>SUM(Table21[German Total])</f>
        <v>0</v>
      </c>
      <c r="G5">
        <f>SUM(Table21[[ Japanese Total]])</f>
        <v>0</v>
      </c>
      <c r="H5">
        <f>SUM(Table21[Korean Total])</f>
        <v>0</v>
      </c>
      <c r="I5">
        <f>SUM(Table21[Latin Total])</f>
        <v>0</v>
      </c>
      <c r="J5">
        <f>SUM(Table21[Mandarin Total])</f>
        <v>0</v>
      </c>
      <c r="K5">
        <f>SUM(Table21[Spanish Total])</f>
        <v>45</v>
      </c>
      <c r="L5">
        <f>SUM(Table21[Vietnamese Total])</f>
        <v>0</v>
      </c>
      <c r="M5">
        <f>SUM(Table21[Other Total])</f>
        <v>2</v>
      </c>
    </row>
  </sheetData>
  <pageMargins left="0.7" right="0.7" top="0.75" bottom="0.75" header="0.3" footer="0.3"/>
  <pageSetup scale="60" fitToHeight="0" orientation="landscape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M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24.26953125" bestFit="1" customWidth="1"/>
    <col min="2" max="2" width="22.26953125" bestFit="1" customWidth="1"/>
    <col min="3" max="3" width="17.54296875" customWidth="1"/>
    <col min="4" max="4" width="12.90625" customWidth="1"/>
    <col min="5" max="5" width="9.7265625" customWidth="1"/>
    <col min="6" max="6" width="10.7265625" customWidth="1"/>
    <col min="7" max="7" width="12.54296875" customWidth="1"/>
    <col min="8" max="8" width="10.1796875" customWidth="1"/>
    <col min="9" max="9" width="8.7265625" customWidth="1"/>
    <col min="10" max="10" width="11.36328125" customWidth="1"/>
    <col min="11" max="11" width="10.6328125" customWidth="1"/>
    <col min="12" max="12" width="13.6328125" customWidth="1"/>
    <col min="13" max="13" width="9.1796875" customWidth="1"/>
  </cols>
  <sheetData>
    <row r="1" spans="1:13" ht="21" x14ac:dyDescent="0.4">
      <c r="A1" s="18" t="s">
        <v>576</v>
      </c>
    </row>
    <row r="2" spans="1:13" ht="30" x14ac:dyDescent="0.25">
      <c r="A2" s="3" t="s">
        <v>4</v>
      </c>
      <c r="B2" s="3" t="s">
        <v>5</v>
      </c>
      <c r="C2" s="4" t="s">
        <v>6</v>
      </c>
      <c r="D2" s="4" t="s">
        <v>7</v>
      </c>
      <c r="E2" s="4" t="s">
        <v>8</v>
      </c>
      <c r="F2" s="4" t="s">
        <v>31</v>
      </c>
      <c r="G2" s="4" t="s">
        <v>32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25">
      <c r="A3" t="s">
        <v>318</v>
      </c>
      <c r="B3" t="s">
        <v>320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1</v>
      </c>
      <c r="L3">
        <v>0</v>
      </c>
      <c r="M3">
        <v>0</v>
      </c>
    </row>
    <row r="4" spans="1:13" x14ac:dyDescent="0.25">
      <c r="A4" t="s">
        <v>319</v>
      </c>
      <c r="B4" t="s">
        <v>321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1</v>
      </c>
      <c r="L4">
        <v>0</v>
      </c>
      <c r="M4">
        <v>0</v>
      </c>
    </row>
    <row r="5" spans="1:13" x14ac:dyDescent="0.25">
      <c r="A5" t="s">
        <v>322</v>
      </c>
      <c r="B5" s="2" t="s">
        <v>34</v>
      </c>
      <c r="C5">
        <f>SUM(Table22[American Sign Language Total])</f>
        <v>0</v>
      </c>
      <c r="D5">
        <f>SUM(Table22[Cantonese Total])</f>
        <v>0</v>
      </c>
      <c r="E5">
        <f>SUM(Table22[French Total])</f>
        <v>0</v>
      </c>
      <c r="F5">
        <f>SUM(Table22[German Total])</f>
        <v>0</v>
      </c>
      <c r="G5">
        <f>SUM(Table22[[ Japanese Total]])</f>
        <v>0</v>
      </c>
      <c r="H5">
        <f>SUM(Table22[Korean Total])</f>
        <v>0</v>
      </c>
      <c r="I5">
        <f>SUM(Table22[Latin Total])</f>
        <v>0</v>
      </c>
      <c r="J5">
        <f>SUM(Table22[Mandarin Total])</f>
        <v>0</v>
      </c>
      <c r="K5">
        <f>SUM(Table22[Spanish Total])</f>
        <v>2</v>
      </c>
      <c r="L5">
        <f>SUM(Table22[Vietnamese Total])</f>
        <v>0</v>
      </c>
      <c r="M5">
        <f>SUM(Table22[Other Total])</f>
        <v>0</v>
      </c>
    </row>
  </sheetData>
  <pageMargins left="0.7" right="0.7" top="0.75" bottom="0.75" header="0.3" footer="0.3"/>
  <pageSetup scale="59" fitToHeight="0" orientation="landscape"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M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22.6328125" bestFit="1" customWidth="1"/>
    <col min="2" max="2" width="14.54296875" customWidth="1"/>
    <col min="3" max="3" width="17.54296875" customWidth="1"/>
    <col min="4" max="4" width="13" customWidth="1"/>
    <col min="5" max="5" width="10" customWidth="1"/>
    <col min="6" max="6" width="10.7265625" customWidth="1"/>
    <col min="7" max="7" width="12.26953125" customWidth="1"/>
    <col min="8" max="8" width="10.26953125" customWidth="1"/>
    <col min="9" max="9" width="8.453125" customWidth="1"/>
    <col min="10" max="10" width="11.7265625" customWidth="1"/>
    <col min="11" max="11" width="10.7265625" customWidth="1"/>
    <col min="12" max="12" width="13.36328125" customWidth="1"/>
    <col min="13" max="13" width="9.08984375" customWidth="1"/>
  </cols>
  <sheetData>
    <row r="1" spans="1:13" ht="21" x14ac:dyDescent="0.4">
      <c r="A1" s="18" t="s">
        <v>577</v>
      </c>
    </row>
    <row r="2" spans="1:13" ht="30" x14ac:dyDescent="0.25">
      <c r="A2" s="3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31</v>
      </c>
      <c r="G2" s="4" t="s">
        <v>32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25">
      <c r="A3" t="s">
        <v>324</v>
      </c>
      <c r="B3" t="s">
        <v>323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23</v>
      </c>
      <c r="L3">
        <v>0</v>
      </c>
      <c r="M3">
        <v>1</v>
      </c>
    </row>
    <row r="4" spans="1:13" x14ac:dyDescent="0.25">
      <c r="A4" t="s">
        <v>325</v>
      </c>
      <c r="B4" s="2" t="s">
        <v>52</v>
      </c>
      <c r="C4">
        <f>SUM(Table23[American Sign Language Total])</f>
        <v>0</v>
      </c>
      <c r="D4">
        <f>SUM(Table23[Cantonese Total])</f>
        <v>0</v>
      </c>
      <c r="E4">
        <f>SUM(Table23[French Total])</f>
        <v>0</v>
      </c>
      <c r="F4">
        <f>SUM(Table23[German Total])</f>
        <v>0</v>
      </c>
      <c r="G4">
        <f>SUM(Table23[[ Japanese Total]])</f>
        <v>0</v>
      </c>
      <c r="H4">
        <f>SUM(Table23[Korean Total])</f>
        <v>0</v>
      </c>
      <c r="I4">
        <f>SUM(Table23[Latin Total])</f>
        <v>0</v>
      </c>
      <c r="J4">
        <f>SUM(Table23[Mandarin Total])</f>
        <v>0</v>
      </c>
      <c r="K4">
        <f>SUM(Table23[Spanish Total])</f>
        <v>23</v>
      </c>
      <c r="L4">
        <f>SUM(Table23[Vietnamese Total])</f>
        <v>0</v>
      </c>
      <c r="M4">
        <f>SUM(Table23[Other Total])</f>
        <v>1</v>
      </c>
    </row>
  </sheetData>
  <pageMargins left="0.7" right="0.7" top="0.75" bottom="0.75" header="0.3" footer="0.3"/>
  <pageSetup scale="62" fitToHeight="0" orientation="landscape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M10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35.08984375" bestFit="1" customWidth="1"/>
    <col min="2" max="2" width="27" customWidth="1"/>
    <col min="3" max="3" width="17" customWidth="1"/>
    <col min="4" max="4" width="12.6328125" customWidth="1"/>
    <col min="5" max="5" width="9.90625" customWidth="1"/>
    <col min="6" max="6" width="10.453125" customWidth="1"/>
    <col min="7" max="7" width="12.54296875" customWidth="1"/>
    <col min="8" max="8" width="9.81640625" customWidth="1"/>
    <col min="9" max="9" width="8.54296875" customWidth="1"/>
    <col min="10" max="10" width="12.08984375" customWidth="1"/>
    <col min="11" max="11" width="10.90625" customWidth="1"/>
    <col min="12" max="12" width="13.7265625" customWidth="1"/>
    <col min="13" max="13" width="8.7265625" customWidth="1"/>
  </cols>
  <sheetData>
    <row r="1" spans="1:13" ht="21" x14ac:dyDescent="0.4">
      <c r="A1" s="18" t="s">
        <v>578</v>
      </c>
    </row>
    <row r="2" spans="1:13" ht="30" x14ac:dyDescent="0.25">
      <c r="A2" s="3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31</v>
      </c>
      <c r="G2" s="4" t="s">
        <v>32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25">
      <c r="A3" t="s">
        <v>333</v>
      </c>
      <c r="B3" t="s">
        <v>341</v>
      </c>
      <c r="C3">
        <v>1</v>
      </c>
      <c r="D3">
        <v>0</v>
      </c>
      <c r="E3">
        <v>24</v>
      </c>
      <c r="F3">
        <v>0</v>
      </c>
      <c r="G3">
        <v>0</v>
      </c>
      <c r="H3">
        <v>0</v>
      </c>
      <c r="I3">
        <v>0</v>
      </c>
      <c r="J3">
        <v>14</v>
      </c>
      <c r="K3">
        <v>23</v>
      </c>
      <c r="L3">
        <v>0</v>
      </c>
      <c r="M3">
        <v>0</v>
      </c>
    </row>
    <row r="4" spans="1:13" ht="30" x14ac:dyDescent="0.25">
      <c r="A4" s="3" t="s">
        <v>334</v>
      </c>
      <c r="B4" s="4" t="s">
        <v>327</v>
      </c>
      <c r="C4" s="3">
        <v>0</v>
      </c>
      <c r="D4" s="3">
        <v>0</v>
      </c>
      <c r="E4" s="3">
        <v>3</v>
      </c>
      <c r="F4" s="3">
        <v>0</v>
      </c>
      <c r="G4" s="3">
        <v>0</v>
      </c>
      <c r="H4" s="3">
        <v>1</v>
      </c>
      <c r="I4" s="3">
        <v>0</v>
      </c>
      <c r="J4" s="3">
        <v>0</v>
      </c>
      <c r="K4" s="3">
        <v>92</v>
      </c>
      <c r="L4" s="3">
        <v>0</v>
      </c>
      <c r="M4" s="3">
        <v>0</v>
      </c>
    </row>
    <row r="5" spans="1:13" x14ac:dyDescent="0.25">
      <c r="A5" t="s">
        <v>335</v>
      </c>
      <c r="B5" t="s">
        <v>328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35</v>
      </c>
      <c r="L5">
        <v>0</v>
      </c>
      <c r="M5">
        <v>0</v>
      </c>
    </row>
    <row r="6" spans="1:13" x14ac:dyDescent="0.25">
      <c r="A6" t="s">
        <v>336</v>
      </c>
      <c r="B6" t="s">
        <v>329</v>
      </c>
      <c r="C6">
        <v>0</v>
      </c>
      <c r="D6">
        <v>0</v>
      </c>
      <c r="E6">
        <v>1</v>
      </c>
      <c r="F6">
        <v>0</v>
      </c>
      <c r="G6">
        <v>0</v>
      </c>
      <c r="H6">
        <v>0</v>
      </c>
      <c r="I6">
        <v>0</v>
      </c>
      <c r="J6">
        <v>0</v>
      </c>
      <c r="K6">
        <v>8</v>
      </c>
      <c r="L6">
        <v>0</v>
      </c>
      <c r="M6">
        <v>0</v>
      </c>
    </row>
    <row r="7" spans="1:13" ht="30" x14ac:dyDescent="0.25">
      <c r="A7" s="3" t="s">
        <v>337</v>
      </c>
      <c r="B7" s="4" t="s">
        <v>326</v>
      </c>
      <c r="C7" s="3">
        <v>0</v>
      </c>
      <c r="D7" s="3">
        <v>0</v>
      </c>
      <c r="E7" s="3">
        <v>3</v>
      </c>
      <c r="F7" s="3">
        <v>0</v>
      </c>
      <c r="G7" s="3">
        <v>24</v>
      </c>
      <c r="H7" s="3">
        <v>0</v>
      </c>
      <c r="I7" s="3">
        <v>0</v>
      </c>
      <c r="J7" s="3">
        <v>0</v>
      </c>
      <c r="K7" s="3">
        <v>282</v>
      </c>
      <c r="L7" s="3">
        <v>0</v>
      </c>
      <c r="M7" s="3">
        <v>0</v>
      </c>
    </row>
    <row r="8" spans="1:13" x14ac:dyDescent="0.25">
      <c r="A8" t="s">
        <v>338</v>
      </c>
      <c r="B8" t="s">
        <v>330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24</v>
      </c>
      <c r="L8">
        <v>0</v>
      </c>
      <c r="M8">
        <v>0</v>
      </c>
    </row>
    <row r="9" spans="1:13" x14ac:dyDescent="0.25">
      <c r="A9" t="s">
        <v>331</v>
      </c>
      <c r="B9" t="s">
        <v>332</v>
      </c>
      <c r="C9">
        <v>0</v>
      </c>
      <c r="D9">
        <v>0</v>
      </c>
      <c r="E9">
        <v>21</v>
      </c>
      <c r="F9">
        <v>0</v>
      </c>
      <c r="G9">
        <v>0</v>
      </c>
      <c r="H9">
        <v>0</v>
      </c>
      <c r="I9">
        <v>0</v>
      </c>
      <c r="J9">
        <v>0</v>
      </c>
      <c r="K9">
        <v>84</v>
      </c>
      <c r="L9">
        <v>0</v>
      </c>
      <c r="M9">
        <v>0</v>
      </c>
    </row>
    <row r="10" spans="1:13" x14ac:dyDescent="0.25">
      <c r="A10" t="s">
        <v>339</v>
      </c>
      <c r="B10" s="2" t="s">
        <v>340</v>
      </c>
      <c r="C10">
        <f>SUM(Table24[American Sign Language Total])</f>
        <v>1</v>
      </c>
      <c r="D10">
        <f>SUM(Table24[Cantonese Total])</f>
        <v>0</v>
      </c>
      <c r="E10">
        <f>SUM(Table24[French Total])</f>
        <v>52</v>
      </c>
      <c r="F10">
        <f>SUM(Table24[German Total])</f>
        <v>0</v>
      </c>
      <c r="G10">
        <f>SUM(Table24[[ Japanese Total]])</f>
        <v>24</v>
      </c>
      <c r="H10">
        <f>SUM(Table24[Korean Total])</f>
        <v>1</v>
      </c>
      <c r="I10">
        <f>SUM(Table24[Latin Total])</f>
        <v>0</v>
      </c>
      <c r="J10">
        <f>SUM(Table24[Mandarin Total])</f>
        <v>14</v>
      </c>
      <c r="K10">
        <f>SUM(Table24[Spanish Total])</f>
        <v>548</v>
      </c>
      <c r="L10">
        <f>SUM(Table24[Vietnamese Total])</f>
        <v>0</v>
      </c>
      <c r="M10">
        <f>SUM(Table24[Other Total])</f>
        <v>0</v>
      </c>
    </row>
  </sheetData>
  <sortState xmlns:xlrd2="http://schemas.microsoft.com/office/spreadsheetml/2017/richdata2" ref="A2:A10">
    <sortCondition ref="A2"/>
  </sortState>
  <pageMargins left="0.7" right="0.7" top="0.75" bottom="0.75" header="0.3" footer="0.3"/>
  <pageSetup scale="54" fitToHeight="0" orientation="landscape" r:id="rId1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M6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22.6328125" bestFit="1" customWidth="1"/>
    <col min="2" max="2" width="24.453125" customWidth="1"/>
    <col min="3" max="3" width="17.90625" customWidth="1"/>
    <col min="4" max="4" width="12.81640625" customWidth="1"/>
    <col min="5" max="5" width="9.7265625" customWidth="1"/>
    <col min="6" max="6" width="11" customWidth="1"/>
    <col min="7" max="7" width="12.26953125" customWidth="1"/>
    <col min="8" max="8" width="10.6328125" customWidth="1"/>
    <col min="9" max="9" width="9" customWidth="1"/>
    <col min="10" max="10" width="11.81640625" customWidth="1"/>
    <col min="11" max="11" width="10.90625" customWidth="1"/>
    <col min="12" max="12" width="13.7265625" customWidth="1"/>
    <col min="13" max="13" width="9.26953125" customWidth="1"/>
  </cols>
  <sheetData>
    <row r="1" spans="1:13" ht="21" x14ac:dyDescent="0.4">
      <c r="A1" s="18" t="s">
        <v>579</v>
      </c>
    </row>
    <row r="2" spans="1:13" ht="30" x14ac:dyDescent="0.25">
      <c r="A2" s="3" t="s">
        <v>4</v>
      </c>
      <c r="B2" s="3" t="s">
        <v>5</v>
      </c>
      <c r="C2" s="4" t="s">
        <v>6</v>
      </c>
      <c r="D2" s="4" t="s">
        <v>7</v>
      </c>
      <c r="E2" s="4" t="s">
        <v>8</v>
      </c>
      <c r="F2" s="4" t="s">
        <v>31</v>
      </c>
      <c r="G2" s="4" t="s">
        <v>32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25">
      <c r="A3" t="s">
        <v>343</v>
      </c>
      <c r="B3" t="s">
        <v>346</v>
      </c>
      <c r="C3">
        <v>0</v>
      </c>
      <c r="D3">
        <v>0</v>
      </c>
      <c r="E3">
        <v>3</v>
      </c>
      <c r="F3">
        <v>0</v>
      </c>
      <c r="G3">
        <v>0</v>
      </c>
      <c r="H3">
        <v>0</v>
      </c>
      <c r="I3">
        <v>0</v>
      </c>
      <c r="J3">
        <v>0</v>
      </c>
      <c r="K3">
        <v>38</v>
      </c>
      <c r="L3">
        <v>0</v>
      </c>
      <c r="M3">
        <v>0</v>
      </c>
    </row>
    <row r="4" spans="1:13" ht="60" x14ac:dyDescent="0.25">
      <c r="A4" s="3" t="s">
        <v>344</v>
      </c>
      <c r="B4" s="4" t="s">
        <v>610</v>
      </c>
      <c r="C4" s="3">
        <v>0</v>
      </c>
      <c r="D4" s="3">
        <v>0</v>
      </c>
      <c r="E4" s="3">
        <v>11</v>
      </c>
      <c r="F4" s="3">
        <v>0</v>
      </c>
      <c r="G4" s="3">
        <v>0</v>
      </c>
      <c r="H4" s="3">
        <v>0</v>
      </c>
      <c r="I4" s="3">
        <v>0</v>
      </c>
      <c r="J4" s="3">
        <v>42</v>
      </c>
      <c r="K4" s="3">
        <v>198</v>
      </c>
      <c r="L4" s="3">
        <v>0</v>
      </c>
      <c r="M4" s="3">
        <v>0</v>
      </c>
    </row>
    <row r="5" spans="1:13" x14ac:dyDescent="0.25">
      <c r="A5" t="s">
        <v>342</v>
      </c>
      <c r="B5" t="s">
        <v>347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12</v>
      </c>
      <c r="L5">
        <v>0</v>
      </c>
      <c r="M5">
        <v>0</v>
      </c>
    </row>
    <row r="6" spans="1:13" x14ac:dyDescent="0.25">
      <c r="A6" t="s">
        <v>345</v>
      </c>
      <c r="B6" s="2" t="s">
        <v>348</v>
      </c>
      <c r="C6">
        <f>SUM(Table25[American Sign Language Total])</f>
        <v>0</v>
      </c>
      <c r="D6">
        <f>SUM(Table25[Cantonese Total])</f>
        <v>0</v>
      </c>
      <c r="E6">
        <f>SUM(Table25[French Total])</f>
        <v>14</v>
      </c>
      <c r="F6">
        <f>SUM(Table25[German Total])</f>
        <v>0</v>
      </c>
      <c r="G6">
        <f>SUM(Table25[[ Japanese Total]])</f>
        <v>0</v>
      </c>
      <c r="H6">
        <f>SUM(Table25[Korean Total])</f>
        <v>0</v>
      </c>
      <c r="I6">
        <f>SUM(Table25[Latin Total])</f>
        <v>0</v>
      </c>
      <c r="J6">
        <f>SUM(Table25[Mandarin Total])</f>
        <v>42</v>
      </c>
      <c r="K6">
        <f>SUM(Table25[Spanish Total])</f>
        <v>248</v>
      </c>
      <c r="L6">
        <f>SUM(Table25[Vietnamese Total])</f>
        <v>0</v>
      </c>
      <c r="M6">
        <f>SUM(Table25[Other Total])</f>
        <v>0</v>
      </c>
    </row>
  </sheetData>
  <sortState xmlns:xlrd2="http://schemas.microsoft.com/office/spreadsheetml/2017/richdata2" ref="A2:A4">
    <sortCondition ref="A2"/>
  </sortState>
  <pageMargins left="0.7" right="0.7" top="0.75" bottom="0.75" header="0.3" footer="0.3"/>
  <pageSetup scale="58" fitToHeight="0" orientation="landscape" r:id="rId1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M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21.7265625" customWidth="1"/>
    <col min="2" max="2" width="25.54296875" customWidth="1"/>
    <col min="3" max="3" width="16.7265625" customWidth="1"/>
    <col min="4" max="4" width="12.7265625" customWidth="1"/>
    <col min="5" max="5" width="10.1796875" customWidth="1"/>
    <col min="6" max="6" width="10.26953125" customWidth="1"/>
    <col min="7" max="7" width="11.90625" customWidth="1"/>
    <col min="8" max="8" width="9.81640625" customWidth="1"/>
    <col min="9" max="9" width="8.453125" customWidth="1"/>
    <col min="10" max="10" width="12.08984375" customWidth="1"/>
    <col min="11" max="11" width="10.7265625" customWidth="1"/>
    <col min="12" max="12" width="13.26953125" customWidth="1"/>
    <col min="13" max="13" width="8.7265625" customWidth="1"/>
  </cols>
  <sheetData>
    <row r="1" spans="1:13" ht="21" x14ac:dyDescent="0.4">
      <c r="A1" s="18" t="s">
        <v>580</v>
      </c>
    </row>
    <row r="2" spans="1:13" ht="30" x14ac:dyDescent="0.25">
      <c r="A2" s="3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31</v>
      </c>
      <c r="G2" s="4" t="s">
        <v>32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ht="45" x14ac:dyDescent="0.25">
      <c r="A3" s="3" t="s">
        <v>350</v>
      </c>
      <c r="B3" s="4" t="s">
        <v>349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37</v>
      </c>
      <c r="L3" s="3">
        <v>0</v>
      </c>
      <c r="M3" s="3">
        <v>0</v>
      </c>
    </row>
    <row r="4" spans="1:13" x14ac:dyDescent="0.25">
      <c r="A4" t="s">
        <v>351</v>
      </c>
      <c r="B4" s="2" t="s">
        <v>60</v>
      </c>
      <c r="C4">
        <f>SUM(Table26[American Sign Language Total])</f>
        <v>0</v>
      </c>
      <c r="D4">
        <f>SUM(Table26[Cantonese Total])</f>
        <v>0</v>
      </c>
      <c r="E4">
        <f>SUM(Table26[French Total])</f>
        <v>0</v>
      </c>
      <c r="F4">
        <f>SUM(Table26[German Total])</f>
        <v>0</v>
      </c>
      <c r="G4">
        <f>SUM(Table26[[ Japanese Total]])</f>
        <v>0</v>
      </c>
      <c r="H4">
        <f>SUM(Table26[Korean Total])</f>
        <v>0</v>
      </c>
      <c r="I4">
        <f>SUM(Table26[Latin Total])</f>
        <v>0</v>
      </c>
      <c r="J4">
        <f>SUM(Table26[Mandarin Total])</f>
        <v>0</v>
      </c>
      <c r="K4">
        <f>SUM(Table26[Spanish Total])</f>
        <v>37</v>
      </c>
      <c r="L4">
        <f>SUM(Table26[Vietnamese Total])</f>
        <v>0</v>
      </c>
      <c r="M4">
        <f>SUM(Table26[Other Total])</f>
        <v>0</v>
      </c>
    </row>
  </sheetData>
  <pageMargins left="0.7" right="0.7" top="0.75" bottom="0.75" header="0.3" footer="0.3"/>
  <pageSetup scale="59" fitToHeight="0" orientation="landscape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M19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25.453125" customWidth="1"/>
    <col min="2" max="2" width="31.08984375" customWidth="1"/>
    <col min="3" max="3" width="17.36328125" customWidth="1"/>
    <col min="4" max="4" width="13.26953125" customWidth="1"/>
    <col min="5" max="5" width="10.08984375" customWidth="1"/>
    <col min="6" max="6" width="10.7265625" customWidth="1"/>
    <col min="7" max="7" width="12.7265625" customWidth="1"/>
    <col min="8" max="8" width="10.1796875" customWidth="1"/>
    <col min="9" max="9" width="9" customWidth="1"/>
    <col min="10" max="10" width="11.81640625" customWidth="1"/>
    <col min="11" max="11" width="11.54296875" customWidth="1"/>
    <col min="12" max="12" width="13.90625" customWidth="1"/>
    <col min="13" max="13" width="9.08984375" customWidth="1"/>
  </cols>
  <sheetData>
    <row r="1" spans="1:13" ht="21" x14ac:dyDescent="0.4">
      <c r="A1" s="18" t="s">
        <v>581</v>
      </c>
    </row>
    <row r="2" spans="1:13" ht="30" x14ac:dyDescent="0.25">
      <c r="A2" s="4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31</v>
      </c>
      <c r="G2" s="4" t="s">
        <v>32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ht="75" x14ac:dyDescent="0.25">
      <c r="A3" s="3" t="s">
        <v>364</v>
      </c>
      <c r="B3" s="4" t="s">
        <v>611</v>
      </c>
      <c r="C3" s="3">
        <v>12</v>
      </c>
      <c r="D3" s="3">
        <v>0</v>
      </c>
      <c r="E3" s="3">
        <v>113</v>
      </c>
      <c r="F3" s="3">
        <v>0</v>
      </c>
      <c r="G3" s="3">
        <v>15</v>
      </c>
      <c r="H3" s="3">
        <v>80</v>
      </c>
      <c r="I3" s="3">
        <v>0</v>
      </c>
      <c r="J3" s="3">
        <v>13</v>
      </c>
      <c r="K3" s="3">
        <v>917</v>
      </c>
      <c r="L3" s="3">
        <v>13</v>
      </c>
      <c r="M3" s="3">
        <v>10</v>
      </c>
    </row>
    <row r="4" spans="1:13" x14ac:dyDescent="0.25">
      <c r="A4" s="3" t="s">
        <v>365</v>
      </c>
      <c r="B4" s="4" t="s">
        <v>375</v>
      </c>
      <c r="C4" s="3">
        <v>0</v>
      </c>
      <c r="D4" s="3">
        <v>0</v>
      </c>
      <c r="E4" s="3">
        <v>5</v>
      </c>
      <c r="F4" s="3">
        <v>0</v>
      </c>
      <c r="G4" s="3">
        <v>6</v>
      </c>
      <c r="H4" s="3">
        <v>6</v>
      </c>
      <c r="I4" s="3">
        <v>0</v>
      </c>
      <c r="J4" s="3">
        <v>16</v>
      </c>
      <c r="K4" s="3">
        <v>17</v>
      </c>
      <c r="L4" s="3">
        <v>0</v>
      </c>
      <c r="M4" s="3">
        <v>0</v>
      </c>
    </row>
    <row r="5" spans="1:13" ht="90" x14ac:dyDescent="0.25">
      <c r="A5" s="3" t="s">
        <v>355</v>
      </c>
      <c r="B5" s="4" t="s">
        <v>612</v>
      </c>
      <c r="C5" s="3">
        <v>11</v>
      </c>
      <c r="D5" s="3">
        <v>0</v>
      </c>
      <c r="E5" s="3">
        <v>121</v>
      </c>
      <c r="F5" s="3">
        <v>38</v>
      </c>
      <c r="G5" s="3">
        <v>11</v>
      </c>
      <c r="H5" s="3">
        <v>1</v>
      </c>
      <c r="I5" s="3">
        <v>0</v>
      </c>
      <c r="J5" s="3">
        <v>22</v>
      </c>
      <c r="K5" s="3">
        <v>626</v>
      </c>
      <c r="L5" s="3">
        <v>0</v>
      </c>
      <c r="M5" s="3">
        <v>1</v>
      </c>
    </row>
    <row r="6" spans="1:13" ht="45" x14ac:dyDescent="0.25">
      <c r="A6" s="3" t="s">
        <v>366</v>
      </c>
      <c r="B6" s="4" t="s">
        <v>358</v>
      </c>
      <c r="C6" s="3">
        <v>0</v>
      </c>
      <c r="D6" s="3">
        <v>0</v>
      </c>
      <c r="E6" s="3">
        <v>59</v>
      </c>
      <c r="F6" s="3">
        <v>9</v>
      </c>
      <c r="G6" s="3">
        <v>10</v>
      </c>
      <c r="H6" s="3">
        <v>58</v>
      </c>
      <c r="I6" s="3">
        <v>0</v>
      </c>
      <c r="J6" s="3">
        <v>54</v>
      </c>
      <c r="K6" s="3">
        <v>410</v>
      </c>
      <c r="L6" s="3">
        <v>0</v>
      </c>
      <c r="M6" s="3">
        <v>0</v>
      </c>
    </row>
    <row r="7" spans="1:13" ht="60" x14ac:dyDescent="0.25">
      <c r="A7" s="3" t="s">
        <v>367</v>
      </c>
      <c r="B7" s="4" t="s">
        <v>359</v>
      </c>
      <c r="C7" s="3">
        <v>0</v>
      </c>
      <c r="D7" s="3">
        <v>0</v>
      </c>
      <c r="E7" s="3">
        <v>60</v>
      </c>
      <c r="F7" s="3">
        <v>29</v>
      </c>
      <c r="G7" s="3">
        <v>2</v>
      </c>
      <c r="H7" s="3">
        <v>1</v>
      </c>
      <c r="I7" s="3">
        <v>14</v>
      </c>
      <c r="J7" s="3">
        <v>1</v>
      </c>
      <c r="K7" s="3">
        <v>438</v>
      </c>
      <c r="L7" s="3">
        <v>233</v>
      </c>
      <c r="M7" s="3">
        <v>0</v>
      </c>
    </row>
    <row r="8" spans="1:13" ht="45" x14ac:dyDescent="0.25">
      <c r="A8" s="3" t="s">
        <v>368</v>
      </c>
      <c r="B8" s="4" t="s">
        <v>360</v>
      </c>
      <c r="C8" s="3">
        <v>0</v>
      </c>
      <c r="D8" s="3">
        <v>0</v>
      </c>
      <c r="E8" s="3">
        <v>90</v>
      </c>
      <c r="F8" s="3">
        <v>0</v>
      </c>
      <c r="G8" s="3">
        <v>50</v>
      </c>
      <c r="H8" s="3">
        <v>0</v>
      </c>
      <c r="I8" s="3">
        <v>0</v>
      </c>
      <c r="J8" s="3">
        <v>0</v>
      </c>
      <c r="K8" s="3">
        <v>885</v>
      </c>
      <c r="L8" s="3">
        <v>130</v>
      </c>
      <c r="M8" s="3">
        <v>0</v>
      </c>
    </row>
    <row r="9" spans="1:13" ht="30" x14ac:dyDescent="0.25">
      <c r="A9" s="3" t="s">
        <v>369</v>
      </c>
      <c r="B9" s="4" t="s">
        <v>361</v>
      </c>
      <c r="C9" s="3">
        <v>0</v>
      </c>
      <c r="D9" s="3">
        <v>0</v>
      </c>
      <c r="E9" s="3">
        <v>42</v>
      </c>
      <c r="F9" s="3">
        <v>1</v>
      </c>
      <c r="G9" s="3">
        <v>22</v>
      </c>
      <c r="H9" s="3">
        <v>93</v>
      </c>
      <c r="I9" s="3">
        <v>101</v>
      </c>
      <c r="J9" s="3">
        <v>160</v>
      </c>
      <c r="K9" s="3">
        <v>355</v>
      </c>
      <c r="L9" s="3">
        <v>0</v>
      </c>
      <c r="M9" s="3">
        <v>4</v>
      </c>
    </row>
    <row r="10" spans="1:13" x14ac:dyDescent="0.25">
      <c r="A10" s="3" t="s">
        <v>354</v>
      </c>
      <c r="B10" s="4" t="s">
        <v>376</v>
      </c>
      <c r="C10" s="3">
        <v>0</v>
      </c>
      <c r="D10" s="3">
        <v>0</v>
      </c>
      <c r="E10" s="3">
        <v>15</v>
      </c>
      <c r="F10" s="3">
        <v>0</v>
      </c>
      <c r="G10" s="3">
        <v>0</v>
      </c>
      <c r="H10" s="3">
        <v>0</v>
      </c>
      <c r="I10" s="3">
        <v>0</v>
      </c>
      <c r="J10" s="3">
        <v>3</v>
      </c>
      <c r="K10" s="3">
        <v>83</v>
      </c>
      <c r="L10" s="3">
        <v>0</v>
      </c>
      <c r="M10" s="3">
        <v>0</v>
      </c>
    </row>
    <row r="11" spans="1:13" x14ac:dyDescent="0.25">
      <c r="A11" s="3" t="s">
        <v>356</v>
      </c>
      <c r="B11" s="4" t="s">
        <v>377</v>
      </c>
      <c r="C11" s="3">
        <v>0</v>
      </c>
      <c r="D11" s="3">
        <v>0</v>
      </c>
      <c r="E11" s="3">
        <v>33</v>
      </c>
      <c r="F11" s="3">
        <v>0</v>
      </c>
      <c r="G11" s="3">
        <v>23</v>
      </c>
      <c r="H11" s="3">
        <v>0</v>
      </c>
      <c r="I11" s="3">
        <v>0</v>
      </c>
      <c r="J11" s="3">
        <v>0</v>
      </c>
      <c r="K11" s="3">
        <v>279</v>
      </c>
      <c r="L11" s="3">
        <v>0</v>
      </c>
      <c r="M11" s="3">
        <v>0</v>
      </c>
    </row>
    <row r="12" spans="1:13" ht="30" x14ac:dyDescent="0.25">
      <c r="A12" s="3" t="s">
        <v>357</v>
      </c>
      <c r="B12" s="4" t="s">
        <v>357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2</v>
      </c>
      <c r="L12" s="3">
        <v>0</v>
      </c>
      <c r="M12" s="3">
        <v>0</v>
      </c>
    </row>
    <row r="13" spans="1:13" ht="60" x14ac:dyDescent="0.25">
      <c r="A13" s="3" t="s">
        <v>370</v>
      </c>
      <c r="B13" s="4" t="s">
        <v>613</v>
      </c>
      <c r="C13" s="3">
        <v>0</v>
      </c>
      <c r="D13" s="3">
        <v>0</v>
      </c>
      <c r="E13" s="3">
        <v>25</v>
      </c>
      <c r="F13" s="3">
        <v>0</v>
      </c>
      <c r="G13" s="3">
        <v>0</v>
      </c>
      <c r="H13" s="3">
        <v>0</v>
      </c>
      <c r="I13" s="3">
        <v>5</v>
      </c>
      <c r="J13" s="3">
        <v>20</v>
      </c>
      <c r="K13" s="3">
        <v>175</v>
      </c>
      <c r="L13" s="3">
        <v>0</v>
      </c>
      <c r="M13" s="3">
        <v>0</v>
      </c>
    </row>
    <row r="14" spans="1:13" ht="30" x14ac:dyDescent="0.25">
      <c r="A14" s="3" t="s">
        <v>371</v>
      </c>
      <c r="B14" s="4" t="s">
        <v>362</v>
      </c>
      <c r="C14" s="3">
        <v>0</v>
      </c>
      <c r="D14" s="3">
        <v>0</v>
      </c>
      <c r="E14" s="3">
        <v>67</v>
      </c>
      <c r="F14" s="3">
        <v>7</v>
      </c>
      <c r="G14" s="3">
        <v>1</v>
      </c>
      <c r="H14" s="3">
        <v>1</v>
      </c>
      <c r="I14" s="3">
        <v>0</v>
      </c>
      <c r="J14" s="3">
        <v>15</v>
      </c>
      <c r="K14" s="3">
        <v>246</v>
      </c>
      <c r="L14" s="3">
        <v>0</v>
      </c>
      <c r="M14" s="3">
        <v>1</v>
      </c>
    </row>
    <row r="15" spans="1:13" ht="30" x14ac:dyDescent="0.25">
      <c r="A15" s="3" t="s">
        <v>372</v>
      </c>
      <c r="B15" s="4" t="s">
        <v>614</v>
      </c>
      <c r="C15" s="3">
        <v>0</v>
      </c>
      <c r="D15" s="3">
        <v>12</v>
      </c>
      <c r="E15" s="3">
        <v>43</v>
      </c>
      <c r="F15" s="3">
        <v>45</v>
      </c>
      <c r="G15" s="3">
        <v>28</v>
      </c>
      <c r="H15" s="3">
        <v>0</v>
      </c>
      <c r="I15" s="3">
        <v>0</v>
      </c>
      <c r="J15" s="3">
        <v>19</v>
      </c>
      <c r="K15" s="3">
        <v>356</v>
      </c>
      <c r="L15" s="3">
        <v>0</v>
      </c>
      <c r="M15" s="3">
        <v>0</v>
      </c>
    </row>
    <row r="16" spans="1:13" ht="30" x14ac:dyDescent="0.25">
      <c r="A16" s="3" t="s">
        <v>373</v>
      </c>
      <c r="B16" s="4" t="s">
        <v>363</v>
      </c>
      <c r="C16" s="3">
        <v>34</v>
      </c>
      <c r="D16" s="3">
        <v>34</v>
      </c>
      <c r="E16" s="3">
        <v>57</v>
      </c>
      <c r="F16" s="3">
        <v>2</v>
      </c>
      <c r="G16" s="3">
        <v>3</v>
      </c>
      <c r="H16" s="3">
        <v>3</v>
      </c>
      <c r="I16" s="3">
        <v>65</v>
      </c>
      <c r="J16" s="3">
        <v>16</v>
      </c>
      <c r="K16" s="3">
        <v>328</v>
      </c>
      <c r="L16" s="3">
        <v>56</v>
      </c>
      <c r="M16" s="3">
        <v>77</v>
      </c>
    </row>
    <row r="17" spans="1:13" ht="90" x14ac:dyDescent="0.25">
      <c r="A17" s="3" t="s">
        <v>352</v>
      </c>
      <c r="B17" s="4" t="s">
        <v>615</v>
      </c>
      <c r="C17" s="3">
        <v>3</v>
      </c>
      <c r="D17" s="3">
        <v>0</v>
      </c>
      <c r="E17" s="3">
        <v>37</v>
      </c>
      <c r="F17" s="3">
        <v>2</v>
      </c>
      <c r="G17" s="3">
        <v>3</v>
      </c>
      <c r="H17" s="3">
        <v>5</v>
      </c>
      <c r="I17" s="3">
        <v>0</v>
      </c>
      <c r="J17" s="3">
        <v>2</v>
      </c>
      <c r="K17" s="3">
        <v>804</v>
      </c>
      <c r="L17" s="3">
        <v>8</v>
      </c>
      <c r="M17" s="3">
        <v>0</v>
      </c>
    </row>
    <row r="18" spans="1:13" ht="30" x14ac:dyDescent="0.25">
      <c r="A18" s="3" t="s">
        <v>353</v>
      </c>
      <c r="B18" s="4" t="s">
        <v>616</v>
      </c>
      <c r="C18" s="3">
        <v>0</v>
      </c>
      <c r="D18" s="3">
        <v>0</v>
      </c>
      <c r="E18" s="3">
        <v>110</v>
      </c>
      <c r="F18" s="3">
        <v>0</v>
      </c>
      <c r="G18" s="3">
        <v>0</v>
      </c>
      <c r="H18" s="3">
        <v>0</v>
      </c>
      <c r="I18" s="3">
        <v>140</v>
      </c>
      <c r="J18" s="3">
        <v>0</v>
      </c>
      <c r="K18" s="3">
        <v>520</v>
      </c>
      <c r="L18" s="3">
        <v>0</v>
      </c>
      <c r="M18" s="3">
        <v>0</v>
      </c>
    </row>
    <row r="19" spans="1:13" x14ac:dyDescent="0.25">
      <c r="A19" t="s">
        <v>374</v>
      </c>
      <c r="B19" s="2" t="s">
        <v>378</v>
      </c>
      <c r="C19" s="8">
        <f>SUM(Table27[American Sign Language Total])</f>
        <v>60</v>
      </c>
      <c r="D19" s="8">
        <f>SUM(Table27[Cantonese Total])</f>
        <v>46</v>
      </c>
      <c r="E19" s="8">
        <f>SUM(Table27[French Total])</f>
        <v>877</v>
      </c>
      <c r="F19" s="8">
        <f>SUM(Table27[German Total])</f>
        <v>133</v>
      </c>
      <c r="G19" s="8">
        <f>SUM(Table27[[ Japanese Total]])</f>
        <v>174</v>
      </c>
      <c r="H19" s="8">
        <f>SUM(Table27[Korean Total])</f>
        <v>248</v>
      </c>
      <c r="I19" s="8">
        <f>SUM(Table27[Latin Total])</f>
        <v>325</v>
      </c>
      <c r="J19" s="8">
        <f>SUM(Table27[Mandarin Total])</f>
        <v>341</v>
      </c>
      <c r="K19" s="8">
        <f>SUM(Table27[Spanish Total])</f>
        <v>6441</v>
      </c>
      <c r="L19" s="8">
        <f>SUM(Table27[Vietnamese Total])</f>
        <v>440</v>
      </c>
      <c r="M19" s="8">
        <f>SUM(Table27[Other Total])</f>
        <v>93</v>
      </c>
    </row>
  </sheetData>
  <sortState xmlns:xlrd2="http://schemas.microsoft.com/office/spreadsheetml/2017/richdata2" ref="A2:A24">
    <sortCondition ref="A2"/>
  </sortState>
  <pageMargins left="0.7" right="0.7" top="0.75" bottom="0.75" header="0.3" footer="0.3"/>
  <pageSetup scale="55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22" bestFit="1" customWidth="1"/>
    <col min="2" max="2" width="25.453125" bestFit="1" customWidth="1"/>
    <col min="3" max="3" width="17" customWidth="1"/>
    <col min="4" max="4" width="10.90625" customWidth="1"/>
    <col min="5" max="5" width="8.1796875" customWidth="1"/>
    <col min="6" max="6" width="8.54296875" customWidth="1"/>
    <col min="7" max="7" width="10.08984375" customWidth="1"/>
    <col min="8" max="8" width="8" customWidth="1"/>
    <col min="9" max="9" width="7.7265625" customWidth="1"/>
    <col min="10" max="10" width="9.36328125" customWidth="1"/>
    <col min="11" max="11" width="9.7265625" customWidth="1"/>
    <col min="12" max="12" width="11.36328125" customWidth="1"/>
    <col min="13" max="13" width="7.7265625" customWidth="1"/>
  </cols>
  <sheetData>
    <row r="1" spans="1:13" ht="21" x14ac:dyDescent="0.4">
      <c r="A1" s="18" t="s">
        <v>555</v>
      </c>
    </row>
    <row r="2" spans="1:13" ht="30" x14ac:dyDescent="0.25">
      <c r="A2" s="4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31</v>
      </c>
      <c r="G2" s="4" t="s">
        <v>32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25">
      <c r="A3" t="s">
        <v>43</v>
      </c>
      <c r="B3" t="s">
        <v>182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20</v>
      </c>
      <c r="L3">
        <v>0</v>
      </c>
      <c r="M3">
        <v>0</v>
      </c>
    </row>
    <row r="4" spans="1:13" x14ac:dyDescent="0.25">
      <c r="A4" t="s">
        <v>40</v>
      </c>
      <c r="B4" s="2" t="s">
        <v>34</v>
      </c>
      <c r="C4" s="2">
        <f>SUM(Table3[American Sign Language Total])</f>
        <v>0</v>
      </c>
      <c r="D4" s="2">
        <f>SUM(Table3[Cantonese Total])</f>
        <v>0</v>
      </c>
      <c r="E4" s="2">
        <f>SUM(Table3[French Total])</f>
        <v>0</v>
      </c>
      <c r="F4" s="2">
        <f>SUM(Table3[German Total])</f>
        <v>0</v>
      </c>
      <c r="G4" s="2">
        <f>SUM(Table3[[ Japanese Total]])</f>
        <v>0</v>
      </c>
      <c r="H4" s="2">
        <f>SUM(Table3[Korean Total])</f>
        <v>0</v>
      </c>
      <c r="I4" s="2">
        <f>SUM(Table3[Latin Total])</f>
        <v>0</v>
      </c>
      <c r="J4" s="2">
        <f>SUM(Table3[Mandarin Total])</f>
        <v>0</v>
      </c>
      <c r="K4" s="2">
        <f>SUM(Table3[Spanish Total])</f>
        <v>20</v>
      </c>
      <c r="L4" s="2">
        <f>SUM(Table3[Vietnamese Total])</f>
        <v>0</v>
      </c>
      <c r="M4" s="2">
        <f>SUM(Table3[Other Total])</f>
        <v>0</v>
      </c>
    </row>
  </sheetData>
  <pageMargins left="0.7" right="0.7" top="0.75" bottom="0.75" header="0.3" footer="0.3"/>
  <pageSetup scale="65" fitToHeight="0" orientation="landscape" r:id="rId1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M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22.7265625" bestFit="1" customWidth="1"/>
    <col min="2" max="2" width="29.7265625" customWidth="1"/>
    <col min="3" max="3" width="17.26953125" customWidth="1"/>
    <col min="4" max="4" width="12.7265625" customWidth="1"/>
    <col min="5" max="5" width="10.26953125" customWidth="1"/>
    <col min="6" max="6" width="11.26953125" customWidth="1"/>
    <col min="7" max="7" width="12.7265625" customWidth="1"/>
    <col min="8" max="8" width="10.08984375" customWidth="1"/>
    <col min="9" max="9" width="8.7265625" customWidth="1"/>
    <col min="10" max="10" width="12.08984375" customWidth="1"/>
    <col min="11" max="11" width="11.26953125" customWidth="1"/>
    <col min="12" max="12" width="13.81640625" customWidth="1"/>
    <col min="13" max="13" width="8.90625" customWidth="1"/>
  </cols>
  <sheetData>
    <row r="1" spans="1:13" ht="21" x14ac:dyDescent="0.4">
      <c r="A1" s="18" t="s">
        <v>582</v>
      </c>
    </row>
    <row r="2" spans="1:13" ht="30" x14ac:dyDescent="0.25">
      <c r="A2" s="3" t="s">
        <v>4</v>
      </c>
      <c r="B2" s="3" t="s">
        <v>5</v>
      </c>
      <c r="C2" s="4" t="s">
        <v>6</v>
      </c>
      <c r="D2" s="4" t="s">
        <v>7</v>
      </c>
      <c r="E2" s="4" t="s">
        <v>8</v>
      </c>
      <c r="F2" s="4" t="s">
        <v>31</v>
      </c>
      <c r="G2" s="4" t="s">
        <v>32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ht="30" x14ac:dyDescent="0.25">
      <c r="A3" s="3" t="s">
        <v>382</v>
      </c>
      <c r="B3" s="4" t="s">
        <v>617</v>
      </c>
      <c r="C3" s="3">
        <v>28</v>
      </c>
      <c r="D3" s="3">
        <v>0</v>
      </c>
      <c r="E3" s="3">
        <v>18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127</v>
      </c>
      <c r="L3" s="3">
        <v>0</v>
      </c>
      <c r="M3" s="3">
        <v>1</v>
      </c>
    </row>
    <row r="4" spans="1:13" ht="30" x14ac:dyDescent="0.25">
      <c r="A4" s="3" t="s">
        <v>379</v>
      </c>
      <c r="B4" s="4" t="s">
        <v>380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1</v>
      </c>
      <c r="J4" s="3">
        <v>11</v>
      </c>
      <c r="K4" s="3">
        <v>9</v>
      </c>
      <c r="L4" s="3">
        <v>0</v>
      </c>
      <c r="M4" s="3">
        <v>0</v>
      </c>
    </row>
    <row r="5" spans="1:13" ht="45" x14ac:dyDescent="0.25">
      <c r="A5" s="3" t="s">
        <v>383</v>
      </c>
      <c r="B5" s="4" t="s">
        <v>618</v>
      </c>
      <c r="C5" s="3">
        <v>0</v>
      </c>
      <c r="D5" s="3">
        <v>0</v>
      </c>
      <c r="E5" s="3">
        <v>43</v>
      </c>
      <c r="F5" s="3">
        <v>0</v>
      </c>
      <c r="G5" s="3">
        <v>5</v>
      </c>
      <c r="H5" s="3">
        <v>0</v>
      </c>
      <c r="I5" s="3">
        <v>0</v>
      </c>
      <c r="J5" s="3">
        <v>1</v>
      </c>
      <c r="K5" s="3">
        <v>331</v>
      </c>
      <c r="L5" s="3">
        <v>0</v>
      </c>
      <c r="M5" s="3">
        <v>3</v>
      </c>
    </row>
    <row r="6" spans="1:13" ht="16.05" customHeight="1" x14ac:dyDescent="0.25">
      <c r="A6" s="3" t="s">
        <v>384</v>
      </c>
      <c r="B6" s="4" t="s">
        <v>381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60</v>
      </c>
      <c r="L6" s="3">
        <v>0</v>
      </c>
      <c r="M6" s="3">
        <v>0</v>
      </c>
    </row>
    <row r="7" spans="1:13" ht="45" x14ac:dyDescent="0.25">
      <c r="A7" s="3" t="s">
        <v>385</v>
      </c>
      <c r="B7" s="4" t="s">
        <v>619</v>
      </c>
      <c r="C7" s="3">
        <v>0</v>
      </c>
      <c r="D7" s="3">
        <v>0</v>
      </c>
      <c r="E7" s="3">
        <v>17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32</v>
      </c>
      <c r="L7" s="3">
        <v>0</v>
      </c>
      <c r="M7" s="3">
        <v>0</v>
      </c>
    </row>
    <row r="8" spans="1:13" x14ac:dyDescent="0.25">
      <c r="A8" t="s">
        <v>386</v>
      </c>
      <c r="B8" s="2" t="s">
        <v>387</v>
      </c>
      <c r="C8">
        <f>SUM(Table28[American Sign Language Total])</f>
        <v>28</v>
      </c>
      <c r="D8">
        <f>SUM(Table28[Cantonese Total])</f>
        <v>0</v>
      </c>
      <c r="E8">
        <f>SUM(Table28[French Total])</f>
        <v>78</v>
      </c>
      <c r="F8">
        <f>SUM(Table28[German Total])</f>
        <v>0</v>
      </c>
      <c r="G8">
        <f>SUM(Table28[[ Japanese Total]])</f>
        <v>5</v>
      </c>
      <c r="H8">
        <f>SUM(Table28[Korean Total])</f>
        <v>0</v>
      </c>
      <c r="I8">
        <f>SUM(Table28[Latin Total])</f>
        <v>1</v>
      </c>
      <c r="J8">
        <f>SUM(Table28[Mandarin Total])</f>
        <v>12</v>
      </c>
      <c r="K8">
        <f>SUM(Table28[Spanish Total])</f>
        <v>559</v>
      </c>
      <c r="L8">
        <f>SUM(Table28[Vietnamese Total])</f>
        <v>0</v>
      </c>
      <c r="M8">
        <f>SUM(Table28[Other Total])</f>
        <v>4</v>
      </c>
    </row>
  </sheetData>
  <sortState xmlns:xlrd2="http://schemas.microsoft.com/office/spreadsheetml/2017/richdata2" ref="A2:A7">
    <sortCondition ref="A2"/>
  </sortState>
  <pageMargins left="0.7" right="0.7" top="0.75" bottom="0.75" header="0.3" footer="0.3"/>
  <pageSetup scale="56" fitToHeight="0" orientation="landscape" r:id="rId1"/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M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22.6328125" bestFit="1" customWidth="1"/>
    <col min="2" max="2" width="22.26953125" bestFit="1" customWidth="1"/>
    <col min="3" max="3" width="17.90625" customWidth="1"/>
    <col min="4" max="4" width="13.08984375" customWidth="1"/>
    <col min="5" max="5" width="10.1796875" customWidth="1"/>
    <col min="6" max="6" width="10.54296875" customWidth="1"/>
    <col min="7" max="7" width="12.7265625" customWidth="1"/>
    <col min="8" max="8" width="10.54296875" customWidth="1"/>
    <col min="9" max="9" width="8.7265625" customWidth="1"/>
    <col min="10" max="10" width="12.08984375" customWidth="1"/>
    <col min="11" max="11" width="11.08984375" customWidth="1"/>
    <col min="12" max="12" width="14.26953125" customWidth="1"/>
    <col min="13" max="13" width="9.54296875" customWidth="1"/>
  </cols>
  <sheetData>
    <row r="1" spans="1:13" ht="21" x14ac:dyDescent="0.4">
      <c r="A1" s="18" t="s">
        <v>583</v>
      </c>
    </row>
    <row r="2" spans="1:13" ht="30" x14ac:dyDescent="0.25">
      <c r="A2" s="3" t="s">
        <v>4</v>
      </c>
      <c r="B2" s="3" t="s">
        <v>5</v>
      </c>
      <c r="C2" s="4" t="s">
        <v>6</v>
      </c>
      <c r="D2" s="4" t="s">
        <v>7</v>
      </c>
      <c r="E2" s="4" t="s">
        <v>8</v>
      </c>
      <c r="F2" s="4" t="s">
        <v>31</v>
      </c>
      <c r="G2" s="4" t="s">
        <v>32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25">
      <c r="A3" t="s">
        <v>388</v>
      </c>
      <c r="B3" t="s">
        <v>389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1</v>
      </c>
      <c r="L3">
        <v>0</v>
      </c>
      <c r="M3">
        <v>0</v>
      </c>
    </row>
    <row r="4" spans="1:13" x14ac:dyDescent="0.25">
      <c r="A4" t="s">
        <v>390</v>
      </c>
      <c r="B4" s="2" t="s">
        <v>52</v>
      </c>
      <c r="C4">
        <f>SUM(Table29[American Sign Language Total])</f>
        <v>0</v>
      </c>
      <c r="D4">
        <f>SUM(Table29[Cantonese Total])</f>
        <v>0</v>
      </c>
      <c r="E4">
        <f>SUM(Table29[French Total])</f>
        <v>0</v>
      </c>
      <c r="F4">
        <f>SUM(Table29[German Total])</f>
        <v>0</v>
      </c>
      <c r="G4">
        <f>SUM(Table29[[ Japanese Total]])</f>
        <v>0</v>
      </c>
      <c r="H4">
        <f>SUM(Table29[Korean Total])</f>
        <v>0</v>
      </c>
      <c r="I4">
        <f>SUM(Table29[Latin Total])</f>
        <v>0</v>
      </c>
      <c r="J4">
        <f>SUM(Table29[Mandarin Total])</f>
        <v>0</v>
      </c>
      <c r="K4">
        <f>SUM(Table29[Spanish Total])</f>
        <v>1</v>
      </c>
      <c r="L4">
        <f>SUM(Table29[Vietnamese Total])</f>
        <v>0</v>
      </c>
      <c r="M4">
        <f>SUM(Table29[Other Total])</f>
        <v>0</v>
      </c>
    </row>
  </sheetData>
  <pageMargins left="0.7" right="0.7" top="0.75" bottom="0.75" header="0.3" footer="0.3"/>
  <pageSetup scale="58" fitToHeight="0" orientation="landscape" r:id="rId1"/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M22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23.90625" customWidth="1"/>
    <col min="2" max="2" width="26.1796875" customWidth="1"/>
    <col min="3" max="3" width="16.7265625" customWidth="1"/>
    <col min="4" max="4" width="13.08984375" customWidth="1"/>
    <col min="5" max="5" width="10" customWidth="1"/>
    <col min="6" max="6" width="10.7265625" customWidth="1"/>
    <col min="7" max="7" width="12.1796875" customWidth="1"/>
    <col min="8" max="8" width="10.26953125" customWidth="1"/>
    <col min="9" max="9" width="8.26953125" customWidth="1"/>
    <col min="10" max="10" width="11.90625" customWidth="1"/>
    <col min="11" max="11" width="10.90625" customWidth="1"/>
    <col min="12" max="12" width="13.6328125" customWidth="1"/>
    <col min="13" max="13" width="8.453125" customWidth="1"/>
  </cols>
  <sheetData>
    <row r="1" spans="1:13" s="18" customFormat="1" ht="21" x14ac:dyDescent="0.4">
      <c r="A1" s="18" t="s">
        <v>584</v>
      </c>
    </row>
    <row r="2" spans="1:13" ht="30" x14ac:dyDescent="0.25">
      <c r="A2" s="3" t="s">
        <v>4</v>
      </c>
      <c r="B2" s="3" t="s">
        <v>5</v>
      </c>
      <c r="C2" s="4" t="s">
        <v>6</v>
      </c>
      <c r="D2" s="4" t="s">
        <v>7</v>
      </c>
      <c r="E2" s="4" t="s">
        <v>8</v>
      </c>
      <c r="F2" s="4" t="s">
        <v>31</v>
      </c>
      <c r="G2" s="4" t="s">
        <v>32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ht="30" x14ac:dyDescent="0.25">
      <c r="A3" s="3" t="s">
        <v>415</v>
      </c>
      <c r="B3" s="4" t="s">
        <v>620</v>
      </c>
      <c r="C3" s="3">
        <v>5</v>
      </c>
      <c r="D3" s="3">
        <v>0</v>
      </c>
      <c r="E3" s="3">
        <v>1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114</v>
      </c>
      <c r="L3" s="3">
        <v>0</v>
      </c>
      <c r="M3" s="3">
        <v>0</v>
      </c>
    </row>
    <row r="4" spans="1:13" x14ac:dyDescent="0.25">
      <c r="A4" s="3" t="s">
        <v>394</v>
      </c>
      <c r="B4" s="4" t="s">
        <v>420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22</v>
      </c>
      <c r="L4" s="3">
        <v>0</v>
      </c>
      <c r="M4" s="3">
        <v>0</v>
      </c>
    </row>
    <row r="5" spans="1:13" x14ac:dyDescent="0.25">
      <c r="A5" s="3" t="s">
        <v>395</v>
      </c>
      <c r="B5" s="4" t="s">
        <v>403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48</v>
      </c>
      <c r="L5" s="3">
        <v>0</v>
      </c>
      <c r="M5" s="3">
        <v>0</v>
      </c>
    </row>
    <row r="6" spans="1:13" ht="30" x14ac:dyDescent="0.25">
      <c r="A6" s="4" t="s">
        <v>412</v>
      </c>
      <c r="B6" s="4" t="s">
        <v>412</v>
      </c>
      <c r="C6" s="3">
        <v>4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</row>
    <row r="7" spans="1:13" ht="30" x14ac:dyDescent="0.25">
      <c r="A7" s="3" t="s">
        <v>396</v>
      </c>
      <c r="B7" s="4" t="s">
        <v>404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1</v>
      </c>
      <c r="K7" s="3">
        <v>144</v>
      </c>
      <c r="L7" s="3">
        <v>0</v>
      </c>
      <c r="M7" s="3">
        <v>0</v>
      </c>
    </row>
    <row r="8" spans="1:13" ht="30" x14ac:dyDescent="0.25">
      <c r="A8" s="3" t="s">
        <v>416</v>
      </c>
      <c r="B8" s="4" t="s">
        <v>800</v>
      </c>
      <c r="C8" s="3">
        <v>0</v>
      </c>
      <c r="D8" s="3">
        <v>0</v>
      </c>
      <c r="E8" s="3">
        <v>39</v>
      </c>
      <c r="F8" s="3">
        <v>0</v>
      </c>
      <c r="G8" s="3">
        <v>0</v>
      </c>
      <c r="H8" s="3">
        <v>3</v>
      </c>
      <c r="I8" s="3">
        <v>0</v>
      </c>
      <c r="J8" s="3">
        <v>26</v>
      </c>
      <c r="K8" s="3">
        <v>281</v>
      </c>
      <c r="L8" s="3">
        <v>0</v>
      </c>
      <c r="M8" s="3">
        <v>0</v>
      </c>
    </row>
    <row r="9" spans="1:13" ht="45" x14ac:dyDescent="0.25">
      <c r="A9" s="3" t="s">
        <v>401</v>
      </c>
      <c r="B9" s="4" t="s">
        <v>405</v>
      </c>
      <c r="C9" s="3">
        <v>0</v>
      </c>
      <c r="D9" s="3">
        <v>0</v>
      </c>
      <c r="E9" s="3">
        <v>47</v>
      </c>
      <c r="F9" s="3">
        <v>0</v>
      </c>
      <c r="G9" s="3">
        <v>0</v>
      </c>
      <c r="H9" s="3">
        <v>0</v>
      </c>
      <c r="I9" s="3">
        <v>6</v>
      </c>
      <c r="J9" s="3">
        <v>0</v>
      </c>
      <c r="K9" s="3">
        <v>249</v>
      </c>
      <c r="L9" s="3">
        <v>0</v>
      </c>
      <c r="M9" s="3">
        <v>0</v>
      </c>
    </row>
    <row r="10" spans="1:13" ht="45" x14ac:dyDescent="0.25">
      <c r="A10" s="3" t="s">
        <v>397</v>
      </c>
      <c r="B10" s="4" t="s">
        <v>406</v>
      </c>
      <c r="C10" s="3">
        <v>0</v>
      </c>
      <c r="D10" s="3">
        <v>0</v>
      </c>
      <c r="E10" s="3">
        <v>1</v>
      </c>
      <c r="F10" s="3">
        <v>0</v>
      </c>
      <c r="G10" s="3">
        <v>1</v>
      </c>
      <c r="H10" s="3">
        <v>0</v>
      </c>
      <c r="I10" s="3">
        <v>0</v>
      </c>
      <c r="J10" s="3">
        <v>0</v>
      </c>
      <c r="K10" s="3">
        <v>107</v>
      </c>
      <c r="L10" s="3">
        <v>0</v>
      </c>
      <c r="M10" s="3">
        <v>1</v>
      </c>
    </row>
    <row r="11" spans="1:13" ht="45" x14ac:dyDescent="0.25">
      <c r="A11" s="3" t="s">
        <v>417</v>
      </c>
      <c r="B11" s="4" t="s">
        <v>621</v>
      </c>
      <c r="C11" s="3">
        <v>0</v>
      </c>
      <c r="D11" s="3">
        <v>0</v>
      </c>
      <c r="E11" s="3">
        <v>2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118</v>
      </c>
      <c r="L11" s="3">
        <v>0</v>
      </c>
      <c r="M11" s="3">
        <v>0</v>
      </c>
    </row>
    <row r="12" spans="1:13" ht="30" x14ac:dyDescent="0.25">
      <c r="A12" s="3" t="s">
        <v>398</v>
      </c>
      <c r="B12" s="4" t="s">
        <v>407</v>
      </c>
      <c r="C12" s="3">
        <v>0</v>
      </c>
      <c r="D12" s="3">
        <v>0</v>
      </c>
      <c r="E12" s="3">
        <v>0</v>
      </c>
      <c r="F12" s="3">
        <v>0</v>
      </c>
      <c r="G12" s="3">
        <v>2</v>
      </c>
      <c r="H12" s="3">
        <v>0</v>
      </c>
      <c r="I12" s="3">
        <v>0</v>
      </c>
      <c r="J12" s="3">
        <v>0</v>
      </c>
      <c r="K12" s="3">
        <v>101</v>
      </c>
      <c r="L12" s="3">
        <v>0</v>
      </c>
      <c r="M12" s="3">
        <v>1</v>
      </c>
    </row>
    <row r="13" spans="1:13" x14ac:dyDescent="0.25">
      <c r="A13" s="3" t="s">
        <v>402</v>
      </c>
      <c r="B13" s="4" t="s">
        <v>408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9</v>
      </c>
      <c r="L13" s="3">
        <v>0</v>
      </c>
      <c r="M13" s="3">
        <v>0</v>
      </c>
    </row>
    <row r="14" spans="1:13" ht="45" x14ac:dyDescent="0.25">
      <c r="A14" s="3" t="s">
        <v>392</v>
      </c>
      <c r="B14" s="4" t="s">
        <v>409</v>
      </c>
      <c r="C14" s="3">
        <v>3</v>
      </c>
      <c r="D14" s="3">
        <v>0</v>
      </c>
      <c r="E14" s="3">
        <v>9</v>
      </c>
      <c r="F14" s="3">
        <v>1</v>
      </c>
      <c r="G14" s="3">
        <v>0</v>
      </c>
      <c r="H14" s="3">
        <v>0</v>
      </c>
      <c r="I14" s="3">
        <v>0</v>
      </c>
      <c r="J14" s="3">
        <v>0</v>
      </c>
      <c r="K14" s="3">
        <v>82</v>
      </c>
      <c r="L14" s="3">
        <v>0</v>
      </c>
      <c r="M14" s="3">
        <v>10</v>
      </c>
    </row>
    <row r="15" spans="1:13" ht="45" x14ac:dyDescent="0.25">
      <c r="A15" s="3" t="s">
        <v>421</v>
      </c>
      <c r="B15" s="4" t="s">
        <v>622</v>
      </c>
      <c r="C15" s="3">
        <v>49</v>
      </c>
      <c r="D15" s="3">
        <v>0</v>
      </c>
      <c r="E15" s="3">
        <v>20</v>
      </c>
      <c r="F15" s="3">
        <v>15</v>
      </c>
      <c r="G15" s="3">
        <v>0</v>
      </c>
      <c r="H15" s="3">
        <v>0</v>
      </c>
      <c r="I15" s="3">
        <v>0</v>
      </c>
      <c r="J15" s="3">
        <v>7</v>
      </c>
      <c r="K15" s="3">
        <v>144</v>
      </c>
      <c r="L15" s="3">
        <v>0</v>
      </c>
      <c r="M15" s="3">
        <v>0</v>
      </c>
    </row>
    <row r="16" spans="1:13" ht="45" x14ac:dyDescent="0.25">
      <c r="A16" s="3" t="s">
        <v>418</v>
      </c>
      <c r="B16" s="4" t="s">
        <v>410</v>
      </c>
      <c r="C16" s="3">
        <v>0</v>
      </c>
      <c r="D16" s="3">
        <v>0</v>
      </c>
      <c r="E16" s="3">
        <v>17</v>
      </c>
      <c r="F16" s="3">
        <v>6</v>
      </c>
      <c r="G16" s="3">
        <v>0</v>
      </c>
      <c r="H16" s="3">
        <v>0</v>
      </c>
      <c r="I16" s="3">
        <v>16</v>
      </c>
      <c r="J16" s="3">
        <v>1</v>
      </c>
      <c r="K16" s="3">
        <v>181</v>
      </c>
      <c r="L16" s="3">
        <v>0</v>
      </c>
      <c r="M16" s="3">
        <v>0</v>
      </c>
    </row>
    <row r="17" spans="1:13" ht="30" x14ac:dyDescent="0.25">
      <c r="A17" s="3" t="s">
        <v>419</v>
      </c>
      <c r="B17" s="4" t="s">
        <v>411</v>
      </c>
      <c r="C17" s="3">
        <v>42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180</v>
      </c>
      <c r="L17" s="3">
        <v>0</v>
      </c>
      <c r="M17" s="3">
        <v>0</v>
      </c>
    </row>
    <row r="18" spans="1:13" ht="105" x14ac:dyDescent="0.25">
      <c r="A18" s="3" t="s">
        <v>391</v>
      </c>
      <c r="B18" s="4" t="s">
        <v>623</v>
      </c>
      <c r="C18" s="3">
        <v>0</v>
      </c>
      <c r="D18" s="3">
        <v>0</v>
      </c>
      <c r="E18" s="3">
        <v>1</v>
      </c>
      <c r="F18" s="3">
        <v>0</v>
      </c>
      <c r="G18" s="3">
        <v>1</v>
      </c>
      <c r="H18" s="3">
        <v>4</v>
      </c>
      <c r="I18" s="3">
        <v>0</v>
      </c>
      <c r="J18" s="3">
        <v>7</v>
      </c>
      <c r="K18" s="3">
        <v>459</v>
      </c>
      <c r="L18" s="3">
        <v>0</v>
      </c>
      <c r="M18" s="3">
        <v>0</v>
      </c>
    </row>
    <row r="19" spans="1:13" ht="30" x14ac:dyDescent="0.25">
      <c r="A19" s="3" t="s">
        <v>399</v>
      </c>
      <c r="B19" s="4" t="s">
        <v>413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74</v>
      </c>
      <c r="L19" s="3">
        <v>0</v>
      </c>
      <c r="M19" s="3">
        <v>0</v>
      </c>
    </row>
    <row r="20" spans="1:13" ht="30" x14ac:dyDescent="0.25">
      <c r="A20" s="3" t="s">
        <v>393</v>
      </c>
      <c r="B20" s="4" t="s">
        <v>414</v>
      </c>
      <c r="C20" s="3">
        <v>38</v>
      </c>
      <c r="D20" s="3">
        <v>1</v>
      </c>
      <c r="E20" s="3">
        <v>37</v>
      </c>
      <c r="F20" s="3">
        <v>0</v>
      </c>
      <c r="G20" s="3">
        <v>0</v>
      </c>
      <c r="H20" s="3">
        <v>0</v>
      </c>
      <c r="I20" s="3">
        <v>0</v>
      </c>
      <c r="J20" s="3">
        <v>1</v>
      </c>
      <c r="K20" s="3">
        <v>359</v>
      </c>
      <c r="L20" s="3">
        <v>0</v>
      </c>
      <c r="M20" s="3">
        <v>3</v>
      </c>
    </row>
    <row r="21" spans="1:13" ht="30" x14ac:dyDescent="0.25">
      <c r="A21" s="3" t="s">
        <v>400</v>
      </c>
      <c r="B21" s="4" t="s">
        <v>624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137</v>
      </c>
      <c r="L21" s="3">
        <v>0</v>
      </c>
      <c r="M21" s="3">
        <v>0</v>
      </c>
    </row>
    <row r="22" spans="1:13" x14ac:dyDescent="0.25">
      <c r="A22" t="s">
        <v>422</v>
      </c>
      <c r="B22" s="2" t="s">
        <v>423</v>
      </c>
      <c r="C22" s="8">
        <f>SUM(Table31[American Sign Language Total])</f>
        <v>141</v>
      </c>
      <c r="D22" s="8">
        <f>SUM(Table31[Cantonese Total])</f>
        <v>1</v>
      </c>
      <c r="E22" s="8">
        <f>SUM(Table31[French Total])</f>
        <v>174</v>
      </c>
      <c r="F22" s="8">
        <f>SUM(Table31[German Total])</f>
        <v>22</v>
      </c>
      <c r="G22" s="8">
        <f>SUM(Table31[[ Japanese Total]])</f>
        <v>4</v>
      </c>
      <c r="H22" s="8">
        <f>SUM(Table31[Korean Total])</f>
        <v>7</v>
      </c>
      <c r="I22" s="8">
        <f>SUM(Table31[Latin Total])</f>
        <v>22</v>
      </c>
      <c r="J22" s="8">
        <f>SUM(Table31[Mandarin Total])</f>
        <v>43</v>
      </c>
      <c r="K22" s="8">
        <f>SUM(Table31[Spanish Total])</f>
        <v>2809</v>
      </c>
      <c r="L22" s="8">
        <f>SUM(Table31[Vietnamese Total])</f>
        <v>0</v>
      </c>
      <c r="M22" s="8">
        <f>SUM(Table31[Other Total])</f>
        <v>15</v>
      </c>
    </row>
  </sheetData>
  <sortState xmlns:xlrd2="http://schemas.microsoft.com/office/spreadsheetml/2017/richdata2" ref="A2:A33">
    <sortCondition ref="A33"/>
  </sortState>
  <pageMargins left="0.7" right="0.7" top="0.75" bottom="0.75" header="0.3" footer="0.3"/>
  <pageSetup scale="58" fitToHeight="0" orientation="landscape" r:id="rId1"/>
  <tableParts count="1">
    <tablePart r:id="rId2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M11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25.6328125" bestFit="1" customWidth="1"/>
    <col min="2" max="2" width="26.90625" customWidth="1"/>
    <col min="3" max="3" width="17" customWidth="1"/>
    <col min="4" max="4" width="12.7265625" customWidth="1"/>
    <col min="5" max="5" width="10.08984375" customWidth="1"/>
    <col min="6" max="6" width="10.6328125" customWidth="1"/>
    <col min="7" max="7" width="12.6328125" customWidth="1"/>
    <col min="8" max="8" width="9.6328125" customWidth="1"/>
    <col min="9" max="9" width="8.6328125" customWidth="1"/>
    <col min="10" max="10" width="12" customWidth="1"/>
    <col min="11" max="11" width="10.81640625" customWidth="1"/>
    <col min="12" max="12" width="13.6328125" customWidth="1"/>
    <col min="13" max="13" width="9" customWidth="1"/>
  </cols>
  <sheetData>
    <row r="1" spans="1:13" ht="21" x14ac:dyDescent="0.4">
      <c r="A1" s="18" t="s">
        <v>788</v>
      </c>
    </row>
    <row r="2" spans="1:13" ht="30" x14ac:dyDescent="0.25">
      <c r="A2" s="3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31</v>
      </c>
      <c r="G2" s="4" t="s">
        <v>32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25">
      <c r="A3" t="s">
        <v>431</v>
      </c>
      <c r="B3" t="s">
        <v>436</v>
      </c>
      <c r="C3">
        <v>0</v>
      </c>
      <c r="D3">
        <v>0</v>
      </c>
      <c r="E3">
        <v>8</v>
      </c>
      <c r="F3">
        <v>0</v>
      </c>
      <c r="G3">
        <v>0</v>
      </c>
      <c r="H3">
        <v>0</v>
      </c>
      <c r="I3">
        <v>0</v>
      </c>
      <c r="J3">
        <v>0</v>
      </c>
      <c r="K3">
        <v>28</v>
      </c>
      <c r="L3">
        <v>0</v>
      </c>
      <c r="M3">
        <v>7</v>
      </c>
    </row>
    <row r="4" spans="1:13" ht="81.45" customHeight="1" x14ac:dyDescent="0.25">
      <c r="A4" s="3" t="s">
        <v>432</v>
      </c>
      <c r="B4" s="4" t="s">
        <v>427</v>
      </c>
      <c r="C4" s="3">
        <v>0</v>
      </c>
      <c r="D4" s="3">
        <v>0</v>
      </c>
      <c r="E4" s="3">
        <v>70</v>
      </c>
      <c r="F4" s="3">
        <v>0</v>
      </c>
      <c r="G4" s="3">
        <v>45</v>
      </c>
      <c r="H4" s="3">
        <v>0</v>
      </c>
      <c r="I4" s="3">
        <v>0</v>
      </c>
      <c r="J4" s="3">
        <v>10</v>
      </c>
      <c r="K4" s="3">
        <v>345</v>
      </c>
      <c r="L4" s="3">
        <v>10</v>
      </c>
      <c r="M4" s="3">
        <v>0</v>
      </c>
    </row>
    <row r="5" spans="1:13" x14ac:dyDescent="0.25">
      <c r="A5" s="3" t="s">
        <v>433</v>
      </c>
      <c r="B5" s="4" t="s">
        <v>428</v>
      </c>
      <c r="C5" s="3">
        <v>0</v>
      </c>
      <c r="D5" s="3">
        <v>0</v>
      </c>
      <c r="E5" s="3">
        <v>0</v>
      </c>
      <c r="F5" s="3">
        <v>3</v>
      </c>
      <c r="G5" s="3">
        <v>0</v>
      </c>
      <c r="H5" s="3">
        <v>0</v>
      </c>
      <c r="I5" s="3">
        <v>0</v>
      </c>
      <c r="J5" s="3">
        <v>0</v>
      </c>
      <c r="K5" s="3">
        <v>65</v>
      </c>
      <c r="L5" s="3">
        <v>0</v>
      </c>
      <c r="M5" s="3">
        <v>0</v>
      </c>
    </row>
    <row r="6" spans="1:13" ht="60" x14ac:dyDescent="0.25">
      <c r="A6" s="3" t="s">
        <v>425</v>
      </c>
      <c r="B6" s="4" t="s">
        <v>625</v>
      </c>
      <c r="C6" s="3">
        <v>0</v>
      </c>
      <c r="D6" s="3">
        <v>0</v>
      </c>
      <c r="E6" s="3">
        <v>19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84</v>
      </c>
      <c r="L6" s="3">
        <v>0</v>
      </c>
      <c r="M6" s="3">
        <v>10</v>
      </c>
    </row>
    <row r="7" spans="1:13" x14ac:dyDescent="0.25">
      <c r="A7" s="3" t="s">
        <v>434</v>
      </c>
      <c r="B7" s="4" t="s">
        <v>429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21</v>
      </c>
      <c r="L7" s="3">
        <v>0</v>
      </c>
      <c r="M7" s="3">
        <v>0</v>
      </c>
    </row>
    <row r="8" spans="1:13" ht="150" x14ac:dyDescent="0.25">
      <c r="A8" s="3" t="s">
        <v>426</v>
      </c>
      <c r="B8" s="4" t="s">
        <v>626</v>
      </c>
      <c r="C8" s="3">
        <v>1</v>
      </c>
      <c r="D8" s="3">
        <v>2</v>
      </c>
      <c r="E8" s="3">
        <v>31</v>
      </c>
      <c r="F8" s="3">
        <v>8</v>
      </c>
      <c r="G8" s="3">
        <v>32</v>
      </c>
      <c r="H8" s="3">
        <v>1</v>
      </c>
      <c r="I8" s="3">
        <v>5</v>
      </c>
      <c r="J8" s="3">
        <v>19</v>
      </c>
      <c r="K8" s="3">
        <v>151</v>
      </c>
      <c r="L8" s="3">
        <v>2</v>
      </c>
      <c r="M8" s="3">
        <v>30</v>
      </c>
    </row>
    <row r="9" spans="1:13" ht="120" x14ac:dyDescent="0.25">
      <c r="A9" s="3" t="s">
        <v>435</v>
      </c>
      <c r="B9" s="4" t="s">
        <v>430</v>
      </c>
      <c r="C9" s="3">
        <v>1</v>
      </c>
      <c r="D9" s="3">
        <v>0</v>
      </c>
      <c r="E9" s="3">
        <v>103</v>
      </c>
      <c r="F9" s="3">
        <v>5</v>
      </c>
      <c r="G9" s="3">
        <v>26</v>
      </c>
      <c r="H9" s="3">
        <v>4</v>
      </c>
      <c r="I9" s="3">
        <v>0</v>
      </c>
      <c r="J9" s="3">
        <v>32</v>
      </c>
      <c r="K9" s="3">
        <v>213</v>
      </c>
      <c r="L9" s="3">
        <v>1</v>
      </c>
      <c r="M9" s="3">
        <v>24</v>
      </c>
    </row>
    <row r="10" spans="1:13" ht="75" x14ac:dyDescent="0.25">
      <c r="A10" s="3" t="s">
        <v>424</v>
      </c>
      <c r="B10" s="4" t="s">
        <v>627</v>
      </c>
      <c r="C10" s="3">
        <v>0</v>
      </c>
      <c r="D10" s="3">
        <v>0</v>
      </c>
      <c r="E10" s="3">
        <v>9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125</v>
      </c>
      <c r="L10" s="3">
        <v>1</v>
      </c>
      <c r="M10" s="3">
        <v>60</v>
      </c>
    </row>
    <row r="11" spans="1:13" x14ac:dyDescent="0.25">
      <c r="A11" t="s">
        <v>437</v>
      </c>
      <c r="B11" s="7" t="s">
        <v>438</v>
      </c>
      <c r="C11" s="8">
        <f>SUM(Table32[American Sign Language Total])</f>
        <v>2</v>
      </c>
      <c r="D11" s="8">
        <f>SUM(Table32[Cantonese Total])</f>
        <v>2</v>
      </c>
      <c r="E11" s="8">
        <f>SUM(Table32[French Total])</f>
        <v>240</v>
      </c>
      <c r="F11" s="8">
        <f>SUM(Table32[German Total])</f>
        <v>16</v>
      </c>
      <c r="G11" s="8">
        <f>SUM(Table32[[ Japanese Total]])</f>
        <v>103</v>
      </c>
      <c r="H11" s="8">
        <f>SUM(Table32[Korean Total])</f>
        <v>5</v>
      </c>
      <c r="I11" s="8">
        <f>SUM(Table32[Latin Total])</f>
        <v>5</v>
      </c>
      <c r="J11" s="8">
        <f>SUM(Table32[Mandarin Total])</f>
        <v>61</v>
      </c>
      <c r="K11" s="8">
        <f>SUM(Table32[Spanish Total])</f>
        <v>1032</v>
      </c>
      <c r="L11" s="8">
        <f>SUM(Table32[Vietnamese Total])</f>
        <v>14</v>
      </c>
      <c r="M11" s="8">
        <f>SUM(Table32[Other Total])</f>
        <v>131</v>
      </c>
    </row>
  </sheetData>
  <sortState xmlns:xlrd2="http://schemas.microsoft.com/office/spreadsheetml/2017/richdata2" ref="A2:A14">
    <sortCondition ref="A2"/>
  </sortState>
  <pageMargins left="0.7" right="0.7" top="0.75" bottom="0.75" header="0.3" footer="0.3"/>
  <pageSetup scale="57" fitToHeight="0" orientation="landscape" r:id="rId1"/>
  <tableParts count="1">
    <tablePart r:id="rId2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M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24.7265625" bestFit="1" customWidth="1"/>
    <col min="2" max="2" width="22.453125" bestFit="1" customWidth="1"/>
    <col min="3" max="3" width="18.08984375" customWidth="1"/>
    <col min="4" max="4" width="13.26953125" customWidth="1"/>
    <col min="5" max="5" width="9.81640625" customWidth="1"/>
    <col min="6" max="6" width="10.7265625" customWidth="1"/>
    <col min="7" max="7" width="12.26953125" customWidth="1"/>
    <col min="8" max="8" width="10.453125" customWidth="1"/>
    <col min="9" max="9" width="8.81640625" customWidth="1"/>
    <col min="10" max="10" width="12.08984375" customWidth="1"/>
    <col min="11" max="11" width="10.81640625" customWidth="1"/>
    <col min="12" max="12" width="14" customWidth="1"/>
    <col min="13" max="13" width="9.26953125" customWidth="1"/>
  </cols>
  <sheetData>
    <row r="1" spans="1:13" ht="21" x14ac:dyDescent="0.4">
      <c r="A1" s="18" t="s">
        <v>586</v>
      </c>
    </row>
    <row r="2" spans="1:13" ht="30" x14ac:dyDescent="0.25">
      <c r="A2" s="3" t="s">
        <v>4</v>
      </c>
      <c r="B2" s="3" t="s">
        <v>5</v>
      </c>
      <c r="C2" s="4" t="s">
        <v>6</v>
      </c>
      <c r="D2" s="4" t="s">
        <v>7</v>
      </c>
      <c r="E2" s="4" t="s">
        <v>8</v>
      </c>
      <c r="F2" s="4" t="s">
        <v>31</v>
      </c>
      <c r="G2" s="4" t="s">
        <v>32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25">
      <c r="A3" t="s">
        <v>439</v>
      </c>
      <c r="B3" t="s">
        <v>439</v>
      </c>
      <c r="C3">
        <v>20</v>
      </c>
      <c r="D3">
        <v>0</v>
      </c>
      <c r="E3">
        <v>10</v>
      </c>
      <c r="F3">
        <v>0</v>
      </c>
      <c r="G3">
        <v>0</v>
      </c>
      <c r="H3">
        <v>0</v>
      </c>
      <c r="I3">
        <v>0</v>
      </c>
      <c r="J3">
        <v>0</v>
      </c>
      <c r="K3">
        <v>63</v>
      </c>
      <c r="L3">
        <v>0</v>
      </c>
      <c r="M3">
        <v>0</v>
      </c>
    </row>
    <row r="4" spans="1:13" x14ac:dyDescent="0.25">
      <c r="A4" t="s">
        <v>440</v>
      </c>
      <c r="B4" s="2" t="s">
        <v>52</v>
      </c>
      <c r="C4">
        <f>SUM(Table33[American Sign Language Total])</f>
        <v>20</v>
      </c>
      <c r="D4">
        <f>SUM(Table33[Cantonese Total])</f>
        <v>0</v>
      </c>
      <c r="E4">
        <f>SUM(Table33[French Total])</f>
        <v>10</v>
      </c>
      <c r="F4">
        <f>SUM(Table33[German Total])</f>
        <v>0</v>
      </c>
      <c r="G4">
        <f>SUM(Table33[[ Japanese Total]])</f>
        <v>0</v>
      </c>
      <c r="H4">
        <f>SUM(Table33[Korean Total])</f>
        <v>0</v>
      </c>
      <c r="I4">
        <f>SUM(Table33[Latin Total])</f>
        <v>0</v>
      </c>
      <c r="J4">
        <f>SUM(Table33[Mandarin Total])</f>
        <v>0</v>
      </c>
      <c r="K4">
        <f>SUM(Table33[Spanish Total])</f>
        <v>63</v>
      </c>
      <c r="L4">
        <f>SUM(Table33[Vietnamese Total])</f>
        <v>0</v>
      </c>
      <c r="M4">
        <f>SUM(Table33[Other Total])</f>
        <v>0</v>
      </c>
    </row>
  </sheetData>
  <pageMargins left="0.7" right="0.7" top="0.75" bottom="0.75" header="0.3" footer="0.3"/>
  <pageSetup scale="58" fitToHeight="0" orientation="landscape" r:id="rId1"/>
  <tableParts count="1">
    <tablePart r:id="rId2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M22"/>
  <sheetViews>
    <sheetView zoomScaleNormal="100" workbookViewId="0">
      <pane xSplit="1" ySplit="2" topLeftCell="C9" activePane="bottomRight" state="frozen"/>
      <selection pane="topRight" activeCell="B1" sqref="B1"/>
      <selection pane="bottomLeft" activeCell="A2" sqref="A2"/>
      <selection pane="bottomRight" activeCell="C15" sqref="C15"/>
    </sheetView>
  </sheetViews>
  <sheetFormatPr defaultRowHeight="15" x14ac:dyDescent="0.25"/>
  <cols>
    <col min="1" max="1" width="30" bestFit="1" customWidth="1"/>
    <col min="2" max="2" width="24.90625" customWidth="1"/>
    <col min="3" max="3" width="17.08984375" customWidth="1"/>
    <col min="4" max="4" width="12.6328125" customWidth="1"/>
    <col min="5" max="5" width="9.7265625" customWidth="1"/>
    <col min="6" max="6" width="10.7265625" customWidth="1"/>
    <col min="7" max="7" width="12.6328125" customWidth="1"/>
    <col min="8" max="8" width="10" customWidth="1"/>
    <col min="9" max="9" width="8.26953125" customWidth="1"/>
    <col min="10" max="10" width="11.90625" customWidth="1"/>
    <col min="11" max="11" width="10.81640625" customWidth="1"/>
    <col min="12" max="12" width="13.36328125" customWidth="1"/>
    <col min="13" max="13" width="9.1796875" customWidth="1"/>
  </cols>
  <sheetData>
    <row r="1" spans="1:13" ht="21" x14ac:dyDescent="0.4">
      <c r="A1" s="18" t="s">
        <v>587</v>
      </c>
    </row>
    <row r="2" spans="1:13" ht="30" x14ac:dyDescent="0.25">
      <c r="A2" s="3" t="s">
        <v>4</v>
      </c>
      <c r="B2" s="3" t="s">
        <v>5</v>
      </c>
      <c r="C2" s="1" t="s">
        <v>6</v>
      </c>
      <c r="D2" s="1" t="s">
        <v>7</v>
      </c>
      <c r="E2" s="1" t="s">
        <v>8</v>
      </c>
      <c r="F2" s="1" t="s">
        <v>31</v>
      </c>
      <c r="G2" s="1" t="s">
        <v>32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</row>
    <row r="3" spans="1:13" ht="30" x14ac:dyDescent="0.25">
      <c r="A3" s="3" t="s">
        <v>454</v>
      </c>
      <c r="B3" s="4" t="s">
        <v>444</v>
      </c>
      <c r="C3" s="3">
        <v>0</v>
      </c>
      <c r="D3" s="3">
        <v>0</v>
      </c>
      <c r="E3" s="3">
        <v>3</v>
      </c>
      <c r="F3" s="3">
        <v>0</v>
      </c>
      <c r="G3" s="3">
        <v>0</v>
      </c>
      <c r="H3" s="3">
        <v>0</v>
      </c>
      <c r="I3" s="3">
        <v>0</v>
      </c>
      <c r="J3" s="3">
        <v>1</v>
      </c>
      <c r="K3" s="3">
        <v>34</v>
      </c>
      <c r="L3" s="3">
        <v>1</v>
      </c>
      <c r="M3" s="3">
        <v>1</v>
      </c>
    </row>
    <row r="4" spans="1:13" x14ac:dyDescent="0.25">
      <c r="A4" s="3" t="s">
        <v>455</v>
      </c>
      <c r="B4" s="4" t="s">
        <v>445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12</v>
      </c>
      <c r="L4" s="3">
        <v>0</v>
      </c>
      <c r="M4" s="3">
        <v>0</v>
      </c>
    </row>
    <row r="5" spans="1:13" ht="105" x14ac:dyDescent="0.25">
      <c r="A5" s="3" t="s">
        <v>456</v>
      </c>
      <c r="B5" s="4" t="s">
        <v>628</v>
      </c>
      <c r="C5" s="3">
        <v>29</v>
      </c>
      <c r="D5" s="3">
        <v>13</v>
      </c>
      <c r="E5" s="3">
        <v>45</v>
      </c>
      <c r="F5" s="3">
        <v>0</v>
      </c>
      <c r="G5" s="3">
        <v>0</v>
      </c>
      <c r="H5" s="3">
        <v>0</v>
      </c>
      <c r="I5" s="3">
        <v>14</v>
      </c>
      <c r="J5" s="3">
        <v>0</v>
      </c>
      <c r="K5" s="3">
        <v>798</v>
      </c>
      <c r="L5" s="3">
        <v>0</v>
      </c>
      <c r="M5" s="3">
        <v>0</v>
      </c>
    </row>
    <row r="6" spans="1:13" ht="30" x14ac:dyDescent="0.25">
      <c r="A6" s="3" t="s">
        <v>442</v>
      </c>
      <c r="B6" s="4" t="s">
        <v>446</v>
      </c>
      <c r="C6" s="3">
        <v>0</v>
      </c>
      <c r="D6" s="3">
        <v>15</v>
      </c>
      <c r="E6" s="3">
        <v>12</v>
      </c>
      <c r="F6" s="3">
        <v>0</v>
      </c>
      <c r="G6" s="3">
        <v>0</v>
      </c>
      <c r="H6" s="3">
        <v>0</v>
      </c>
      <c r="I6" s="3">
        <v>0</v>
      </c>
      <c r="J6" s="3">
        <v>16</v>
      </c>
      <c r="K6" s="3">
        <v>112</v>
      </c>
      <c r="L6" s="3">
        <v>0</v>
      </c>
      <c r="M6" s="3">
        <v>0</v>
      </c>
    </row>
    <row r="7" spans="1:13" ht="30" x14ac:dyDescent="0.25">
      <c r="A7" s="3" t="s">
        <v>457</v>
      </c>
      <c r="B7" s="4" t="s">
        <v>447</v>
      </c>
      <c r="C7" s="3">
        <v>0</v>
      </c>
      <c r="D7" s="3">
        <v>0</v>
      </c>
      <c r="E7" s="3">
        <v>5</v>
      </c>
      <c r="F7" s="3">
        <v>5</v>
      </c>
      <c r="G7" s="3">
        <v>0</v>
      </c>
      <c r="H7" s="3">
        <v>0</v>
      </c>
      <c r="I7" s="3">
        <v>0</v>
      </c>
      <c r="J7" s="3">
        <v>0</v>
      </c>
      <c r="K7" s="3">
        <v>111</v>
      </c>
      <c r="L7" s="3">
        <v>0</v>
      </c>
      <c r="M7" s="3">
        <v>0</v>
      </c>
    </row>
    <row r="8" spans="1:13" ht="60" x14ac:dyDescent="0.25">
      <c r="A8" s="3" t="s">
        <v>458</v>
      </c>
      <c r="B8" s="4" t="s">
        <v>629</v>
      </c>
      <c r="C8" s="3">
        <v>0</v>
      </c>
      <c r="D8" s="3">
        <v>0</v>
      </c>
      <c r="E8" s="3">
        <v>8</v>
      </c>
      <c r="F8" s="3">
        <v>0</v>
      </c>
      <c r="G8" s="3">
        <v>0</v>
      </c>
      <c r="H8" s="3">
        <v>0</v>
      </c>
      <c r="I8" s="3">
        <v>0</v>
      </c>
      <c r="J8" s="3">
        <v>2</v>
      </c>
      <c r="K8" s="3">
        <v>352</v>
      </c>
      <c r="L8" s="3">
        <v>0</v>
      </c>
      <c r="M8" s="3">
        <v>4</v>
      </c>
    </row>
    <row r="9" spans="1:13" ht="30" x14ac:dyDescent="0.25">
      <c r="A9" s="3" t="s">
        <v>459</v>
      </c>
      <c r="B9" s="4" t="s">
        <v>448</v>
      </c>
      <c r="C9" s="3">
        <v>0</v>
      </c>
      <c r="D9" s="3">
        <v>0</v>
      </c>
      <c r="E9" s="3">
        <v>17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101</v>
      </c>
      <c r="L9" s="3">
        <v>0</v>
      </c>
      <c r="M9" s="3">
        <v>0</v>
      </c>
    </row>
    <row r="10" spans="1:13" x14ac:dyDescent="0.25">
      <c r="A10" s="3" t="s">
        <v>443</v>
      </c>
      <c r="B10" s="4" t="s">
        <v>449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1</v>
      </c>
      <c r="K10" s="3">
        <v>2</v>
      </c>
      <c r="L10" s="3">
        <v>0</v>
      </c>
      <c r="M10" s="3">
        <v>0</v>
      </c>
    </row>
    <row r="11" spans="1:13" ht="30" x14ac:dyDescent="0.25">
      <c r="A11" s="3" t="s">
        <v>450</v>
      </c>
      <c r="B11" s="4" t="s">
        <v>630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11</v>
      </c>
      <c r="L11" s="3">
        <v>0</v>
      </c>
      <c r="M11" s="3">
        <v>0</v>
      </c>
    </row>
    <row r="12" spans="1:13" x14ac:dyDescent="0.25">
      <c r="A12" s="3" t="s">
        <v>441</v>
      </c>
      <c r="B12" s="4" t="s">
        <v>451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6</v>
      </c>
      <c r="L12" s="3">
        <v>0</v>
      </c>
      <c r="M12" s="3">
        <v>0</v>
      </c>
    </row>
    <row r="13" spans="1:13" ht="45" x14ac:dyDescent="0.25">
      <c r="A13" s="3" t="s">
        <v>460</v>
      </c>
      <c r="B13" s="4" t="s">
        <v>631</v>
      </c>
      <c r="C13" s="3">
        <v>0</v>
      </c>
      <c r="D13" s="3">
        <v>0</v>
      </c>
      <c r="E13" s="3">
        <v>17</v>
      </c>
      <c r="F13" s="3">
        <v>0</v>
      </c>
      <c r="G13" s="3">
        <v>0</v>
      </c>
      <c r="H13" s="3">
        <v>0</v>
      </c>
      <c r="I13" s="3">
        <v>3</v>
      </c>
      <c r="J13" s="3">
        <v>0</v>
      </c>
      <c r="K13" s="3">
        <v>124</v>
      </c>
      <c r="L13" s="3">
        <v>0</v>
      </c>
      <c r="M13" s="3">
        <v>0</v>
      </c>
    </row>
    <row r="14" spans="1:13" ht="45" x14ac:dyDescent="0.25">
      <c r="A14" s="3" t="s">
        <v>461</v>
      </c>
      <c r="B14" s="4" t="s">
        <v>632</v>
      </c>
      <c r="C14" s="3">
        <v>0</v>
      </c>
      <c r="D14" s="3">
        <v>0</v>
      </c>
      <c r="E14" s="3">
        <v>3</v>
      </c>
      <c r="F14" s="3">
        <v>13</v>
      </c>
      <c r="G14" s="3">
        <v>0</v>
      </c>
      <c r="H14" s="3">
        <v>0</v>
      </c>
      <c r="I14" s="3">
        <v>0</v>
      </c>
      <c r="J14" s="3">
        <v>0</v>
      </c>
      <c r="K14" s="3">
        <v>214</v>
      </c>
      <c r="L14" s="3">
        <v>1</v>
      </c>
      <c r="M14" s="3">
        <v>0</v>
      </c>
    </row>
    <row r="15" spans="1:13" x14ac:dyDescent="0.25">
      <c r="A15" s="3" t="s">
        <v>791</v>
      </c>
      <c r="B15" s="4" t="s">
        <v>792</v>
      </c>
      <c r="C15" s="3">
        <v>0</v>
      </c>
      <c r="D15" s="3">
        <v>0</v>
      </c>
      <c r="E15" s="3">
        <v>3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9</v>
      </c>
      <c r="L15" s="3">
        <v>0</v>
      </c>
      <c r="M15" s="3">
        <v>0</v>
      </c>
    </row>
    <row r="16" spans="1:13" ht="75" x14ac:dyDescent="0.25">
      <c r="A16" s="3" t="s">
        <v>462</v>
      </c>
      <c r="B16" s="4" t="s">
        <v>452</v>
      </c>
      <c r="C16" s="3">
        <v>0</v>
      </c>
      <c r="D16" s="3">
        <v>0</v>
      </c>
      <c r="E16" s="3">
        <v>40</v>
      </c>
      <c r="F16" s="3">
        <v>4</v>
      </c>
      <c r="G16" s="3">
        <v>0</v>
      </c>
      <c r="H16" s="3">
        <v>0</v>
      </c>
      <c r="I16" s="3">
        <v>0</v>
      </c>
      <c r="J16" s="3">
        <v>0</v>
      </c>
      <c r="K16" s="3">
        <v>418</v>
      </c>
      <c r="L16" s="3">
        <v>0</v>
      </c>
      <c r="M16" s="3">
        <v>0</v>
      </c>
    </row>
    <row r="17" spans="1:13" x14ac:dyDescent="0.25">
      <c r="A17" s="3" t="s">
        <v>465</v>
      </c>
      <c r="B17" s="4" t="s">
        <v>468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1</v>
      </c>
      <c r="L17" s="3">
        <v>0</v>
      </c>
      <c r="M17" s="3">
        <v>0</v>
      </c>
    </row>
    <row r="18" spans="1:13" x14ac:dyDescent="0.25">
      <c r="A18" s="3" t="s">
        <v>463</v>
      </c>
      <c r="B18" s="4" t="s">
        <v>633</v>
      </c>
      <c r="C18" s="3">
        <v>0</v>
      </c>
      <c r="D18" s="3">
        <v>0</v>
      </c>
      <c r="E18" s="3">
        <v>0</v>
      </c>
      <c r="F18" s="3">
        <v>0</v>
      </c>
      <c r="G18" s="3">
        <v>1</v>
      </c>
      <c r="H18" s="3">
        <v>3</v>
      </c>
      <c r="I18" s="3">
        <v>0</v>
      </c>
      <c r="J18" s="3">
        <v>0</v>
      </c>
      <c r="K18" s="3">
        <v>72</v>
      </c>
      <c r="L18" s="3">
        <v>0</v>
      </c>
      <c r="M18" s="3">
        <v>0</v>
      </c>
    </row>
    <row r="19" spans="1:13" x14ac:dyDescent="0.25">
      <c r="A19" s="3" t="s">
        <v>464</v>
      </c>
      <c r="B19" s="4" t="s">
        <v>469</v>
      </c>
      <c r="C19" s="3">
        <v>0</v>
      </c>
      <c r="D19" s="3">
        <v>0</v>
      </c>
      <c r="E19" s="3">
        <v>11</v>
      </c>
      <c r="F19" s="3">
        <v>0</v>
      </c>
      <c r="G19" s="3">
        <v>0</v>
      </c>
      <c r="H19" s="3">
        <v>0</v>
      </c>
      <c r="I19" s="3">
        <v>0</v>
      </c>
      <c r="J19" s="3">
        <v>1</v>
      </c>
      <c r="K19" s="3">
        <v>73</v>
      </c>
      <c r="L19" s="3">
        <v>0</v>
      </c>
      <c r="M19" s="3">
        <v>0</v>
      </c>
    </row>
    <row r="20" spans="1:13" ht="75" x14ac:dyDescent="0.25">
      <c r="A20" s="3" t="s">
        <v>466</v>
      </c>
      <c r="B20" s="4" t="s">
        <v>453</v>
      </c>
      <c r="C20" s="3">
        <v>0</v>
      </c>
      <c r="D20" s="3">
        <v>0</v>
      </c>
      <c r="E20" s="3">
        <v>23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102</v>
      </c>
      <c r="L20" s="3">
        <v>0</v>
      </c>
      <c r="M20" s="3">
        <v>0</v>
      </c>
    </row>
    <row r="21" spans="1:13" x14ac:dyDescent="0.25">
      <c r="A21" s="3" t="s">
        <v>467</v>
      </c>
      <c r="B21" s="4" t="s">
        <v>470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35</v>
      </c>
      <c r="L21" s="3">
        <v>0</v>
      </c>
      <c r="M21" s="3">
        <v>0</v>
      </c>
    </row>
    <row r="22" spans="1:13" x14ac:dyDescent="0.25">
      <c r="A22" t="s">
        <v>542</v>
      </c>
      <c r="B22" s="2" t="s">
        <v>543</v>
      </c>
      <c r="C22" s="8">
        <f>SUM(Table34[American Sign Language Total])</f>
        <v>29</v>
      </c>
      <c r="D22" s="8">
        <f>SUM(Table34[Cantonese Total])</f>
        <v>28</v>
      </c>
      <c r="E22" s="8">
        <f>SUM(Table34[French Total])</f>
        <v>187</v>
      </c>
      <c r="F22" s="8">
        <f>SUM(Table34[German Total])</f>
        <v>22</v>
      </c>
      <c r="G22" s="8">
        <f>SUM(Table34[[ Japanese Total]])</f>
        <v>1</v>
      </c>
      <c r="H22" s="8">
        <f>SUM(Table34[Korean Total])</f>
        <v>3</v>
      </c>
      <c r="I22" s="8">
        <f>SUM(Table34[Latin Total])</f>
        <v>17</v>
      </c>
      <c r="J22" s="8">
        <f>SUM(Table34[Mandarin Total])</f>
        <v>21</v>
      </c>
      <c r="K22" s="8">
        <f>SUM(Table34[Spanish Total])</f>
        <v>2587</v>
      </c>
      <c r="L22" s="8">
        <f>SUM(Table34[Vietnamese Total])</f>
        <v>2</v>
      </c>
      <c r="M22" s="8">
        <f>SUM(Table34[Other Total])</f>
        <v>5</v>
      </c>
    </row>
  </sheetData>
  <sortState xmlns:xlrd2="http://schemas.microsoft.com/office/spreadsheetml/2017/richdata2" ref="A2:A19">
    <sortCondition ref="A2"/>
  </sortState>
  <pageMargins left="0.7" right="0.7" top="0.75" bottom="0.75" header="0.3" footer="0.3"/>
  <pageSetup scale="56" orientation="landscape" r:id="rId1"/>
  <tableParts count="1">
    <tablePart r:id="rId2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M1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25.26953125" bestFit="1" customWidth="1"/>
    <col min="2" max="2" width="20.7265625" customWidth="1"/>
    <col min="3" max="3" width="15.36328125" customWidth="1"/>
    <col min="4" max="4" width="11.36328125" customWidth="1"/>
    <col min="5" max="5" width="9" customWidth="1"/>
    <col min="6" max="6" width="10.08984375" customWidth="1"/>
    <col min="7" max="7" width="11.26953125" customWidth="1"/>
    <col min="8" max="8" width="9" customWidth="1"/>
    <col min="9" max="9" width="8.1796875" customWidth="1"/>
    <col min="10" max="10" width="11.26953125" customWidth="1"/>
    <col min="11" max="11" width="10.1796875" customWidth="1"/>
    <col min="12" max="12" width="12.36328125" customWidth="1"/>
    <col min="13" max="13" width="8.36328125" customWidth="1"/>
  </cols>
  <sheetData>
    <row r="1" spans="1:13" ht="21" x14ac:dyDescent="0.4">
      <c r="A1" s="18" t="s">
        <v>588</v>
      </c>
    </row>
    <row r="2" spans="1:13" ht="30" x14ac:dyDescent="0.25">
      <c r="A2" s="3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31</v>
      </c>
      <c r="G2" s="4" t="s">
        <v>32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ht="30" x14ac:dyDescent="0.25">
      <c r="A3" s="3" t="s">
        <v>544</v>
      </c>
      <c r="B3" s="4" t="s">
        <v>477</v>
      </c>
      <c r="C3" s="3">
        <v>21</v>
      </c>
      <c r="D3" s="3">
        <v>0</v>
      </c>
      <c r="E3" s="3">
        <v>5</v>
      </c>
      <c r="F3" s="3">
        <v>0</v>
      </c>
      <c r="G3" s="3">
        <v>0</v>
      </c>
      <c r="H3" s="3">
        <v>0</v>
      </c>
      <c r="I3" s="3">
        <v>0</v>
      </c>
      <c r="J3" s="3">
        <v>1</v>
      </c>
      <c r="K3" s="3">
        <v>136</v>
      </c>
      <c r="L3" s="3">
        <v>0</v>
      </c>
      <c r="M3" s="3">
        <v>0</v>
      </c>
    </row>
    <row r="4" spans="1:13" x14ac:dyDescent="0.25">
      <c r="A4" s="3" t="s">
        <v>474</v>
      </c>
      <c r="B4" s="4" t="s">
        <v>478</v>
      </c>
      <c r="C4" s="3">
        <v>0</v>
      </c>
      <c r="D4" s="3">
        <v>0</v>
      </c>
      <c r="E4" s="3">
        <v>4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24</v>
      </c>
      <c r="L4" s="3">
        <v>0</v>
      </c>
      <c r="M4" s="3">
        <v>0</v>
      </c>
    </row>
    <row r="5" spans="1:13" ht="90" x14ac:dyDescent="0.25">
      <c r="A5" s="3" t="s">
        <v>472</v>
      </c>
      <c r="B5" s="4" t="s">
        <v>479</v>
      </c>
      <c r="C5" s="3">
        <v>0</v>
      </c>
      <c r="D5" s="3">
        <v>0</v>
      </c>
      <c r="E5" s="3">
        <v>1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320</v>
      </c>
      <c r="L5" s="3">
        <v>0</v>
      </c>
      <c r="M5" s="3">
        <v>0</v>
      </c>
    </row>
    <row r="6" spans="1:13" ht="165" x14ac:dyDescent="0.25">
      <c r="A6" s="3" t="s">
        <v>545</v>
      </c>
      <c r="B6" s="4" t="s">
        <v>634</v>
      </c>
      <c r="C6" s="3">
        <v>3</v>
      </c>
      <c r="D6" s="3">
        <v>0</v>
      </c>
      <c r="E6" s="3">
        <v>38</v>
      </c>
      <c r="F6" s="3">
        <v>23</v>
      </c>
      <c r="G6" s="3">
        <v>0</v>
      </c>
      <c r="H6" s="3">
        <v>0</v>
      </c>
      <c r="I6" s="3">
        <v>0</v>
      </c>
      <c r="J6" s="3">
        <v>1</v>
      </c>
      <c r="K6" s="3">
        <v>353</v>
      </c>
      <c r="L6" s="3">
        <v>2</v>
      </c>
      <c r="M6" s="3">
        <v>15</v>
      </c>
    </row>
    <row r="7" spans="1:13" ht="30" x14ac:dyDescent="0.25">
      <c r="A7" s="3" t="s">
        <v>546</v>
      </c>
      <c r="B7" s="4" t="s">
        <v>480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3</v>
      </c>
      <c r="L7" s="3">
        <v>0</v>
      </c>
      <c r="M7" s="3">
        <v>0</v>
      </c>
    </row>
    <row r="8" spans="1:13" ht="30" x14ac:dyDescent="0.25">
      <c r="A8" s="3" t="s">
        <v>476</v>
      </c>
      <c r="B8" s="4" t="s">
        <v>481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11</v>
      </c>
      <c r="L8" s="3">
        <v>0</v>
      </c>
      <c r="M8" s="3">
        <v>0</v>
      </c>
    </row>
    <row r="9" spans="1:13" ht="30" x14ac:dyDescent="0.25">
      <c r="A9" s="3" t="s">
        <v>547</v>
      </c>
      <c r="B9" s="4" t="s">
        <v>482</v>
      </c>
      <c r="C9" s="3">
        <v>0</v>
      </c>
      <c r="D9" s="3">
        <v>0</v>
      </c>
      <c r="E9" s="3">
        <v>12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64</v>
      </c>
      <c r="L9" s="3">
        <v>0</v>
      </c>
      <c r="M9" s="3">
        <v>0</v>
      </c>
    </row>
    <row r="10" spans="1:13" ht="60" x14ac:dyDescent="0.25">
      <c r="A10" s="3" t="s">
        <v>471</v>
      </c>
      <c r="B10" s="4" t="s">
        <v>635</v>
      </c>
      <c r="C10" s="3">
        <v>0</v>
      </c>
      <c r="D10" s="3">
        <v>0</v>
      </c>
      <c r="E10" s="3">
        <v>15</v>
      </c>
      <c r="F10" s="3">
        <v>14</v>
      </c>
      <c r="G10" s="3">
        <v>3</v>
      </c>
      <c r="H10" s="3">
        <v>5</v>
      </c>
      <c r="I10" s="3">
        <v>0</v>
      </c>
      <c r="J10" s="3">
        <v>38</v>
      </c>
      <c r="K10" s="3">
        <v>116</v>
      </c>
      <c r="L10" s="3">
        <v>0</v>
      </c>
      <c r="M10" s="3">
        <v>9</v>
      </c>
    </row>
    <row r="11" spans="1:13" ht="30" x14ac:dyDescent="0.25">
      <c r="A11" s="3" t="s">
        <v>475</v>
      </c>
      <c r="B11" s="4" t="s">
        <v>636</v>
      </c>
      <c r="C11" s="3">
        <v>0</v>
      </c>
      <c r="D11" s="3">
        <v>0</v>
      </c>
      <c r="E11" s="3">
        <v>4</v>
      </c>
      <c r="F11" s="3">
        <v>0</v>
      </c>
      <c r="G11" s="3">
        <v>1</v>
      </c>
      <c r="H11" s="3">
        <v>0</v>
      </c>
      <c r="I11" s="3">
        <v>0</v>
      </c>
      <c r="J11" s="3">
        <v>0</v>
      </c>
      <c r="K11" s="3">
        <v>32</v>
      </c>
      <c r="L11" s="3">
        <v>0</v>
      </c>
      <c r="M11" s="3">
        <v>0</v>
      </c>
    </row>
    <row r="12" spans="1:13" ht="105" x14ac:dyDescent="0.25">
      <c r="A12" s="3" t="s">
        <v>548</v>
      </c>
      <c r="B12" s="4" t="s">
        <v>637</v>
      </c>
      <c r="C12" s="3">
        <v>0</v>
      </c>
      <c r="D12" s="3">
        <v>0</v>
      </c>
      <c r="E12" s="3">
        <v>0</v>
      </c>
      <c r="F12" s="3">
        <v>0</v>
      </c>
      <c r="G12" s="3">
        <v>1</v>
      </c>
      <c r="H12" s="3">
        <v>0</v>
      </c>
      <c r="I12" s="3">
        <v>0</v>
      </c>
      <c r="J12" s="3">
        <v>2</v>
      </c>
      <c r="K12" s="3">
        <v>166</v>
      </c>
      <c r="L12" s="3">
        <v>0</v>
      </c>
      <c r="M12" s="3">
        <v>0</v>
      </c>
    </row>
    <row r="13" spans="1:13" ht="60" x14ac:dyDescent="0.25">
      <c r="A13" s="3" t="s">
        <v>549</v>
      </c>
      <c r="B13" s="4" t="s">
        <v>638</v>
      </c>
      <c r="C13" s="3">
        <v>51</v>
      </c>
      <c r="D13" s="3">
        <v>0</v>
      </c>
      <c r="E13" s="3">
        <v>74</v>
      </c>
      <c r="F13" s="3">
        <v>5</v>
      </c>
      <c r="G13" s="3">
        <v>56</v>
      </c>
      <c r="H13" s="3">
        <v>6</v>
      </c>
      <c r="I13" s="3">
        <v>0</v>
      </c>
      <c r="J13" s="3">
        <v>52</v>
      </c>
      <c r="K13" s="3">
        <v>380</v>
      </c>
      <c r="L13" s="3">
        <v>0</v>
      </c>
      <c r="M13" s="3">
        <v>0</v>
      </c>
    </row>
    <row r="14" spans="1:13" ht="30" x14ac:dyDescent="0.25">
      <c r="A14" s="3" t="s">
        <v>473</v>
      </c>
      <c r="B14" s="4" t="s">
        <v>483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1</v>
      </c>
      <c r="K14" s="3">
        <v>39</v>
      </c>
      <c r="L14" s="3">
        <v>0</v>
      </c>
      <c r="M14" s="3">
        <v>0</v>
      </c>
    </row>
    <row r="15" spans="1:13" ht="45" x14ac:dyDescent="0.25">
      <c r="A15" s="3" t="s">
        <v>550</v>
      </c>
      <c r="B15" s="4" t="s">
        <v>484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37</v>
      </c>
      <c r="L15" s="3">
        <v>0</v>
      </c>
      <c r="M15" s="3">
        <v>0</v>
      </c>
    </row>
    <row r="16" spans="1:13" ht="135" x14ac:dyDescent="0.25">
      <c r="A16" s="3" t="s">
        <v>551</v>
      </c>
      <c r="B16" s="4" t="s">
        <v>485</v>
      </c>
      <c r="C16" s="3">
        <v>0</v>
      </c>
      <c r="D16" s="3">
        <v>0</v>
      </c>
      <c r="E16" s="3">
        <v>23</v>
      </c>
      <c r="F16" s="3">
        <v>0</v>
      </c>
      <c r="G16" s="3">
        <v>13</v>
      </c>
      <c r="H16" s="3">
        <v>4</v>
      </c>
      <c r="I16" s="3">
        <v>1</v>
      </c>
      <c r="J16" s="3">
        <v>6</v>
      </c>
      <c r="K16" s="3">
        <v>865</v>
      </c>
      <c r="L16" s="3">
        <v>0</v>
      </c>
      <c r="M16" s="3">
        <v>62</v>
      </c>
    </row>
    <row r="17" spans="1:13" ht="45" x14ac:dyDescent="0.25">
      <c r="A17" s="3" t="s">
        <v>552</v>
      </c>
      <c r="B17" s="4" t="s">
        <v>639</v>
      </c>
      <c r="C17" s="3">
        <v>21</v>
      </c>
      <c r="D17" s="3">
        <v>0</v>
      </c>
      <c r="E17" s="3">
        <v>13</v>
      </c>
      <c r="F17" s="3">
        <v>19</v>
      </c>
      <c r="G17" s="3">
        <v>0</v>
      </c>
      <c r="H17" s="3">
        <v>0</v>
      </c>
      <c r="I17" s="3">
        <v>0</v>
      </c>
      <c r="J17" s="3">
        <v>0</v>
      </c>
      <c r="K17" s="3">
        <v>147</v>
      </c>
      <c r="L17" s="3">
        <v>0</v>
      </c>
      <c r="M17" s="3">
        <v>0</v>
      </c>
    </row>
    <row r="18" spans="1:13" x14ac:dyDescent="0.25">
      <c r="A18" t="s">
        <v>553</v>
      </c>
      <c r="B18" s="2" t="s">
        <v>640</v>
      </c>
      <c r="C18" s="8">
        <f>SUM(Table35[American Sign Language Total])</f>
        <v>96</v>
      </c>
      <c r="D18" s="8">
        <f>SUM(Table35[Cantonese Total])</f>
        <v>0</v>
      </c>
      <c r="E18" s="8">
        <f>SUM(Table35[French Total])</f>
        <v>189</v>
      </c>
      <c r="F18" s="8">
        <f>SUM(Table35[German Total])</f>
        <v>61</v>
      </c>
      <c r="G18" s="8">
        <f>SUM(Table35[[ Japanese Total]])</f>
        <v>74</v>
      </c>
      <c r="H18" s="8">
        <f>SUM(Table35[Korean Total])</f>
        <v>15</v>
      </c>
      <c r="I18" s="8">
        <f>SUM(Table35[Latin Total])</f>
        <v>1</v>
      </c>
      <c r="J18" s="8">
        <f>SUM(Table35[Mandarin Total])</f>
        <v>101</v>
      </c>
      <c r="K18" s="8">
        <f>SUM(Table35[Spanish Total])</f>
        <v>2693</v>
      </c>
      <c r="L18" s="8">
        <f>SUM(Table35[Vietnamese Total])</f>
        <v>2</v>
      </c>
      <c r="M18" s="8">
        <f>SUM(Table35[Other Total])</f>
        <v>86</v>
      </c>
    </row>
  </sheetData>
  <sortState xmlns:xlrd2="http://schemas.microsoft.com/office/spreadsheetml/2017/richdata2" ref="A2:A28">
    <sortCondition ref="A2"/>
  </sortState>
  <pageMargins left="0.7" right="0.7" top="0.75" bottom="0.75" header="0.3" footer="0.3"/>
  <pageSetup scale="49" orientation="landscape" r:id="rId1"/>
  <tableParts count="1">
    <tablePart r:id="rId2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M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27.7265625" bestFit="1" customWidth="1"/>
    <col min="2" max="2" width="35.81640625" customWidth="1"/>
    <col min="3" max="3" width="16.7265625" customWidth="1"/>
    <col min="4" max="4" width="12.6328125" customWidth="1"/>
    <col min="5" max="5" width="9.90625" customWidth="1"/>
    <col min="6" max="6" width="10.6328125" customWidth="1"/>
    <col min="7" max="7" width="12.7265625" customWidth="1"/>
    <col min="8" max="8" width="10" customWidth="1"/>
    <col min="9" max="9" width="9.1796875" customWidth="1"/>
    <col min="10" max="10" width="11.81640625" customWidth="1"/>
    <col min="11" max="11" width="11" customWidth="1"/>
    <col min="12" max="12" width="13.81640625" customWidth="1"/>
    <col min="13" max="13" width="9.26953125" customWidth="1"/>
  </cols>
  <sheetData>
    <row r="1" spans="1:13" ht="21" x14ac:dyDescent="0.4">
      <c r="A1" s="18" t="s">
        <v>589</v>
      </c>
    </row>
    <row r="2" spans="1:13" ht="30" x14ac:dyDescent="0.25">
      <c r="A2" s="3" t="s">
        <v>4</v>
      </c>
      <c r="B2" s="3" t="s">
        <v>5</v>
      </c>
      <c r="C2" s="4" t="s">
        <v>6</v>
      </c>
      <c r="D2" s="4" t="s">
        <v>7</v>
      </c>
      <c r="E2" s="4" t="s">
        <v>8</v>
      </c>
      <c r="F2" s="4" t="s">
        <v>31</v>
      </c>
      <c r="G2" s="4" t="s">
        <v>32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ht="135" x14ac:dyDescent="0.25">
      <c r="A3" s="3" t="s">
        <v>608</v>
      </c>
      <c r="B3" s="4" t="s">
        <v>786</v>
      </c>
      <c r="C3" s="3">
        <v>0</v>
      </c>
      <c r="D3" s="3">
        <v>0</v>
      </c>
      <c r="E3" s="3">
        <v>30</v>
      </c>
      <c r="F3" s="3">
        <v>2</v>
      </c>
      <c r="G3" s="3">
        <v>50</v>
      </c>
      <c r="H3" s="3">
        <v>4</v>
      </c>
      <c r="I3" s="3">
        <v>8</v>
      </c>
      <c r="J3" s="3">
        <v>400</v>
      </c>
      <c r="K3" s="3">
        <v>230</v>
      </c>
      <c r="L3" s="3">
        <v>0</v>
      </c>
      <c r="M3" s="3">
        <v>2</v>
      </c>
    </row>
    <row r="4" spans="1:13" x14ac:dyDescent="0.25">
      <c r="A4" t="s">
        <v>641</v>
      </c>
      <c r="B4" s="2" t="s">
        <v>387</v>
      </c>
      <c r="C4">
        <f>SUM(Table36[American Sign Language Total])</f>
        <v>0</v>
      </c>
      <c r="D4">
        <f>SUM(Table36[Cantonese Total])</f>
        <v>0</v>
      </c>
      <c r="E4">
        <f>SUM(Table36[French Total])</f>
        <v>30</v>
      </c>
      <c r="F4">
        <f>SUM(Table36[German Total])</f>
        <v>2</v>
      </c>
      <c r="G4">
        <f>SUM(Table36[[ Japanese Total]])</f>
        <v>50</v>
      </c>
      <c r="H4">
        <f>SUM(Table36[Korean Total])</f>
        <v>4</v>
      </c>
      <c r="I4">
        <f>SUM(Table36[Latin Total])</f>
        <v>8</v>
      </c>
      <c r="J4">
        <f>SUM(Table36[Mandarin Total])</f>
        <v>400</v>
      </c>
      <c r="K4">
        <f>SUM(Table36[Spanish Total])</f>
        <v>230</v>
      </c>
      <c r="L4">
        <f>SUM(Table36[Vietnamese Total])</f>
        <v>0</v>
      </c>
      <c r="M4">
        <f>SUM(Table36[Other Total])</f>
        <v>2</v>
      </c>
    </row>
  </sheetData>
  <pageMargins left="0.7" right="0.7" top="0.75" bottom="0.75" header="0.3" footer="0.3"/>
  <pageSetup scale="53" fitToHeight="0" orientation="landscape" r:id="rId1"/>
  <tableParts count="1">
    <tablePart r:id="rId2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M13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28.7265625" customWidth="1"/>
    <col min="2" max="2" width="24.36328125" customWidth="1"/>
    <col min="3" max="3" width="16.7265625" customWidth="1"/>
    <col min="4" max="4" width="12.36328125" customWidth="1"/>
    <col min="5" max="5" width="9.81640625" customWidth="1"/>
    <col min="6" max="6" width="10.7265625" customWidth="1"/>
    <col min="7" max="7" width="12.54296875" customWidth="1"/>
    <col min="8" max="8" width="10.6328125" customWidth="1"/>
    <col min="9" max="9" width="9" customWidth="1"/>
    <col min="10" max="10" width="11.81640625" customWidth="1"/>
    <col min="11" max="11" width="10.81640625" customWidth="1"/>
    <col min="12" max="12" width="13.1796875" customWidth="1"/>
    <col min="13" max="13" width="9.26953125" customWidth="1"/>
  </cols>
  <sheetData>
    <row r="1" spans="1:13" s="18" customFormat="1" ht="21" x14ac:dyDescent="0.4">
      <c r="A1" s="18" t="s">
        <v>590</v>
      </c>
    </row>
    <row r="2" spans="1:13" ht="30" x14ac:dyDescent="0.25">
      <c r="A2" s="3" t="s">
        <v>4</v>
      </c>
      <c r="B2" s="3" t="s">
        <v>5</v>
      </c>
      <c r="C2" s="4" t="s">
        <v>6</v>
      </c>
      <c r="D2" s="4" t="s">
        <v>7</v>
      </c>
      <c r="E2" s="4" t="s">
        <v>8</v>
      </c>
      <c r="F2" s="4" t="s">
        <v>31</v>
      </c>
      <c r="G2" s="4" t="s">
        <v>32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25">
      <c r="A3" s="3" t="s">
        <v>488</v>
      </c>
      <c r="B3" s="4" t="s">
        <v>647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17</v>
      </c>
      <c r="L3" s="3">
        <v>0</v>
      </c>
      <c r="M3" s="3">
        <v>0</v>
      </c>
    </row>
    <row r="4" spans="1:13" x14ac:dyDescent="0.25">
      <c r="A4" s="3" t="s">
        <v>642</v>
      </c>
      <c r="B4" s="4" t="s">
        <v>648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9</v>
      </c>
      <c r="L4" s="3">
        <v>0</v>
      </c>
      <c r="M4" s="3">
        <v>0</v>
      </c>
    </row>
    <row r="5" spans="1:13" x14ac:dyDescent="0.25">
      <c r="A5" s="3" t="s">
        <v>487</v>
      </c>
      <c r="B5" s="4" t="s">
        <v>492</v>
      </c>
      <c r="C5" s="3">
        <v>0</v>
      </c>
      <c r="D5" s="3">
        <v>0</v>
      </c>
      <c r="E5" s="3">
        <v>4</v>
      </c>
      <c r="F5" s="3">
        <v>0</v>
      </c>
      <c r="G5" s="3">
        <v>3</v>
      </c>
      <c r="H5" s="3">
        <v>0</v>
      </c>
      <c r="I5" s="3">
        <v>0</v>
      </c>
      <c r="J5" s="3">
        <v>0</v>
      </c>
      <c r="K5" s="3">
        <v>44</v>
      </c>
      <c r="L5" s="3">
        <v>0</v>
      </c>
      <c r="M5" s="3">
        <v>13</v>
      </c>
    </row>
    <row r="6" spans="1:13" x14ac:dyDescent="0.25">
      <c r="A6" s="3" t="s">
        <v>643</v>
      </c>
      <c r="B6" s="4" t="s">
        <v>649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4</v>
      </c>
      <c r="L6" s="3">
        <v>0</v>
      </c>
      <c r="M6" s="3">
        <v>0</v>
      </c>
    </row>
    <row r="7" spans="1:13" ht="45" x14ac:dyDescent="0.25">
      <c r="A7" s="3" t="s">
        <v>490</v>
      </c>
      <c r="B7" s="4" t="s">
        <v>650</v>
      </c>
      <c r="C7" s="3">
        <v>0</v>
      </c>
      <c r="D7" s="3">
        <v>0</v>
      </c>
      <c r="E7" s="3">
        <v>19</v>
      </c>
      <c r="F7" s="3">
        <v>0</v>
      </c>
      <c r="G7" s="3">
        <v>3</v>
      </c>
      <c r="H7" s="3">
        <v>0</v>
      </c>
      <c r="I7" s="3">
        <v>0</v>
      </c>
      <c r="J7" s="3">
        <v>0</v>
      </c>
      <c r="K7" s="3">
        <v>98</v>
      </c>
      <c r="L7" s="3">
        <v>1</v>
      </c>
      <c r="M7" s="3">
        <v>0</v>
      </c>
    </row>
    <row r="8" spans="1:13" ht="60" x14ac:dyDescent="0.25">
      <c r="A8" s="3" t="s">
        <v>644</v>
      </c>
      <c r="B8" s="4" t="s">
        <v>651</v>
      </c>
      <c r="C8" s="3">
        <v>0</v>
      </c>
      <c r="D8" s="3">
        <v>0</v>
      </c>
      <c r="E8" s="3">
        <v>4</v>
      </c>
      <c r="F8" s="3">
        <v>1</v>
      </c>
      <c r="G8" s="3">
        <v>0</v>
      </c>
      <c r="H8" s="3">
        <v>0</v>
      </c>
      <c r="I8" s="3">
        <v>0</v>
      </c>
      <c r="J8" s="3">
        <v>0</v>
      </c>
      <c r="K8" s="3">
        <v>114</v>
      </c>
      <c r="L8" s="3">
        <v>0</v>
      </c>
      <c r="M8" s="3">
        <v>0</v>
      </c>
    </row>
    <row r="9" spans="1:13" ht="45" x14ac:dyDescent="0.25">
      <c r="A9" s="3" t="s">
        <v>491</v>
      </c>
      <c r="B9" s="4" t="s">
        <v>652</v>
      </c>
      <c r="C9" s="3">
        <v>0</v>
      </c>
      <c r="D9" s="3">
        <v>0</v>
      </c>
      <c r="E9" s="3">
        <v>2</v>
      </c>
      <c r="F9" s="3">
        <v>1</v>
      </c>
      <c r="G9" s="3">
        <v>0</v>
      </c>
      <c r="H9" s="3">
        <v>0</v>
      </c>
      <c r="I9" s="3">
        <v>0</v>
      </c>
      <c r="J9" s="3">
        <v>0</v>
      </c>
      <c r="K9" s="3">
        <v>55</v>
      </c>
      <c r="L9" s="3">
        <v>0</v>
      </c>
      <c r="M9" s="3">
        <v>0</v>
      </c>
    </row>
    <row r="10" spans="1:13" ht="30" x14ac:dyDescent="0.25">
      <c r="A10" s="3" t="s">
        <v>486</v>
      </c>
      <c r="B10" s="4" t="s">
        <v>493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19</v>
      </c>
      <c r="L10" s="3">
        <v>0</v>
      </c>
      <c r="M10" s="3">
        <v>0</v>
      </c>
    </row>
    <row r="11" spans="1:13" ht="75" x14ac:dyDescent="0.25">
      <c r="A11" s="3" t="s">
        <v>489</v>
      </c>
      <c r="B11" s="4" t="s">
        <v>653</v>
      </c>
      <c r="C11" s="3">
        <v>0</v>
      </c>
      <c r="D11" s="3">
        <v>0</v>
      </c>
      <c r="E11" s="3">
        <v>5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164</v>
      </c>
      <c r="L11" s="3">
        <v>0</v>
      </c>
      <c r="M11" s="3">
        <v>0</v>
      </c>
    </row>
    <row r="12" spans="1:13" ht="30" x14ac:dyDescent="0.25">
      <c r="A12" s="3" t="s">
        <v>645</v>
      </c>
      <c r="B12" s="4" t="s">
        <v>494</v>
      </c>
      <c r="C12" s="3">
        <v>0</v>
      </c>
      <c r="D12" s="3">
        <v>0</v>
      </c>
      <c r="E12" s="3">
        <v>18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131</v>
      </c>
      <c r="L12" s="3">
        <v>0</v>
      </c>
      <c r="M12" s="3">
        <v>0</v>
      </c>
    </row>
    <row r="13" spans="1:13" x14ac:dyDescent="0.25">
      <c r="A13" t="s">
        <v>646</v>
      </c>
      <c r="B13" s="2" t="s">
        <v>139</v>
      </c>
      <c r="C13">
        <f>SUM(Table37[American Sign Language Total])</f>
        <v>0</v>
      </c>
      <c r="D13">
        <f>SUM(Table37[Cantonese Total])</f>
        <v>0</v>
      </c>
      <c r="E13">
        <f>SUM(Table37[French Total])</f>
        <v>52</v>
      </c>
      <c r="F13">
        <f>SUM(Table37[German Total])</f>
        <v>2</v>
      </c>
      <c r="G13">
        <f>SUM(Table37[[ Japanese Total]])</f>
        <v>6</v>
      </c>
      <c r="H13">
        <f>SUM(Table37[Korean Total])</f>
        <v>0</v>
      </c>
      <c r="I13">
        <f>SUM(Table37[Latin Total])</f>
        <v>0</v>
      </c>
      <c r="J13">
        <f>SUM(Table37[Mandarin Total])</f>
        <v>0</v>
      </c>
      <c r="K13">
        <f>SUM(Table37[Spanish Total])</f>
        <v>655</v>
      </c>
      <c r="L13">
        <f>SUM(Table37[Vietnamese Total])</f>
        <v>1</v>
      </c>
      <c r="M13">
        <f>SUM(Table37[Other Total])</f>
        <v>13</v>
      </c>
    </row>
  </sheetData>
  <sortState xmlns:xlrd2="http://schemas.microsoft.com/office/spreadsheetml/2017/richdata2" ref="A2:A13">
    <sortCondition ref="A2"/>
  </sortState>
  <pageMargins left="0.7" right="0.7" top="0.75" bottom="0.75" header="0.3" footer="0.3"/>
  <pageSetup scale="57" fitToHeight="0" orientation="landscape" r:id="rId1"/>
  <tableParts count="1">
    <tablePart r:id="rId2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M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29.90625" bestFit="1" customWidth="1"/>
    <col min="2" max="2" width="31.81640625" customWidth="1"/>
    <col min="3" max="3" width="17.453125" customWidth="1"/>
    <col min="4" max="4" width="13" customWidth="1"/>
    <col min="5" max="5" width="10.26953125" customWidth="1"/>
    <col min="6" max="6" width="10.7265625" customWidth="1"/>
    <col min="7" max="7" width="12.26953125" customWidth="1"/>
    <col min="8" max="8" width="9.7265625" customWidth="1"/>
    <col min="9" max="9" width="9" customWidth="1"/>
    <col min="10" max="10" width="11.54296875" customWidth="1"/>
    <col min="11" max="11" width="11.08984375" customWidth="1"/>
    <col min="12" max="12" width="13.7265625" customWidth="1"/>
    <col min="13" max="13" width="9.453125" customWidth="1"/>
  </cols>
  <sheetData>
    <row r="1" spans="1:13" ht="21" x14ac:dyDescent="0.4">
      <c r="A1" s="18" t="s">
        <v>591</v>
      </c>
    </row>
    <row r="2" spans="1:13" ht="30" x14ac:dyDescent="0.25">
      <c r="A2" s="3" t="s">
        <v>4</v>
      </c>
      <c r="B2" s="3" t="s">
        <v>5</v>
      </c>
      <c r="C2" s="4" t="s">
        <v>6</v>
      </c>
      <c r="D2" s="4" t="s">
        <v>7</v>
      </c>
      <c r="E2" s="4" t="s">
        <v>8</v>
      </c>
      <c r="F2" s="4" t="s">
        <v>31</v>
      </c>
      <c r="G2" s="4" t="s">
        <v>32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25">
      <c r="A3" t="s">
        <v>654</v>
      </c>
      <c r="B3" t="s">
        <v>658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26</v>
      </c>
      <c r="L3">
        <v>0</v>
      </c>
      <c r="M3">
        <v>0</v>
      </c>
    </row>
    <row r="4" spans="1:13" x14ac:dyDescent="0.25">
      <c r="A4" t="s">
        <v>655</v>
      </c>
      <c r="B4" t="s">
        <v>496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40</v>
      </c>
      <c r="L4">
        <v>0</v>
      </c>
      <c r="M4">
        <v>0</v>
      </c>
    </row>
    <row r="5" spans="1:13" x14ac:dyDescent="0.25">
      <c r="A5" t="s">
        <v>495</v>
      </c>
      <c r="B5" t="s">
        <v>659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41</v>
      </c>
      <c r="L5">
        <v>0</v>
      </c>
      <c r="M5">
        <v>0</v>
      </c>
    </row>
    <row r="6" spans="1:13" x14ac:dyDescent="0.25">
      <c r="A6" t="s">
        <v>656</v>
      </c>
      <c r="B6" t="s">
        <v>497</v>
      </c>
      <c r="C6">
        <v>1</v>
      </c>
      <c r="D6">
        <v>0</v>
      </c>
      <c r="E6">
        <v>3</v>
      </c>
      <c r="F6">
        <v>0</v>
      </c>
      <c r="G6">
        <v>0</v>
      </c>
      <c r="H6">
        <v>0</v>
      </c>
      <c r="I6">
        <v>1</v>
      </c>
      <c r="J6">
        <v>0</v>
      </c>
      <c r="K6">
        <v>51</v>
      </c>
      <c r="L6">
        <v>0</v>
      </c>
      <c r="M6">
        <v>0</v>
      </c>
    </row>
    <row r="7" spans="1:13" x14ac:dyDescent="0.25">
      <c r="A7" t="s">
        <v>657</v>
      </c>
      <c r="B7" s="2" t="s">
        <v>348</v>
      </c>
      <c r="C7">
        <f>SUM(Table38[American Sign Language Total])</f>
        <v>1</v>
      </c>
      <c r="D7">
        <f>SUM(Table38[Cantonese Total])</f>
        <v>0</v>
      </c>
      <c r="E7">
        <f>SUM(Table38[French Total])</f>
        <v>3</v>
      </c>
      <c r="F7">
        <f>SUM(Table38[German Total])</f>
        <v>0</v>
      </c>
      <c r="G7">
        <f>SUM(Table38[[ Japanese Total]])</f>
        <v>0</v>
      </c>
      <c r="H7">
        <f>SUM(Table38[Korean Total])</f>
        <v>0</v>
      </c>
      <c r="I7">
        <f>SUM(Table38[Latin Total])</f>
        <v>1</v>
      </c>
      <c r="J7">
        <f>SUM(Table38[Mandarin Total])</f>
        <v>0</v>
      </c>
      <c r="K7">
        <f>SUM(Table38[Spanish Total])</f>
        <v>158</v>
      </c>
      <c r="L7">
        <f>SUM(Table38[Vietnamese Total])</f>
        <v>0</v>
      </c>
      <c r="M7">
        <f>SUM(Table38[Other Total])</f>
        <v>0</v>
      </c>
    </row>
  </sheetData>
  <sortState xmlns:xlrd2="http://schemas.microsoft.com/office/spreadsheetml/2017/richdata2" ref="A2:A5">
    <sortCondition ref="A2"/>
  </sortState>
  <pageMargins left="0.7" right="0.7" top="0.75" bottom="0.75" header="0.3" footer="0.3"/>
  <pageSetup scale="54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9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28.26953125" bestFit="1" customWidth="1"/>
    <col min="2" max="2" width="28.453125" bestFit="1" customWidth="1"/>
    <col min="3" max="3" width="17.1796875" customWidth="1"/>
    <col min="4" max="4" width="11" customWidth="1"/>
    <col min="5" max="5" width="8.26953125" customWidth="1"/>
    <col min="6" max="6" width="8.81640625" customWidth="1"/>
    <col min="7" max="7" width="10" customWidth="1"/>
    <col min="8" max="8" width="8.1796875" customWidth="1"/>
    <col min="9" max="9" width="7.7265625" customWidth="1"/>
    <col min="10" max="10" width="9.7265625" customWidth="1"/>
    <col min="11" max="11" width="9" customWidth="1"/>
    <col min="12" max="12" width="11.453125" customWidth="1"/>
    <col min="13" max="13" width="7.90625" customWidth="1"/>
  </cols>
  <sheetData>
    <row r="1" spans="1:13" ht="21" x14ac:dyDescent="0.4">
      <c r="A1" s="18" t="s">
        <v>556</v>
      </c>
    </row>
    <row r="2" spans="1:13" ht="30" x14ac:dyDescent="0.25">
      <c r="A2" s="4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31</v>
      </c>
      <c r="G2" s="4" t="s">
        <v>32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25">
      <c r="A3" t="s">
        <v>42</v>
      </c>
      <c r="B3" t="s">
        <v>37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8</v>
      </c>
      <c r="L3">
        <v>0</v>
      </c>
      <c r="M3">
        <v>0</v>
      </c>
    </row>
    <row r="4" spans="1:13" x14ac:dyDescent="0.25">
      <c r="A4" t="s">
        <v>35</v>
      </c>
      <c r="B4" t="s">
        <v>38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1</v>
      </c>
      <c r="L4">
        <v>0</v>
      </c>
      <c r="M4">
        <v>0</v>
      </c>
    </row>
    <row r="5" spans="1:13" x14ac:dyDescent="0.25">
      <c r="A5" t="s">
        <v>41</v>
      </c>
      <c r="B5" t="s">
        <v>269</v>
      </c>
      <c r="C5">
        <v>0</v>
      </c>
      <c r="D5">
        <v>0</v>
      </c>
      <c r="E5">
        <v>6</v>
      </c>
      <c r="F5">
        <v>0</v>
      </c>
      <c r="G5">
        <v>6</v>
      </c>
      <c r="H5">
        <v>0</v>
      </c>
      <c r="I5">
        <v>0</v>
      </c>
      <c r="J5">
        <v>0</v>
      </c>
      <c r="K5">
        <v>141</v>
      </c>
      <c r="L5">
        <v>0</v>
      </c>
      <c r="M5">
        <v>0</v>
      </c>
    </row>
    <row r="6" spans="1:13" x14ac:dyDescent="0.25">
      <c r="A6" t="s">
        <v>44</v>
      </c>
      <c r="B6" t="s">
        <v>39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25</v>
      </c>
      <c r="L6">
        <v>0</v>
      </c>
      <c r="M6">
        <v>0</v>
      </c>
    </row>
    <row r="7" spans="1:13" x14ac:dyDescent="0.25">
      <c r="A7" t="s">
        <v>45</v>
      </c>
      <c r="B7" t="s">
        <v>183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21</v>
      </c>
      <c r="L7">
        <v>0</v>
      </c>
      <c r="M7">
        <v>0</v>
      </c>
    </row>
    <row r="8" spans="1:13" x14ac:dyDescent="0.25">
      <c r="A8" t="s">
        <v>46</v>
      </c>
      <c r="B8" t="s">
        <v>36</v>
      </c>
      <c r="C8">
        <v>0</v>
      </c>
      <c r="D8">
        <v>0</v>
      </c>
      <c r="E8">
        <v>1</v>
      </c>
      <c r="F8">
        <v>0</v>
      </c>
      <c r="G8">
        <v>0</v>
      </c>
      <c r="H8">
        <v>0</v>
      </c>
      <c r="I8">
        <v>0</v>
      </c>
      <c r="J8">
        <v>1</v>
      </c>
      <c r="K8">
        <v>7</v>
      </c>
      <c r="L8">
        <v>0</v>
      </c>
      <c r="M8">
        <v>0</v>
      </c>
    </row>
    <row r="9" spans="1:13" x14ac:dyDescent="0.25">
      <c r="A9" t="s">
        <v>47</v>
      </c>
      <c r="B9" s="2" t="s">
        <v>48</v>
      </c>
      <c r="C9">
        <f>SUM(Table4[American Sign Language Total])</f>
        <v>0</v>
      </c>
      <c r="D9">
        <f>SUM(Table4[Cantonese Total])</f>
        <v>0</v>
      </c>
      <c r="E9">
        <f>SUM(Table4[French Total])</f>
        <v>7</v>
      </c>
      <c r="F9">
        <f>SUM(Table4[German Total])</f>
        <v>0</v>
      </c>
      <c r="G9">
        <f>SUM(Table4[[ Japanese Total]])</f>
        <v>6</v>
      </c>
      <c r="H9">
        <f>SUM(Table4[Korean Total])</f>
        <v>0</v>
      </c>
      <c r="I9">
        <f>SUM(Table4[Latin Total])</f>
        <v>0</v>
      </c>
      <c r="J9">
        <f>SUM(Table4[Mandarin Total])</f>
        <v>1</v>
      </c>
      <c r="K9">
        <f>SUM(Table4[Spanish Total])</f>
        <v>203</v>
      </c>
      <c r="L9">
        <f>SUM(Table4[Vietnamese Total])</f>
        <v>0</v>
      </c>
      <c r="M9">
        <f>SUM(Table4[Other Total])</f>
        <v>0</v>
      </c>
    </row>
  </sheetData>
  <sortState xmlns:xlrd2="http://schemas.microsoft.com/office/spreadsheetml/2017/richdata2" ref="A2:A6">
    <sortCondition ref="A8:A12"/>
  </sortState>
  <pageMargins left="0.7" right="0.7" top="0.75" bottom="0.75" header="0.3" footer="0.3"/>
  <pageSetup scale="61" fitToHeight="0" orientation="landscape" r:id="rId1"/>
  <tableParts count="1">
    <tablePart r:id="rId2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M9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24.7265625" bestFit="1" customWidth="1"/>
    <col min="2" max="2" width="22.453125" customWidth="1"/>
    <col min="3" max="3" width="17.1796875" customWidth="1"/>
    <col min="4" max="4" width="12.81640625" customWidth="1"/>
    <col min="5" max="5" width="10.26953125" customWidth="1"/>
    <col min="6" max="6" width="10.6328125" customWidth="1"/>
    <col min="7" max="7" width="12.54296875" customWidth="1"/>
    <col min="8" max="8" width="10.26953125" customWidth="1"/>
    <col min="9" max="9" width="8.7265625" customWidth="1"/>
    <col min="10" max="10" width="11.81640625" customWidth="1"/>
    <col min="11" max="11" width="11.36328125" customWidth="1"/>
    <col min="12" max="12" width="13.6328125" customWidth="1"/>
    <col min="13" max="13" width="9.54296875" customWidth="1"/>
  </cols>
  <sheetData>
    <row r="1" spans="1:13" ht="21" x14ac:dyDescent="0.4">
      <c r="A1" s="18" t="s">
        <v>592</v>
      </c>
    </row>
    <row r="2" spans="1:13" ht="30" x14ac:dyDescent="0.25">
      <c r="A2" s="3" t="s">
        <v>4</v>
      </c>
      <c r="B2" s="3" t="s">
        <v>5</v>
      </c>
      <c r="C2" s="4" t="s">
        <v>6</v>
      </c>
      <c r="D2" s="4" t="s">
        <v>7</v>
      </c>
      <c r="E2" s="4" t="s">
        <v>8</v>
      </c>
      <c r="F2" s="4" t="s">
        <v>31</v>
      </c>
      <c r="G2" s="4" t="s">
        <v>32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25">
      <c r="A3" s="3" t="s">
        <v>660</v>
      </c>
      <c r="B3" s="4" t="s">
        <v>667</v>
      </c>
      <c r="C3" s="3">
        <v>0</v>
      </c>
      <c r="D3" s="3">
        <v>0</v>
      </c>
      <c r="E3" s="3">
        <v>8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31</v>
      </c>
      <c r="L3" s="3">
        <v>0</v>
      </c>
      <c r="M3" s="3">
        <v>0</v>
      </c>
    </row>
    <row r="4" spans="1:13" ht="60" x14ac:dyDescent="0.25">
      <c r="A4" s="3" t="s">
        <v>498</v>
      </c>
      <c r="B4" s="4" t="s">
        <v>669</v>
      </c>
      <c r="C4" s="3">
        <v>0</v>
      </c>
      <c r="D4" s="3">
        <v>1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2</v>
      </c>
      <c r="K4" s="3">
        <v>25</v>
      </c>
      <c r="L4" s="3">
        <v>0</v>
      </c>
      <c r="M4" s="3">
        <v>0</v>
      </c>
    </row>
    <row r="5" spans="1:13" x14ac:dyDescent="0.25">
      <c r="A5" s="3" t="s">
        <v>661</v>
      </c>
      <c r="B5" s="4" t="s">
        <v>499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5</v>
      </c>
      <c r="L5" s="3">
        <v>0</v>
      </c>
      <c r="M5" s="3">
        <v>0</v>
      </c>
    </row>
    <row r="6" spans="1:13" ht="45" x14ac:dyDescent="0.25">
      <c r="A6" s="3" t="s">
        <v>662</v>
      </c>
      <c r="B6" s="4" t="s">
        <v>500</v>
      </c>
      <c r="C6" s="3">
        <v>0</v>
      </c>
      <c r="D6" s="3">
        <v>0</v>
      </c>
      <c r="E6" s="3">
        <v>26</v>
      </c>
      <c r="F6" s="3">
        <v>0</v>
      </c>
      <c r="G6" s="3">
        <v>27</v>
      </c>
      <c r="H6" s="3">
        <v>0</v>
      </c>
      <c r="I6" s="3">
        <v>0</v>
      </c>
      <c r="J6" s="3">
        <v>100</v>
      </c>
      <c r="K6" s="3">
        <v>395</v>
      </c>
      <c r="L6" s="3">
        <v>0</v>
      </c>
      <c r="M6" s="3">
        <v>22</v>
      </c>
    </row>
    <row r="7" spans="1:13" ht="90" x14ac:dyDescent="0.25">
      <c r="A7" s="3" t="s">
        <v>663</v>
      </c>
      <c r="B7" s="4" t="s">
        <v>670</v>
      </c>
      <c r="C7" s="3">
        <v>0</v>
      </c>
      <c r="D7" s="3">
        <v>0</v>
      </c>
      <c r="E7" s="3">
        <v>92</v>
      </c>
      <c r="F7" s="3">
        <v>5</v>
      </c>
      <c r="G7" s="3">
        <v>4</v>
      </c>
      <c r="H7" s="3">
        <v>0</v>
      </c>
      <c r="I7" s="3">
        <v>33</v>
      </c>
      <c r="J7" s="3">
        <v>57</v>
      </c>
      <c r="K7" s="3">
        <v>488</v>
      </c>
      <c r="L7" s="3">
        <v>0</v>
      </c>
      <c r="M7" s="3">
        <v>0</v>
      </c>
    </row>
    <row r="8" spans="1:13" x14ac:dyDescent="0.25">
      <c r="A8" s="3" t="s">
        <v>664</v>
      </c>
      <c r="B8" s="3" t="s">
        <v>666</v>
      </c>
      <c r="C8" s="3">
        <v>0</v>
      </c>
      <c r="D8" s="3">
        <v>0</v>
      </c>
      <c r="E8" s="3">
        <v>4</v>
      </c>
      <c r="F8" s="3">
        <v>0</v>
      </c>
      <c r="G8" s="3">
        <v>1</v>
      </c>
      <c r="H8" s="3">
        <v>0</v>
      </c>
      <c r="I8" s="3">
        <v>0</v>
      </c>
      <c r="J8" s="3">
        <v>1</v>
      </c>
      <c r="K8" s="3">
        <v>42</v>
      </c>
      <c r="L8" s="3">
        <v>0</v>
      </c>
      <c r="M8" s="3">
        <v>11</v>
      </c>
    </row>
    <row r="9" spans="1:13" x14ac:dyDescent="0.25">
      <c r="A9" t="s">
        <v>665</v>
      </c>
      <c r="B9" s="2" t="s">
        <v>668</v>
      </c>
      <c r="C9">
        <f>SUM(Table39[American Sign Language Total])</f>
        <v>0</v>
      </c>
      <c r="D9">
        <f>SUM(Table39[Cantonese Total])</f>
        <v>1</v>
      </c>
      <c r="E9">
        <f>SUM(Table39[French Total])</f>
        <v>130</v>
      </c>
      <c r="F9">
        <f>SUM(Table39[German Total])</f>
        <v>5</v>
      </c>
      <c r="G9">
        <f>SUM(Table39[[ Japanese Total]])</f>
        <v>32</v>
      </c>
      <c r="H9">
        <f>SUM(Table39[Korean Total])</f>
        <v>0</v>
      </c>
      <c r="I9">
        <f>SUM(Table39[Latin Total])</f>
        <v>33</v>
      </c>
      <c r="J9">
        <f>SUM(Table39[Mandarin Total])</f>
        <v>160</v>
      </c>
      <c r="K9">
        <f>SUM(Table39[Spanish Total])</f>
        <v>986</v>
      </c>
      <c r="L9">
        <f>SUM(Table39[Vietnamese Total])</f>
        <v>0</v>
      </c>
      <c r="M9">
        <f>SUM(Table39[Other Total])</f>
        <v>33</v>
      </c>
    </row>
  </sheetData>
  <sortState xmlns:xlrd2="http://schemas.microsoft.com/office/spreadsheetml/2017/richdata2" ref="A2:A11">
    <sortCondition ref="A2"/>
  </sortState>
  <pageMargins left="0.7" right="0.7" top="0.75" bottom="0.75" header="0.3" footer="0.3"/>
  <pageSetup scale="58" fitToHeight="0" orientation="landscape" r:id="rId1"/>
  <tableParts count="1">
    <tablePart r:id="rId2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M9"/>
  <sheetViews>
    <sheetView zoomScaleNormal="100" workbookViewId="0">
      <pane xSplit="1" ySplit="2" topLeftCell="D3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27.7265625" bestFit="1" customWidth="1"/>
    <col min="2" max="2" width="25.6328125" customWidth="1"/>
    <col min="3" max="3" width="17.08984375" customWidth="1"/>
    <col min="4" max="4" width="12.90625" customWidth="1"/>
    <col min="5" max="5" width="9.6328125" customWidth="1"/>
    <col min="6" max="6" width="10.453125" customWidth="1"/>
    <col min="7" max="7" width="12.26953125" customWidth="1"/>
    <col min="8" max="8" width="10" customWidth="1"/>
    <col min="9" max="9" width="8.7265625" customWidth="1"/>
    <col min="10" max="10" width="11.26953125" customWidth="1"/>
    <col min="11" max="11" width="11.1796875" customWidth="1"/>
    <col min="12" max="12" width="13.7265625" customWidth="1"/>
    <col min="13" max="13" width="8.81640625" customWidth="1"/>
  </cols>
  <sheetData>
    <row r="1" spans="1:13" ht="21" x14ac:dyDescent="0.4">
      <c r="A1" s="18" t="s">
        <v>593</v>
      </c>
    </row>
    <row r="2" spans="1:13" ht="30" x14ac:dyDescent="0.25">
      <c r="A2" t="s">
        <v>4</v>
      </c>
      <c r="B2" t="s">
        <v>5</v>
      </c>
      <c r="C2" s="4" t="s">
        <v>6</v>
      </c>
      <c r="D2" s="4" t="s">
        <v>7</v>
      </c>
      <c r="E2" s="4" t="s">
        <v>8</v>
      </c>
      <c r="F2" s="4" t="s">
        <v>31</v>
      </c>
      <c r="G2" s="4" t="s">
        <v>32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25">
      <c r="A3" t="s">
        <v>793</v>
      </c>
      <c r="B3" t="s">
        <v>794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48</v>
      </c>
      <c r="L3" s="4">
        <v>0</v>
      </c>
      <c r="M3" s="4">
        <v>0</v>
      </c>
    </row>
    <row r="4" spans="1:13" x14ac:dyDescent="0.25">
      <c r="A4" s="3" t="s">
        <v>671</v>
      </c>
      <c r="B4" s="4" t="s">
        <v>502</v>
      </c>
      <c r="C4" s="3">
        <v>0</v>
      </c>
      <c r="D4" s="3">
        <v>0</v>
      </c>
      <c r="E4" s="3">
        <v>1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31</v>
      </c>
      <c r="L4" s="3">
        <v>0</v>
      </c>
      <c r="M4" s="3">
        <v>1</v>
      </c>
    </row>
    <row r="5" spans="1:13" x14ac:dyDescent="0.25">
      <c r="A5" s="3" t="s">
        <v>501</v>
      </c>
      <c r="B5" s="4" t="s">
        <v>678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5</v>
      </c>
      <c r="L5" s="3">
        <v>0</v>
      </c>
      <c r="M5" s="3">
        <v>0</v>
      </c>
    </row>
    <row r="6" spans="1:13" ht="45" x14ac:dyDescent="0.25">
      <c r="A6" s="3" t="s">
        <v>672</v>
      </c>
      <c r="B6" s="4" t="s">
        <v>675</v>
      </c>
      <c r="C6" s="3">
        <v>1</v>
      </c>
      <c r="D6" s="3">
        <v>0</v>
      </c>
      <c r="E6" s="3">
        <v>14</v>
      </c>
      <c r="F6" s="3">
        <v>2</v>
      </c>
      <c r="G6" s="3">
        <v>0</v>
      </c>
      <c r="H6" s="3">
        <v>0</v>
      </c>
      <c r="I6" s="3">
        <v>18</v>
      </c>
      <c r="J6" s="3">
        <v>0</v>
      </c>
      <c r="K6" s="3">
        <v>177</v>
      </c>
      <c r="L6" s="3">
        <v>0</v>
      </c>
      <c r="M6" s="3">
        <v>1</v>
      </c>
    </row>
    <row r="7" spans="1:13" ht="30" x14ac:dyDescent="0.25">
      <c r="A7" s="3" t="s">
        <v>673</v>
      </c>
      <c r="B7" s="4" t="s">
        <v>503</v>
      </c>
      <c r="C7" s="3">
        <v>0</v>
      </c>
      <c r="D7" s="3">
        <v>0</v>
      </c>
      <c r="E7" s="3">
        <v>27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159</v>
      </c>
      <c r="L7" s="3">
        <v>0</v>
      </c>
      <c r="M7" s="3">
        <v>0</v>
      </c>
    </row>
    <row r="8" spans="1:13" ht="30" x14ac:dyDescent="0.25">
      <c r="A8" s="3" t="s">
        <v>674</v>
      </c>
      <c r="B8" s="4" t="s">
        <v>676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47</v>
      </c>
      <c r="L8" s="3">
        <v>0</v>
      </c>
      <c r="M8" s="3">
        <v>0</v>
      </c>
    </row>
    <row r="9" spans="1:13" x14ac:dyDescent="0.25">
      <c r="A9" t="s">
        <v>677</v>
      </c>
      <c r="B9" s="2" t="s">
        <v>679</v>
      </c>
      <c r="C9">
        <f>SUM(Table40[American Sign Language Total])</f>
        <v>1</v>
      </c>
      <c r="D9">
        <f>SUM(Table40[Cantonese Total])</f>
        <v>0</v>
      </c>
      <c r="E9">
        <f>SUM(Table40[French Total])</f>
        <v>42</v>
      </c>
      <c r="F9">
        <f>SUM(Table40[German Total])</f>
        <v>2</v>
      </c>
      <c r="G9">
        <f>SUM(Table40[[ Japanese Total]])</f>
        <v>0</v>
      </c>
      <c r="H9">
        <f>SUM(Table40[Korean Total])</f>
        <v>0</v>
      </c>
      <c r="I9">
        <f>SUM(Table40[Latin Total])</f>
        <v>18</v>
      </c>
      <c r="J9">
        <f>SUM(Table40[Mandarin Total])</f>
        <v>0</v>
      </c>
      <c r="K9">
        <f>SUM(Table40[Spanish Total])</f>
        <v>467</v>
      </c>
      <c r="L9">
        <f>SUM(Table40[Vietnamese Total])</f>
        <v>0</v>
      </c>
      <c r="M9">
        <f>SUM(Table40[Other Total])</f>
        <v>2</v>
      </c>
    </row>
  </sheetData>
  <sortState xmlns:xlrd2="http://schemas.microsoft.com/office/spreadsheetml/2017/richdata2" ref="A2:A6">
    <sortCondition ref="A2"/>
  </sortState>
  <pageMargins left="0.7" right="0.7" top="0.75" bottom="0.75" header="0.3" footer="0.3"/>
  <pageSetup scale="57" orientation="landscape" horizontalDpi="1200" verticalDpi="1200" r:id="rId1"/>
  <tableParts count="1">
    <tablePart r:id="rId2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M15"/>
  <sheetViews>
    <sheetView zoomScaleNormal="100" workbookViewId="0">
      <pane xSplit="1" ySplit="2" topLeftCell="F11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33.81640625" bestFit="1" customWidth="1"/>
    <col min="2" max="2" width="26.36328125" customWidth="1"/>
    <col min="3" max="3" width="17.1796875" customWidth="1"/>
    <col min="4" max="4" width="12.453125" customWidth="1"/>
    <col min="5" max="5" width="10.08984375" customWidth="1"/>
    <col min="6" max="6" width="10.54296875" customWidth="1"/>
    <col min="7" max="7" width="12.1796875" customWidth="1"/>
    <col min="8" max="8" width="10.08984375" customWidth="1"/>
    <col min="9" max="9" width="8.81640625" customWidth="1"/>
    <col min="10" max="10" width="11.7265625" customWidth="1"/>
    <col min="11" max="11" width="10.81640625" customWidth="1"/>
    <col min="12" max="12" width="13.54296875" customWidth="1"/>
    <col min="13" max="13" width="8.7265625" customWidth="1"/>
  </cols>
  <sheetData>
    <row r="1" spans="1:13" ht="21" x14ac:dyDescent="0.4">
      <c r="A1" s="18" t="s">
        <v>594</v>
      </c>
    </row>
    <row r="2" spans="1:13" ht="30" x14ac:dyDescent="0.25">
      <c r="A2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31</v>
      </c>
      <c r="G2" s="4" t="s">
        <v>32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ht="45" x14ac:dyDescent="0.25">
      <c r="A3" s="3" t="s">
        <v>681</v>
      </c>
      <c r="B3" s="4" t="s">
        <v>685</v>
      </c>
      <c r="C3" s="3">
        <v>0</v>
      </c>
      <c r="D3" s="3">
        <v>5</v>
      </c>
      <c r="E3" s="3">
        <v>3</v>
      </c>
      <c r="F3" s="3">
        <v>0</v>
      </c>
      <c r="G3" s="3">
        <v>4</v>
      </c>
      <c r="H3" s="3">
        <v>5</v>
      </c>
      <c r="I3" s="3">
        <v>0</v>
      </c>
      <c r="J3" s="3">
        <v>20</v>
      </c>
      <c r="K3" s="3">
        <v>172</v>
      </c>
      <c r="L3" s="3">
        <v>5</v>
      </c>
      <c r="M3" s="3">
        <v>0</v>
      </c>
    </row>
    <row r="4" spans="1:13" ht="240" x14ac:dyDescent="0.25">
      <c r="A4" s="3" t="s">
        <v>505</v>
      </c>
      <c r="B4" s="4" t="s">
        <v>687</v>
      </c>
      <c r="C4" s="3">
        <v>48</v>
      </c>
      <c r="D4" s="3">
        <v>0</v>
      </c>
      <c r="E4" s="3">
        <v>53</v>
      </c>
      <c r="F4" s="3">
        <v>23</v>
      </c>
      <c r="G4" s="3">
        <v>14</v>
      </c>
      <c r="H4" s="3">
        <v>0</v>
      </c>
      <c r="I4" s="3">
        <v>0</v>
      </c>
      <c r="J4" s="3">
        <v>78</v>
      </c>
      <c r="K4" s="3">
        <v>692</v>
      </c>
      <c r="L4" s="3">
        <v>147</v>
      </c>
      <c r="M4" s="3">
        <v>0</v>
      </c>
    </row>
    <row r="5" spans="1:13" ht="45" x14ac:dyDescent="0.25">
      <c r="A5" s="3" t="s">
        <v>682</v>
      </c>
      <c r="B5" s="4" t="s">
        <v>511</v>
      </c>
      <c r="C5" s="3">
        <v>0</v>
      </c>
      <c r="D5" s="3">
        <v>0</v>
      </c>
      <c r="E5" s="3">
        <v>198</v>
      </c>
      <c r="F5" s="3">
        <v>2</v>
      </c>
      <c r="G5" s="3">
        <v>82</v>
      </c>
      <c r="H5" s="3">
        <v>10</v>
      </c>
      <c r="I5" s="3">
        <v>0</v>
      </c>
      <c r="J5" s="3">
        <v>297</v>
      </c>
      <c r="K5" s="3">
        <v>490</v>
      </c>
      <c r="L5" s="3">
        <v>0</v>
      </c>
      <c r="M5" s="3">
        <v>5</v>
      </c>
    </row>
    <row r="6" spans="1:13" ht="60" x14ac:dyDescent="0.25">
      <c r="A6" s="3" t="s">
        <v>507</v>
      </c>
      <c r="B6" s="4" t="s">
        <v>686</v>
      </c>
      <c r="C6" s="3">
        <v>157</v>
      </c>
      <c r="D6" s="3">
        <v>0</v>
      </c>
      <c r="E6" s="3">
        <v>1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</row>
    <row r="7" spans="1:13" x14ac:dyDescent="0.25">
      <c r="A7" s="3" t="s">
        <v>683</v>
      </c>
      <c r="B7" s="4" t="s">
        <v>512</v>
      </c>
      <c r="C7" s="3">
        <v>0</v>
      </c>
      <c r="D7" s="3">
        <v>0</v>
      </c>
      <c r="E7" s="3">
        <v>12</v>
      </c>
      <c r="F7" s="3">
        <v>2</v>
      </c>
      <c r="G7" s="3">
        <v>19</v>
      </c>
      <c r="H7" s="3">
        <v>0</v>
      </c>
      <c r="I7" s="3">
        <v>0</v>
      </c>
      <c r="J7" s="3">
        <v>7</v>
      </c>
      <c r="K7" s="3">
        <v>16</v>
      </c>
      <c r="L7" s="3">
        <v>0</v>
      </c>
      <c r="M7" s="3">
        <v>0</v>
      </c>
    </row>
    <row r="8" spans="1:13" x14ac:dyDescent="0.25">
      <c r="A8" s="3" t="s">
        <v>796</v>
      </c>
      <c r="B8" s="4" t="s">
        <v>797</v>
      </c>
      <c r="C8" s="3">
        <v>0</v>
      </c>
      <c r="D8" s="3">
        <v>2</v>
      </c>
      <c r="E8" s="3">
        <v>1</v>
      </c>
      <c r="F8" s="3">
        <v>0</v>
      </c>
      <c r="G8" s="3">
        <v>1</v>
      </c>
      <c r="H8" s="3">
        <v>2</v>
      </c>
      <c r="I8" s="3">
        <v>0</v>
      </c>
      <c r="J8" s="3">
        <v>9</v>
      </c>
      <c r="K8" s="3">
        <v>20</v>
      </c>
      <c r="L8" s="3">
        <v>4</v>
      </c>
      <c r="M8" s="3">
        <v>5</v>
      </c>
    </row>
    <row r="9" spans="1:13" x14ac:dyDescent="0.25">
      <c r="A9" s="3" t="s">
        <v>504</v>
      </c>
      <c r="B9" s="4" t="s">
        <v>513</v>
      </c>
      <c r="C9" s="3">
        <v>0</v>
      </c>
      <c r="D9" s="3">
        <v>0</v>
      </c>
      <c r="E9" s="3">
        <v>12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82</v>
      </c>
      <c r="L9" s="3">
        <v>0</v>
      </c>
      <c r="M9" s="3">
        <v>0</v>
      </c>
    </row>
    <row r="10" spans="1:13" ht="30" x14ac:dyDescent="0.25">
      <c r="A10" s="3" t="s">
        <v>510</v>
      </c>
      <c r="B10" s="4" t="s">
        <v>514</v>
      </c>
      <c r="C10" s="3">
        <v>0</v>
      </c>
      <c r="D10" s="3">
        <v>0</v>
      </c>
      <c r="E10" s="3">
        <v>52</v>
      </c>
      <c r="F10" s="3">
        <v>5</v>
      </c>
      <c r="G10" s="3">
        <v>13</v>
      </c>
      <c r="H10" s="3">
        <v>3</v>
      </c>
      <c r="I10" s="3">
        <v>9</v>
      </c>
      <c r="J10" s="3">
        <v>62</v>
      </c>
      <c r="K10" s="3">
        <v>171</v>
      </c>
      <c r="L10" s="3">
        <v>0</v>
      </c>
      <c r="M10" s="3">
        <v>1</v>
      </c>
    </row>
    <row r="11" spans="1:13" ht="30" x14ac:dyDescent="0.25">
      <c r="A11" s="3" t="s">
        <v>684</v>
      </c>
      <c r="B11" s="4" t="s">
        <v>515</v>
      </c>
      <c r="C11" s="3">
        <v>0</v>
      </c>
      <c r="D11" s="3">
        <v>0</v>
      </c>
      <c r="E11" s="3">
        <v>14</v>
      </c>
      <c r="F11" s="3">
        <v>2</v>
      </c>
      <c r="G11" s="3">
        <v>5</v>
      </c>
      <c r="H11" s="3">
        <v>0</v>
      </c>
      <c r="I11" s="3">
        <v>1</v>
      </c>
      <c r="J11" s="3">
        <v>15</v>
      </c>
      <c r="K11" s="3">
        <v>47</v>
      </c>
      <c r="L11" s="3">
        <v>0</v>
      </c>
      <c r="M11" s="3">
        <v>2</v>
      </c>
    </row>
    <row r="12" spans="1:13" ht="60" x14ac:dyDescent="0.25">
      <c r="A12" s="3" t="s">
        <v>508</v>
      </c>
      <c r="B12" s="4" t="s">
        <v>516</v>
      </c>
      <c r="C12" s="3">
        <v>0</v>
      </c>
      <c r="D12" s="3">
        <v>0</v>
      </c>
      <c r="E12" s="3">
        <v>25</v>
      </c>
      <c r="F12" s="3">
        <v>2</v>
      </c>
      <c r="G12" s="3">
        <v>4</v>
      </c>
      <c r="H12" s="3">
        <v>10</v>
      </c>
      <c r="I12" s="3">
        <v>0</v>
      </c>
      <c r="J12" s="3">
        <v>45</v>
      </c>
      <c r="K12" s="3">
        <v>278</v>
      </c>
      <c r="L12" s="3">
        <v>0</v>
      </c>
      <c r="M12" s="3">
        <v>36</v>
      </c>
    </row>
    <row r="13" spans="1:13" ht="45" x14ac:dyDescent="0.25">
      <c r="A13" s="3" t="s">
        <v>509</v>
      </c>
      <c r="B13" s="4" t="s">
        <v>517</v>
      </c>
      <c r="C13" s="3">
        <v>0</v>
      </c>
      <c r="D13" s="3">
        <v>0</v>
      </c>
      <c r="E13" s="3">
        <v>0</v>
      </c>
      <c r="F13" s="3">
        <v>2</v>
      </c>
      <c r="G13" s="3">
        <v>1</v>
      </c>
      <c r="H13" s="3">
        <v>0</v>
      </c>
      <c r="I13" s="3">
        <v>0</v>
      </c>
      <c r="J13" s="3">
        <v>0</v>
      </c>
      <c r="K13" s="3">
        <v>21</v>
      </c>
      <c r="L13" s="3">
        <v>0</v>
      </c>
      <c r="M13" s="3">
        <v>0</v>
      </c>
    </row>
    <row r="14" spans="1:13" ht="30" x14ac:dyDescent="0.25">
      <c r="A14" s="3" t="s">
        <v>506</v>
      </c>
      <c r="B14" s="4" t="s">
        <v>518</v>
      </c>
      <c r="C14" s="3">
        <v>0</v>
      </c>
      <c r="D14" s="3">
        <v>0</v>
      </c>
      <c r="E14" s="3">
        <v>21</v>
      </c>
      <c r="F14" s="3">
        <v>1</v>
      </c>
      <c r="G14" s="3">
        <v>19</v>
      </c>
      <c r="H14" s="3">
        <v>3</v>
      </c>
      <c r="I14" s="3">
        <v>0</v>
      </c>
      <c r="J14" s="3">
        <v>3</v>
      </c>
      <c r="K14" s="3">
        <v>105</v>
      </c>
      <c r="L14" s="3">
        <v>0</v>
      </c>
      <c r="M14" s="3">
        <v>0</v>
      </c>
    </row>
    <row r="15" spans="1:13" x14ac:dyDescent="0.25">
      <c r="A15" t="s">
        <v>680</v>
      </c>
      <c r="B15" s="2" t="s">
        <v>543</v>
      </c>
      <c r="C15" s="8">
        <f>SUM(Table41[American Sign Language Total])</f>
        <v>205</v>
      </c>
      <c r="D15" s="8">
        <f>SUM(Table41[Cantonese Total])</f>
        <v>7</v>
      </c>
      <c r="E15" s="8">
        <f>SUM(Table41[French Total])</f>
        <v>392</v>
      </c>
      <c r="F15" s="8">
        <f>SUM(Table41[German Total])</f>
        <v>39</v>
      </c>
      <c r="G15" s="8">
        <f>SUM(Table41[[ Japanese Total]])</f>
        <v>162</v>
      </c>
      <c r="H15" s="8">
        <f>SUM(Table41[Korean Total])</f>
        <v>33</v>
      </c>
      <c r="I15" s="8">
        <f>SUM(Table41[Latin Total])</f>
        <v>10</v>
      </c>
      <c r="J15" s="8">
        <f>SUM(Table41[Mandarin Total])</f>
        <v>536</v>
      </c>
      <c r="K15" s="8">
        <f>SUM(Table41[Spanish Total])</f>
        <v>2094</v>
      </c>
      <c r="L15" s="8">
        <f>SUM(Table41[Vietnamese Total])</f>
        <v>156</v>
      </c>
      <c r="M15" s="8">
        <f>SUM(Table41[Other Total])</f>
        <v>49</v>
      </c>
    </row>
  </sheetData>
  <sortState xmlns:xlrd2="http://schemas.microsoft.com/office/spreadsheetml/2017/richdata2" ref="A2:A20">
    <sortCondition ref="A2"/>
  </sortState>
  <pageMargins left="0.7" right="0.7" top="0.75" bottom="0.75" header="0.3" footer="0.3"/>
  <pageSetup scale="55" orientation="landscape" r:id="rId1"/>
  <tableParts count="1">
    <tablePart r:id="rId2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M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33.36328125" bestFit="1" customWidth="1"/>
    <col min="2" max="2" width="27.6328125" customWidth="1"/>
    <col min="3" max="3" width="17.26953125" customWidth="1"/>
    <col min="4" max="4" width="12.81640625" customWidth="1"/>
    <col min="5" max="5" width="9.81640625" customWidth="1"/>
    <col min="6" max="6" width="10.7265625" customWidth="1"/>
    <col min="7" max="7" width="12.453125" customWidth="1"/>
    <col min="8" max="8" width="10" customWidth="1"/>
    <col min="9" max="9" width="8.7265625" customWidth="1"/>
    <col min="10" max="10" width="12" customWidth="1"/>
    <col min="11" max="11" width="10.81640625" customWidth="1"/>
    <col min="12" max="12" width="13.7265625" customWidth="1"/>
    <col min="13" max="13" width="9" customWidth="1"/>
  </cols>
  <sheetData>
    <row r="1" spans="1:13" ht="21" x14ac:dyDescent="0.4">
      <c r="A1" s="18" t="s">
        <v>595</v>
      </c>
    </row>
    <row r="2" spans="1:13" ht="30" x14ac:dyDescent="0.25">
      <c r="A2" s="3" t="s">
        <v>4</v>
      </c>
      <c r="B2" s="3" t="s">
        <v>5</v>
      </c>
      <c r="C2" s="4" t="s">
        <v>6</v>
      </c>
      <c r="D2" s="4" t="s">
        <v>7</v>
      </c>
      <c r="E2" s="4" t="s">
        <v>8</v>
      </c>
      <c r="F2" s="4" t="s">
        <v>31</v>
      </c>
      <c r="G2" s="4" t="s">
        <v>32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ht="45" x14ac:dyDescent="0.25">
      <c r="A3" s="3" t="s">
        <v>688</v>
      </c>
      <c r="B3" s="4" t="s">
        <v>691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128</v>
      </c>
      <c r="L3" s="3">
        <v>0</v>
      </c>
      <c r="M3" s="3">
        <v>2</v>
      </c>
    </row>
    <row r="4" spans="1:13" ht="30" x14ac:dyDescent="0.25">
      <c r="A4" s="3" t="s">
        <v>520</v>
      </c>
      <c r="B4" s="4" t="s">
        <v>692</v>
      </c>
      <c r="C4" s="3">
        <v>0</v>
      </c>
      <c r="D4" s="3">
        <v>0</v>
      </c>
      <c r="E4" s="3">
        <v>5</v>
      </c>
      <c r="F4" s="3">
        <v>1</v>
      </c>
      <c r="G4" s="3">
        <v>0</v>
      </c>
      <c r="H4" s="3">
        <v>0</v>
      </c>
      <c r="I4" s="3">
        <v>0</v>
      </c>
      <c r="J4" s="3">
        <v>0</v>
      </c>
      <c r="K4" s="3">
        <v>34</v>
      </c>
      <c r="L4" s="3">
        <v>0</v>
      </c>
      <c r="M4" s="3">
        <v>0</v>
      </c>
    </row>
    <row r="5" spans="1:13" x14ac:dyDescent="0.25">
      <c r="A5" s="3" t="s">
        <v>519</v>
      </c>
      <c r="B5" s="4" t="s">
        <v>521</v>
      </c>
      <c r="C5" s="3">
        <v>0</v>
      </c>
      <c r="D5" s="3">
        <v>0</v>
      </c>
      <c r="E5" s="3">
        <v>7</v>
      </c>
      <c r="F5" s="3">
        <v>0</v>
      </c>
      <c r="G5" s="3">
        <v>0</v>
      </c>
      <c r="H5" s="3">
        <v>0</v>
      </c>
      <c r="I5" s="3">
        <v>4</v>
      </c>
      <c r="J5" s="3">
        <v>1</v>
      </c>
      <c r="K5" s="3">
        <v>13</v>
      </c>
      <c r="L5" s="3">
        <v>0</v>
      </c>
      <c r="M5" s="3">
        <v>0</v>
      </c>
    </row>
    <row r="6" spans="1:13" x14ac:dyDescent="0.25">
      <c r="A6" s="3" t="s">
        <v>689</v>
      </c>
      <c r="B6" s="4" t="s">
        <v>693</v>
      </c>
      <c r="C6" s="3">
        <v>0</v>
      </c>
      <c r="D6" s="3">
        <v>0</v>
      </c>
      <c r="E6" s="3">
        <v>1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14</v>
      </c>
      <c r="L6" s="3">
        <v>0</v>
      </c>
      <c r="M6" s="3">
        <v>0</v>
      </c>
    </row>
    <row r="7" spans="1:13" x14ac:dyDescent="0.25">
      <c r="A7" t="s">
        <v>690</v>
      </c>
      <c r="B7" s="2" t="s">
        <v>48</v>
      </c>
      <c r="C7">
        <f>SUM(Table42[American Sign Language Total])</f>
        <v>0</v>
      </c>
      <c r="D7">
        <f>SUM(Table42[Cantonese Total])</f>
        <v>0</v>
      </c>
      <c r="E7">
        <f>SUM(Table42[French Total])</f>
        <v>13</v>
      </c>
      <c r="F7">
        <f>SUM(Table42[German Total])</f>
        <v>1</v>
      </c>
      <c r="G7">
        <f>SUM(Table42[[ Japanese Total]])</f>
        <v>0</v>
      </c>
      <c r="H7">
        <f>SUM(Table42[Korean Total])</f>
        <v>0</v>
      </c>
      <c r="I7">
        <f>SUM(Table42[Latin Total])</f>
        <v>4</v>
      </c>
      <c r="J7">
        <f>SUM(Table42[Mandarin Total])</f>
        <v>1</v>
      </c>
      <c r="K7">
        <f>SUM(Table42[Spanish Total])</f>
        <v>189</v>
      </c>
      <c r="L7">
        <f>SUM(Table42[Vietnamese Total])</f>
        <v>0</v>
      </c>
      <c r="M7">
        <f>SUM(Table42[Other Total])</f>
        <v>2</v>
      </c>
    </row>
  </sheetData>
  <sortState xmlns:xlrd2="http://schemas.microsoft.com/office/spreadsheetml/2017/richdata2" ref="A2:A7">
    <sortCondition ref="A2"/>
  </sortState>
  <pageMargins left="0.7" right="0.7" top="0.75" bottom="0.75" header="0.3" footer="0.3"/>
  <pageSetup scale="54" fitToHeight="0" orientation="landscape" r:id="rId1"/>
  <tableParts count="1">
    <tablePart r:id="rId2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M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22.6328125" bestFit="1" customWidth="1"/>
    <col min="2" max="2" width="22.26953125" bestFit="1" customWidth="1"/>
    <col min="3" max="3" width="17.26953125" customWidth="1"/>
    <col min="4" max="4" width="13" customWidth="1"/>
    <col min="5" max="5" width="9.6328125" customWidth="1"/>
    <col min="6" max="6" width="10.6328125" customWidth="1"/>
    <col min="7" max="7" width="12.54296875" customWidth="1"/>
    <col min="8" max="8" width="10.1796875" customWidth="1"/>
    <col min="9" max="9" width="8.54296875" customWidth="1"/>
    <col min="10" max="10" width="11.6328125" customWidth="1"/>
    <col min="11" max="11" width="10.6328125" customWidth="1"/>
    <col min="12" max="12" width="13.54296875" customWidth="1"/>
    <col min="13" max="13" width="8.81640625" customWidth="1"/>
  </cols>
  <sheetData>
    <row r="1" spans="1:13" ht="21" x14ac:dyDescent="0.4">
      <c r="A1" s="18" t="s">
        <v>596</v>
      </c>
    </row>
    <row r="2" spans="1:13" ht="30" x14ac:dyDescent="0.25">
      <c r="A2" s="3" t="s">
        <v>4</v>
      </c>
      <c r="B2" s="3" t="s">
        <v>5</v>
      </c>
      <c r="C2" s="4" t="s">
        <v>6</v>
      </c>
      <c r="D2" s="4" t="s">
        <v>7</v>
      </c>
      <c r="E2" s="4" t="s">
        <v>8</v>
      </c>
      <c r="F2" s="4" t="s">
        <v>31</v>
      </c>
      <c r="G2" s="4" t="s">
        <v>32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25">
      <c r="A3" t="s">
        <v>522</v>
      </c>
      <c r="B3" t="s">
        <v>694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2</v>
      </c>
      <c r="L3">
        <v>0</v>
      </c>
      <c r="M3">
        <v>0</v>
      </c>
    </row>
    <row r="4" spans="1:13" x14ac:dyDescent="0.25">
      <c r="A4" t="s">
        <v>695</v>
      </c>
      <c r="B4" s="2" t="s">
        <v>52</v>
      </c>
      <c r="C4">
        <f>SUM(Table43[American Sign Language Total])</f>
        <v>0</v>
      </c>
      <c r="D4">
        <f>SUM(Table43[Cantonese Total])</f>
        <v>0</v>
      </c>
      <c r="E4">
        <f>SUM(Table43[French Total])</f>
        <v>0</v>
      </c>
      <c r="F4">
        <f>SUM(Table43[German Total])</f>
        <v>0</v>
      </c>
      <c r="G4">
        <f>SUM(Table43[[ Japanese Total]])</f>
        <v>0</v>
      </c>
      <c r="H4">
        <f>SUM(Table43[Korean Total])</f>
        <v>0</v>
      </c>
      <c r="I4">
        <f>SUM(Table43[Latin Total])</f>
        <v>0</v>
      </c>
      <c r="J4">
        <f>SUM(Table43[Mandarin Total])</f>
        <v>0</v>
      </c>
      <c r="K4">
        <f>SUM(Table43[Spanish Total])</f>
        <v>2</v>
      </c>
      <c r="L4">
        <f>SUM(Table43[Vietnamese Total])</f>
        <v>0</v>
      </c>
      <c r="M4">
        <f>SUM(Table43[Other Total])</f>
        <v>0</v>
      </c>
    </row>
  </sheetData>
  <pageMargins left="0.7" right="0.7" top="0.75" bottom="0.75" header="0.3" footer="0.3"/>
  <pageSetup scale="59" fitToHeight="0" orientation="landscape" r:id="rId1"/>
  <tableParts count="1">
    <tablePart r:id="rId2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M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22.6328125" bestFit="1" customWidth="1"/>
    <col min="2" max="2" width="20.6328125" customWidth="1"/>
    <col min="3" max="3" width="17.453125" customWidth="1"/>
    <col min="4" max="4" width="12.7265625" customWidth="1"/>
    <col min="5" max="5" width="9.81640625" customWidth="1"/>
    <col min="6" max="6" width="10.6328125" customWidth="1"/>
    <col min="7" max="7" width="12.36328125" customWidth="1"/>
    <col min="8" max="8" width="10" customWidth="1"/>
    <col min="9" max="9" width="8.90625" customWidth="1"/>
    <col min="10" max="10" width="12.36328125" customWidth="1"/>
    <col min="11" max="11" width="11" customWidth="1"/>
    <col min="12" max="12" width="13.7265625" customWidth="1"/>
    <col min="13" max="13" width="8.81640625" customWidth="1"/>
  </cols>
  <sheetData>
    <row r="1" spans="1:13" s="18" customFormat="1" ht="21" x14ac:dyDescent="0.4">
      <c r="A1" s="18" t="s">
        <v>597</v>
      </c>
    </row>
    <row r="2" spans="1:13" ht="30" x14ac:dyDescent="0.25">
      <c r="A2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31</v>
      </c>
      <c r="G2" s="4" t="s">
        <v>32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25">
      <c r="A3" s="3" t="s">
        <v>696</v>
      </c>
      <c r="B3" s="4" t="s">
        <v>700</v>
      </c>
      <c r="C3" s="3">
        <v>0</v>
      </c>
      <c r="D3" s="3">
        <v>1</v>
      </c>
      <c r="E3" s="3">
        <v>1</v>
      </c>
      <c r="F3" s="3">
        <v>0</v>
      </c>
      <c r="G3" s="3">
        <v>0</v>
      </c>
      <c r="H3" s="3">
        <v>1</v>
      </c>
      <c r="I3" s="3">
        <v>0</v>
      </c>
      <c r="J3" s="3">
        <v>2</v>
      </c>
      <c r="K3" s="3">
        <v>19</v>
      </c>
      <c r="L3" s="3">
        <v>0</v>
      </c>
      <c r="M3" s="3">
        <v>5</v>
      </c>
    </row>
    <row r="4" spans="1:13" ht="60" x14ac:dyDescent="0.25">
      <c r="A4" s="3" t="s">
        <v>697</v>
      </c>
      <c r="B4" s="4" t="s">
        <v>701</v>
      </c>
      <c r="C4" s="3">
        <v>0</v>
      </c>
      <c r="D4" s="3">
        <v>0</v>
      </c>
      <c r="E4" s="3">
        <v>33</v>
      </c>
      <c r="F4" s="3">
        <v>2</v>
      </c>
      <c r="G4" s="3">
        <v>0</v>
      </c>
      <c r="H4" s="3">
        <v>0</v>
      </c>
      <c r="I4" s="3">
        <v>0</v>
      </c>
      <c r="J4" s="3">
        <v>0</v>
      </c>
      <c r="K4" s="3">
        <v>119</v>
      </c>
      <c r="L4" s="3">
        <v>0</v>
      </c>
      <c r="M4" s="3">
        <v>0</v>
      </c>
    </row>
    <row r="5" spans="1:13" ht="45" x14ac:dyDescent="0.25">
      <c r="A5" s="3" t="s">
        <v>698</v>
      </c>
      <c r="B5" s="4" t="s">
        <v>702</v>
      </c>
      <c r="C5" s="3">
        <v>0</v>
      </c>
      <c r="D5" s="3">
        <v>0</v>
      </c>
      <c r="E5" s="3">
        <v>9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70</v>
      </c>
      <c r="L5" s="3">
        <v>0</v>
      </c>
      <c r="M5" s="3">
        <v>0</v>
      </c>
    </row>
    <row r="6" spans="1:13" x14ac:dyDescent="0.25">
      <c r="A6" s="3" t="s">
        <v>523</v>
      </c>
      <c r="B6" s="4" t="s">
        <v>703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6</v>
      </c>
      <c r="K6" s="3">
        <v>24</v>
      </c>
      <c r="L6" s="3">
        <v>0</v>
      </c>
      <c r="M6" s="3">
        <v>0</v>
      </c>
    </row>
    <row r="7" spans="1:13" x14ac:dyDescent="0.25">
      <c r="A7" t="s">
        <v>699</v>
      </c>
      <c r="B7" t="s">
        <v>303</v>
      </c>
      <c r="C7">
        <f>SUM(Table44[American Sign Language Total])</f>
        <v>0</v>
      </c>
      <c r="D7">
        <f>SUM(Table44[Cantonese Total])</f>
        <v>1</v>
      </c>
      <c r="E7">
        <f>SUM(Table44[French Total])</f>
        <v>43</v>
      </c>
      <c r="F7">
        <f>SUM(Table44[German Total])</f>
        <v>2</v>
      </c>
      <c r="G7">
        <f>SUM(Table44[[ Japanese Total]])</f>
        <v>0</v>
      </c>
      <c r="H7">
        <f>SUM(Table44[Korean Total])</f>
        <v>1</v>
      </c>
      <c r="I7">
        <f>SUM(Table44[Latin Total])</f>
        <v>0</v>
      </c>
      <c r="J7">
        <f>SUM(Table44[Mandarin Total])</f>
        <v>8</v>
      </c>
      <c r="K7">
        <f>SUM(Table44[Spanish Total])</f>
        <v>232</v>
      </c>
      <c r="L7">
        <f>SUM(Table44[Vietnamese Total])</f>
        <v>0</v>
      </c>
      <c r="M7">
        <f>SUM(Table44[Other Total])</f>
        <v>5</v>
      </c>
    </row>
  </sheetData>
  <pageMargins left="0.7" right="0.7" top="0.75" bottom="0.75" header="0.3" footer="0.3"/>
  <pageSetup scale="60" fitToHeight="0" orientation="landscape" r:id="rId1"/>
  <tableParts count="1">
    <tablePart r:id="rId2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M11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29" bestFit="1" customWidth="1"/>
    <col min="2" max="2" width="22.7265625" customWidth="1"/>
    <col min="3" max="3" width="18.1796875" customWidth="1"/>
    <col min="4" max="4" width="13" customWidth="1"/>
    <col min="5" max="5" width="10" customWidth="1"/>
    <col min="6" max="6" width="10.6328125" customWidth="1"/>
    <col min="7" max="7" width="12" customWidth="1"/>
    <col min="8" max="8" width="10" customWidth="1"/>
    <col min="9" max="9" width="8.54296875" customWidth="1"/>
    <col min="10" max="10" width="11.7265625" customWidth="1"/>
    <col min="11" max="11" width="10.7265625" customWidth="1"/>
    <col min="12" max="12" width="13.453125" customWidth="1"/>
    <col min="13" max="13" width="9.36328125" customWidth="1"/>
  </cols>
  <sheetData>
    <row r="1" spans="1:13" ht="21" x14ac:dyDescent="0.4">
      <c r="A1" s="18" t="s">
        <v>598</v>
      </c>
    </row>
    <row r="2" spans="1:13" ht="30" x14ac:dyDescent="0.25">
      <c r="A2" s="3" t="s">
        <v>4</v>
      </c>
      <c r="B2" s="3" t="s">
        <v>5</v>
      </c>
      <c r="C2" s="4" t="s">
        <v>6</v>
      </c>
      <c r="D2" s="4" t="s">
        <v>7</v>
      </c>
      <c r="E2" s="4" t="s">
        <v>8</v>
      </c>
      <c r="F2" s="4" t="s">
        <v>31</v>
      </c>
      <c r="G2" s="4" t="s">
        <v>32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25">
      <c r="A3" s="3" t="s">
        <v>528</v>
      </c>
      <c r="B3" s="4" t="s">
        <v>708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22</v>
      </c>
      <c r="L3" s="3">
        <v>0</v>
      </c>
      <c r="M3" s="3">
        <v>0</v>
      </c>
    </row>
    <row r="4" spans="1:13" x14ac:dyDescent="0.25">
      <c r="A4" s="3" t="s">
        <v>526</v>
      </c>
      <c r="B4" s="4" t="s">
        <v>709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32</v>
      </c>
      <c r="L4" s="3">
        <v>0</v>
      </c>
      <c r="M4" s="3">
        <v>0</v>
      </c>
    </row>
    <row r="5" spans="1:13" x14ac:dyDescent="0.25">
      <c r="A5" s="3" t="s">
        <v>704</v>
      </c>
      <c r="B5" s="4" t="s">
        <v>710</v>
      </c>
      <c r="C5" s="3">
        <v>0</v>
      </c>
      <c r="D5" s="3">
        <v>0</v>
      </c>
      <c r="E5" s="3">
        <v>1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17</v>
      </c>
      <c r="L5" s="3">
        <v>0</v>
      </c>
      <c r="M5" s="3">
        <v>0</v>
      </c>
    </row>
    <row r="6" spans="1:13" ht="30" x14ac:dyDescent="0.25">
      <c r="A6" s="3" t="s">
        <v>527</v>
      </c>
      <c r="B6" s="4" t="s">
        <v>529</v>
      </c>
      <c r="C6" s="3">
        <v>6</v>
      </c>
      <c r="D6" s="3">
        <v>0</v>
      </c>
      <c r="E6" s="3">
        <v>18</v>
      </c>
      <c r="F6" s="3">
        <v>1</v>
      </c>
      <c r="G6" s="3">
        <v>1</v>
      </c>
      <c r="H6" s="3">
        <v>0</v>
      </c>
      <c r="I6" s="3">
        <v>1</v>
      </c>
      <c r="J6" s="3">
        <v>2</v>
      </c>
      <c r="K6" s="3">
        <v>80</v>
      </c>
      <c r="L6" s="3">
        <v>0</v>
      </c>
      <c r="M6" s="3">
        <v>1</v>
      </c>
    </row>
    <row r="7" spans="1:13" x14ac:dyDescent="0.25">
      <c r="A7" s="3" t="s">
        <v>524</v>
      </c>
      <c r="B7" s="4" t="s">
        <v>530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61</v>
      </c>
      <c r="L7" s="3">
        <v>0</v>
      </c>
      <c r="M7" s="3">
        <v>0</v>
      </c>
    </row>
    <row r="8" spans="1:13" ht="60" x14ac:dyDescent="0.25">
      <c r="A8" s="3" t="s">
        <v>525</v>
      </c>
      <c r="B8" s="4" t="s">
        <v>711</v>
      </c>
      <c r="C8" s="3">
        <v>0</v>
      </c>
      <c r="D8" s="3">
        <v>0</v>
      </c>
      <c r="E8" s="3">
        <v>35</v>
      </c>
      <c r="F8" s="3">
        <v>0</v>
      </c>
      <c r="G8" s="3">
        <v>0</v>
      </c>
      <c r="H8" s="3">
        <v>0</v>
      </c>
      <c r="I8" s="3">
        <v>3</v>
      </c>
      <c r="J8" s="3">
        <v>3</v>
      </c>
      <c r="K8" s="3">
        <v>200</v>
      </c>
      <c r="L8" s="3">
        <v>0</v>
      </c>
      <c r="M8" s="3">
        <v>9</v>
      </c>
    </row>
    <row r="9" spans="1:13" x14ac:dyDescent="0.25">
      <c r="A9" s="3" t="s">
        <v>705</v>
      </c>
      <c r="B9" s="4" t="s">
        <v>712</v>
      </c>
      <c r="C9" s="3">
        <v>0</v>
      </c>
      <c r="D9" s="3">
        <v>0</v>
      </c>
      <c r="E9" s="3">
        <v>1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52</v>
      </c>
      <c r="L9" s="3">
        <v>0</v>
      </c>
      <c r="M9" s="3">
        <v>0</v>
      </c>
    </row>
    <row r="10" spans="1:13" x14ac:dyDescent="0.25">
      <c r="A10" s="3" t="s">
        <v>706</v>
      </c>
      <c r="B10" s="4" t="s">
        <v>713</v>
      </c>
      <c r="C10" s="3">
        <v>0</v>
      </c>
      <c r="D10" s="3">
        <v>0</v>
      </c>
      <c r="E10" s="3">
        <v>6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59</v>
      </c>
      <c r="L10" s="3">
        <v>0</v>
      </c>
      <c r="M10" s="3">
        <v>0</v>
      </c>
    </row>
    <row r="11" spans="1:13" x14ac:dyDescent="0.25">
      <c r="A11" t="s">
        <v>707</v>
      </c>
      <c r="B11" s="2" t="s">
        <v>714</v>
      </c>
      <c r="C11">
        <f>SUM(Table45[American Sign Language Total])</f>
        <v>6</v>
      </c>
      <c r="D11">
        <f>SUM(Table45[Cantonese Total])</f>
        <v>0</v>
      </c>
      <c r="E11">
        <f>SUM(Table45[French Total])</f>
        <v>61</v>
      </c>
      <c r="F11">
        <f>SUM(Table45[German Total])</f>
        <v>1</v>
      </c>
      <c r="G11">
        <f>SUM(Table45[[ Japanese Total]])</f>
        <v>1</v>
      </c>
      <c r="H11">
        <f>SUM(Table45[Korean Total])</f>
        <v>0</v>
      </c>
      <c r="I11">
        <f>SUM(Table45[Latin Total])</f>
        <v>4</v>
      </c>
      <c r="J11">
        <f>SUM(Table45[Mandarin Total])</f>
        <v>5</v>
      </c>
      <c r="K11">
        <f>SUM(Table45[Spanish Total])</f>
        <v>523</v>
      </c>
      <c r="L11">
        <f>SUM(Table45[Vietnamese Total])</f>
        <v>0</v>
      </c>
      <c r="M11">
        <f>SUM(Table45[Other Total])</f>
        <v>10</v>
      </c>
    </row>
  </sheetData>
  <sortState xmlns:xlrd2="http://schemas.microsoft.com/office/spreadsheetml/2017/richdata2" ref="A2:A10">
    <sortCondition ref="A2"/>
  </sortState>
  <pageMargins left="0.7" right="0.7" top="0.75" bottom="0.75" header="0.3" footer="0.3"/>
  <pageSetup scale="57" fitToHeight="0" orientation="landscape" r:id="rId1"/>
  <tableParts count="1">
    <tablePart r:id="rId2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M9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24.26953125" bestFit="1" customWidth="1"/>
    <col min="2" max="2" width="26.81640625" customWidth="1"/>
    <col min="3" max="3" width="17.26953125" customWidth="1"/>
    <col min="4" max="4" width="12.90625" customWidth="1"/>
    <col min="5" max="5" width="9.81640625" customWidth="1"/>
    <col min="6" max="6" width="10.36328125" customWidth="1"/>
    <col min="7" max="7" width="12.26953125" customWidth="1"/>
    <col min="8" max="8" width="10.26953125" customWidth="1"/>
    <col min="9" max="9" width="8.7265625" customWidth="1"/>
    <col min="10" max="10" width="11.81640625" customWidth="1"/>
    <col min="11" max="11" width="10.81640625" customWidth="1"/>
    <col min="12" max="12" width="13.7265625" customWidth="1"/>
    <col min="13" max="13" width="9.08984375" customWidth="1"/>
  </cols>
  <sheetData>
    <row r="1" spans="1:13" ht="21" x14ac:dyDescent="0.4">
      <c r="A1" s="18" t="s">
        <v>599</v>
      </c>
    </row>
    <row r="2" spans="1:13" ht="30" x14ac:dyDescent="0.25">
      <c r="A2" s="3" t="s">
        <v>4</v>
      </c>
      <c r="B2" s="3" t="s">
        <v>5</v>
      </c>
      <c r="C2" s="4" t="s">
        <v>6</v>
      </c>
      <c r="D2" s="4" t="s">
        <v>7</v>
      </c>
      <c r="E2" s="4" t="s">
        <v>8</v>
      </c>
      <c r="F2" s="4" t="s">
        <v>31</v>
      </c>
      <c r="G2" s="4" t="s">
        <v>32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25">
      <c r="A3" t="s">
        <v>532</v>
      </c>
      <c r="B3" t="s">
        <v>720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92</v>
      </c>
      <c r="L3">
        <v>0</v>
      </c>
      <c r="M3">
        <v>0</v>
      </c>
    </row>
    <row r="4" spans="1:13" ht="60" x14ac:dyDescent="0.25">
      <c r="A4" s="3" t="s">
        <v>531</v>
      </c>
      <c r="B4" s="4" t="s">
        <v>721</v>
      </c>
      <c r="C4" s="3">
        <v>0</v>
      </c>
      <c r="D4" s="3">
        <v>0</v>
      </c>
      <c r="E4" s="3">
        <v>16</v>
      </c>
      <c r="F4" s="3">
        <v>6</v>
      </c>
      <c r="G4" s="3">
        <v>0</v>
      </c>
      <c r="H4" s="3">
        <v>0</v>
      </c>
      <c r="I4" s="3">
        <v>0</v>
      </c>
      <c r="J4" s="3">
        <v>0</v>
      </c>
      <c r="K4" s="3">
        <v>117</v>
      </c>
      <c r="L4" s="3">
        <v>0</v>
      </c>
      <c r="M4" s="3">
        <v>0</v>
      </c>
    </row>
    <row r="5" spans="1:13" x14ac:dyDescent="0.25">
      <c r="A5" t="s">
        <v>715</v>
      </c>
      <c r="B5" t="s">
        <v>722</v>
      </c>
      <c r="C5">
        <v>0</v>
      </c>
      <c r="D5">
        <v>0</v>
      </c>
      <c r="E5">
        <v>1</v>
      </c>
      <c r="F5">
        <v>0</v>
      </c>
      <c r="G5">
        <v>0</v>
      </c>
      <c r="H5">
        <v>0</v>
      </c>
      <c r="I5">
        <v>0</v>
      </c>
      <c r="J5">
        <v>0</v>
      </c>
      <c r="K5">
        <v>12</v>
      </c>
      <c r="L5">
        <v>0</v>
      </c>
      <c r="M5">
        <v>0</v>
      </c>
    </row>
    <row r="6" spans="1:13" x14ac:dyDescent="0.25">
      <c r="A6" t="s">
        <v>716</v>
      </c>
      <c r="B6" t="s">
        <v>723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40</v>
      </c>
      <c r="M6">
        <v>0</v>
      </c>
    </row>
    <row r="7" spans="1:13" x14ac:dyDescent="0.25">
      <c r="A7" t="s">
        <v>717</v>
      </c>
      <c r="B7" t="s">
        <v>724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126</v>
      </c>
      <c r="L7">
        <v>0</v>
      </c>
      <c r="M7">
        <v>0</v>
      </c>
    </row>
    <row r="8" spans="1:13" x14ac:dyDescent="0.25">
      <c r="A8" t="s">
        <v>718</v>
      </c>
      <c r="B8" t="s">
        <v>725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14</v>
      </c>
      <c r="L8">
        <v>0</v>
      </c>
      <c r="M8">
        <v>0</v>
      </c>
    </row>
    <row r="9" spans="1:13" x14ac:dyDescent="0.25">
      <c r="A9" t="s">
        <v>719</v>
      </c>
      <c r="B9" s="2" t="s">
        <v>714</v>
      </c>
      <c r="C9">
        <f>SUM(Table46[American Sign Language Total])</f>
        <v>0</v>
      </c>
      <c r="D9">
        <f>SUM(Table46[Cantonese Total])</f>
        <v>0</v>
      </c>
      <c r="E9">
        <f>SUM(Table46[French Total])</f>
        <v>17</v>
      </c>
      <c r="F9">
        <f>SUM(Table46[German Total])</f>
        <v>6</v>
      </c>
      <c r="G9">
        <f>SUM(Table46[[ Japanese Total]])</f>
        <v>0</v>
      </c>
      <c r="H9">
        <f>SUM(Table46[Korean Total])</f>
        <v>0</v>
      </c>
      <c r="I9">
        <f>SUM(Table46[Latin Total])</f>
        <v>0</v>
      </c>
      <c r="J9">
        <f>SUM(Table46[Mandarin Total])</f>
        <v>0</v>
      </c>
      <c r="K9">
        <f>SUM(Table46[Spanish Total])</f>
        <v>361</v>
      </c>
      <c r="L9">
        <f>SUM(Table46[Vietnamese Total])</f>
        <v>40</v>
      </c>
      <c r="M9">
        <f>SUM(Table46[Other Total])</f>
        <v>0</v>
      </c>
    </row>
  </sheetData>
  <sortState xmlns:xlrd2="http://schemas.microsoft.com/office/spreadsheetml/2017/richdata2" ref="A2:A7">
    <sortCondition ref="A2"/>
  </sortState>
  <pageMargins left="0.7" right="0.7" top="0.75" bottom="0.75" header="0.3" footer="0.3"/>
  <pageSetup scale="57" fitToHeight="0" orientation="landscape" r:id="rId1"/>
  <tableParts count="1">
    <tablePart r:id="rId2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1:M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28.81640625" bestFit="1" customWidth="1"/>
    <col min="2" max="2" width="28.7265625" bestFit="1" customWidth="1"/>
    <col min="3" max="3" width="17.26953125" customWidth="1"/>
    <col min="4" max="4" width="12.81640625" customWidth="1"/>
    <col min="5" max="5" width="9.90625" customWidth="1"/>
    <col min="6" max="6" width="10.90625" customWidth="1"/>
    <col min="7" max="7" width="12.453125" customWidth="1"/>
    <col min="8" max="8" width="10.08984375" customWidth="1"/>
    <col min="9" max="9" width="8.7265625" customWidth="1"/>
    <col min="10" max="10" width="11.90625" customWidth="1"/>
    <col min="11" max="11" width="11.08984375" customWidth="1"/>
    <col min="12" max="12" width="13.81640625" customWidth="1"/>
    <col min="13" max="13" width="9" customWidth="1"/>
  </cols>
  <sheetData>
    <row r="1" spans="1:13" ht="21" x14ac:dyDescent="0.4">
      <c r="A1" s="18" t="s">
        <v>600</v>
      </c>
    </row>
    <row r="2" spans="1:13" ht="30" x14ac:dyDescent="0.25">
      <c r="A2" s="3" t="s">
        <v>4</v>
      </c>
      <c r="B2" s="3" t="s">
        <v>5</v>
      </c>
      <c r="C2" s="4" t="s">
        <v>6</v>
      </c>
      <c r="D2" s="4" t="s">
        <v>7</v>
      </c>
      <c r="E2" s="4" t="s">
        <v>8</v>
      </c>
      <c r="F2" s="4" t="s">
        <v>31</v>
      </c>
      <c r="G2" s="4" t="s">
        <v>32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25">
      <c r="A3" t="s">
        <v>729</v>
      </c>
      <c r="B3" t="s">
        <v>730</v>
      </c>
      <c r="C3">
        <v>0</v>
      </c>
      <c r="D3">
        <v>0</v>
      </c>
      <c r="E3">
        <v>0</v>
      </c>
      <c r="F3">
        <v>2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</row>
    <row r="4" spans="1:13" x14ac:dyDescent="0.25">
      <c r="A4" t="s">
        <v>726</v>
      </c>
      <c r="B4" t="s">
        <v>731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12</v>
      </c>
      <c r="L4">
        <v>0</v>
      </c>
      <c r="M4">
        <v>0</v>
      </c>
    </row>
    <row r="5" spans="1:13" x14ac:dyDescent="0.25">
      <c r="A5" t="s">
        <v>533</v>
      </c>
      <c r="B5" t="s">
        <v>534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3</v>
      </c>
      <c r="L5">
        <v>0</v>
      </c>
      <c r="M5">
        <v>0</v>
      </c>
    </row>
    <row r="6" spans="1:13" x14ac:dyDescent="0.25">
      <c r="A6" t="s">
        <v>727</v>
      </c>
      <c r="B6" t="s">
        <v>732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42</v>
      </c>
      <c r="L6">
        <v>0</v>
      </c>
      <c r="M6">
        <v>0</v>
      </c>
    </row>
    <row r="7" spans="1:13" x14ac:dyDescent="0.25">
      <c r="A7" t="s">
        <v>728</v>
      </c>
      <c r="B7" t="s">
        <v>733</v>
      </c>
      <c r="C7">
        <v>0</v>
      </c>
      <c r="D7">
        <v>0</v>
      </c>
      <c r="E7">
        <v>11</v>
      </c>
      <c r="F7">
        <v>11</v>
      </c>
      <c r="G7">
        <v>0</v>
      </c>
      <c r="H7">
        <v>0</v>
      </c>
      <c r="I7">
        <v>0</v>
      </c>
      <c r="J7">
        <v>0</v>
      </c>
      <c r="K7">
        <v>54</v>
      </c>
      <c r="L7">
        <v>0</v>
      </c>
      <c r="M7">
        <v>1</v>
      </c>
    </row>
    <row r="8" spans="1:13" x14ac:dyDescent="0.25">
      <c r="A8" t="s">
        <v>734</v>
      </c>
      <c r="B8" s="2" t="s">
        <v>117</v>
      </c>
      <c r="C8">
        <f>SUM(Table47[American Sign Language Total])</f>
        <v>0</v>
      </c>
      <c r="D8">
        <f>SUM(Table47[Cantonese Total])</f>
        <v>0</v>
      </c>
      <c r="E8">
        <f>SUM(Table47[French Total])</f>
        <v>11</v>
      </c>
      <c r="F8">
        <f>SUM(Table47[German Total])</f>
        <v>13</v>
      </c>
      <c r="G8">
        <f>SUM(Table47[[ Japanese Total]])</f>
        <v>0</v>
      </c>
      <c r="H8">
        <f>SUM(Table47[Korean Total])</f>
        <v>0</v>
      </c>
      <c r="I8">
        <f>SUM(Table47[Latin Total])</f>
        <v>0</v>
      </c>
      <c r="J8">
        <f>SUM(Table47[Mandarin Total])</f>
        <v>0</v>
      </c>
      <c r="K8">
        <f>SUM(Table47[Spanish Total])</f>
        <v>111</v>
      </c>
      <c r="L8">
        <f>SUM(Table47[Vietnamese Total])</f>
        <v>0</v>
      </c>
      <c r="M8">
        <f>SUM(Table47[Other Total])</f>
        <v>1</v>
      </c>
    </row>
  </sheetData>
  <sortState xmlns:xlrd2="http://schemas.microsoft.com/office/spreadsheetml/2017/richdata2" ref="A2:A6">
    <sortCondition ref="A2"/>
  </sortState>
  <pageMargins left="0.7" right="0.7" top="0.75" bottom="0.75" header="0.3" footer="0.3"/>
  <pageSetup scale="55" fitToHeight="0" orientation="landscape" r:id="rId1"/>
  <tableParts count="1">
    <tablePart r:id="rId2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A1:M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22.6328125" bestFit="1" customWidth="1"/>
    <col min="2" max="2" width="22.26953125" bestFit="1" customWidth="1"/>
    <col min="3" max="3" width="17.08984375" customWidth="1"/>
    <col min="4" max="4" width="13.08984375" customWidth="1"/>
    <col min="5" max="5" width="9.54296875" customWidth="1"/>
    <col min="6" max="6" width="10.7265625" customWidth="1"/>
    <col min="7" max="7" width="12.26953125" customWidth="1"/>
    <col min="8" max="8" width="9.81640625" customWidth="1"/>
    <col min="9" max="9" width="8.54296875" customWidth="1"/>
    <col min="10" max="10" width="11.36328125" customWidth="1"/>
    <col min="11" max="11" width="11" customWidth="1"/>
    <col min="12" max="12" width="13.90625" customWidth="1"/>
    <col min="13" max="13" width="8.81640625" customWidth="1"/>
  </cols>
  <sheetData>
    <row r="1" spans="1:13" ht="21" x14ac:dyDescent="0.4">
      <c r="A1" s="18" t="s">
        <v>601</v>
      </c>
    </row>
    <row r="2" spans="1:13" ht="30" x14ac:dyDescent="0.25">
      <c r="A2" s="3" t="s">
        <v>4</v>
      </c>
      <c r="B2" s="3" t="s">
        <v>5</v>
      </c>
      <c r="C2" s="4" t="s">
        <v>6</v>
      </c>
      <c r="D2" s="4" t="s">
        <v>7</v>
      </c>
      <c r="E2" s="4" t="s">
        <v>8</v>
      </c>
      <c r="F2" s="4" t="s">
        <v>31</v>
      </c>
      <c r="G2" s="4" t="s">
        <v>32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25">
      <c r="A3" t="s">
        <v>735</v>
      </c>
      <c r="B3" t="s">
        <v>738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5</v>
      </c>
      <c r="L3">
        <v>0</v>
      </c>
      <c r="M3">
        <v>0</v>
      </c>
    </row>
    <row r="4" spans="1:13" x14ac:dyDescent="0.25">
      <c r="A4" t="s">
        <v>736</v>
      </c>
      <c r="B4" t="s">
        <v>736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22</v>
      </c>
      <c r="L4">
        <v>0</v>
      </c>
      <c r="M4">
        <v>0</v>
      </c>
    </row>
    <row r="5" spans="1:13" x14ac:dyDescent="0.25">
      <c r="A5" t="s">
        <v>737</v>
      </c>
      <c r="B5" s="2" t="s">
        <v>34</v>
      </c>
      <c r="C5">
        <f>SUM(Table48[American Sign Language Total])</f>
        <v>0</v>
      </c>
      <c r="D5">
        <f>SUM(Table48[Cantonese Total])</f>
        <v>0</v>
      </c>
      <c r="E5">
        <f>SUM(Table48[French Total])</f>
        <v>0</v>
      </c>
      <c r="F5">
        <f>SUM(Table48[German Total])</f>
        <v>0</v>
      </c>
      <c r="G5">
        <f>SUM(Table48[[ Japanese Total]])</f>
        <v>0</v>
      </c>
      <c r="H5">
        <f>SUM(Table48[Korean Total])</f>
        <v>0</v>
      </c>
      <c r="I5">
        <f>SUM(Table48[Latin Total])</f>
        <v>0</v>
      </c>
      <c r="J5">
        <f>SUM(Table48[Mandarin Total])</f>
        <v>0</v>
      </c>
      <c r="K5">
        <f>SUM(Table48[Spanish Total])</f>
        <v>27</v>
      </c>
      <c r="L5">
        <f>SUM(Table48[Vietnamese Total])</f>
        <v>0</v>
      </c>
      <c r="M5">
        <f>SUM(Table48[Other Total])</f>
        <v>0</v>
      </c>
    </row>
  </sheetData>
  <pageMargins left="0.7" right="0.7" top="0.75" bottom="0.75" header="0.3" footer="0.3"/>
  <pageSetup scale="60" fitToHeight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24.26953125" bestFit="1" customWidth="1"/>
    <col min="2" max="2" width="22.453125" bestFit="1" customWidth="1"/>
    <col min="3" max="3" width="17.08984375" customWidth="1"/>
    <col min="4" max="4" width="10.54296875" customWidth="1"/>
    <col min="5" max="5" width="7.90625" customWidth="1"/>
    <col min="6" max="6" width="8.81640625" customWidth="1"/>
    <col min="7" max="7" width="9.36328125" customWidth="1"/>
    <col min="8" max="8" width="8" customWidth="1"/>
    <col min="9" max="9" width="7.7265625" customWidth="1"/>
    <col min="10" max="10" width="9.54296875" customWidth="1"/>
    <col min="11" max="11" width="8.26953125" customWidth="1"/>
    <col min="12" max="12" width="11.26953125" customWidth="1"/>
    <col min="13" max="13" width="7.54296875" customWidth="1"/>
  </cols>
  <sheetData>
    <row r="1" spans="1:13" ht="21" x14ac:dyDescent="0.4">
      <c r="A1" s="18" t="s">
        <v>557</v>
      </c>
    </row>
    <row r="2" spans="1:13" ht="30" x14ac:dyDescent="0.25">
      <c r="A2" s="4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31</v>
      </c>
      <c r="G2" s="4" t="s">
        <v>159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25">
      <c r="A3" t="s">
        <v>50</v>
      </c>
      <c r="B3" t="s">
        <v>50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10</v>
      </c>
      <c r="L3">
        <v>0</v>
      </c>
      <c r="M3">
        <v>0</v>
      </c>
    </row>
    <row r="4" spans="1:13" x14ac:dyDescent="0.25">
      <c r="A4" t="s">
        <v>51</v>
      </c>
      <c r="B4" s="2" t="s">
        <v>52</v>
      </c>
      <c r="C4">
        <f>SUM(Table5[American Sign Language Total])</f>
        <v>0</v>
      </c>
      <c r="D4">
        <f>SUM(Table5[Cantonese Total])</f>
        <v>0</v>
      </c>
      <c r="E4">
        <f>SUM(Table5[French Total])</f>
        <v>0</v>
      </c>
      <c r="F4">
        <f>SUM(Table5[German Total])</f>
        <v>0</v>
      </c>
      <c r="G4">
        <f>SUM(Table5[Japanese Total])</f>
        <v>0</v>
      </c>
      <c r="H4">
        <f>SUM(Table5[Korean Total])</f>
        <v>0</v>
      </c>
      <c r="I4">
        <f>SUM(Table5[Latin Total])</f>
        <v>0</v>
      </c>
      <c r="J4">
        <f>SUM(Table5[Mandarin Total])</f>
        <v>0</v>
      </c>
      <c r="K4">
        <f>SUM(Table5[Spanish Total])</f>
        <v>10</v>
      </c>
      <c r="L4">
        <f>SUM(Table5[Vietnamese Total])</f>
        <v>0</v>
      </c>
      <c r="M4">
        <f>SUM(Table5[Other Total])</f>
        <v>0</v>
      </c>
    </row>
  </sheetData>
  <pageMargins left="0.7" right="0.7" top="0.75" bottom="0.75" header="0.3" footer="0.3"/>
  <pageSetup scale="67" fitToHeight="0" orientation="landscape" r:id="rId1"/>
  <tableParts count="1">
    <tablePart r:id="rId2"/>
  </tablePart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A1:M13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22.6328125" bestFit="1" customWidth="1"/>
    <col min="2" max="2" width="23.54296875" customWidth="1"/>
    <col min="3" max="3" width="17.08984375" customWidth="1"/>
    <col min="4" max="4" width="13.26953125" customWidth="1"/>
    <col min="5" max="5" width="9.81640625" customWidth="1"/>
    <col min="6" max="6" width="10.54296875" customWidth="1"/>
    <col min="7" max="7" width="12.7265625" customWidth="1"/>
    <col min="8" max="8" width="9.81640625" customWidth="1"/>
    <col min="9" max="9" width="8.26953125" customWidth="1"/>
    <col min="10" max="10" width="11.54296875" customWidth="1"/>
    <col min="11" max="11" width="10.54296875" customWidth="1"/>
    <col min="12" max="12" width="13.7265625" customWidth="1"/>
    <col min="13" max="13" width="9.26953125" customWidth="1"/>
  </cols>
  <sheetData>
    <row r="1" spans="1:13" ht="21" x14ac:dyDescent="0.4">
      <c r="A1" s="18" t="s">
        <v>602</v>
      </c>
    </row>
    <row r="2" spans="1:13" ht="30" x14ac:dyDescent="0.25">
      <c r="A2" s="3" t="s">
        <v>4</v>
      </c>
      <c r="B2" s="3" t="s">
        <v>5</v>
      </c>
      <c r="C2" s="4" t="s">
        <v>6</v>
      </c>
      <c r="D2" s="4" t="s">
        <v>7</v>
      </c>
      <c r="E2" s="4" t="s">
        <v>8</v>
      </c>
      <c r="F2" s="4" t="s">
        <v>31</v>
      </c>
      <c r="G2" s="4" t="s">
        <v>32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ht="30" x14ac:dyDescent="0.25">
      <c r="A3" s="3" t="s">
        <v>536</v>
      </c>
      <c r="B3" s="4" t="s">
        <v>537</v>
      </c>
      <c r="C3" s="3">
        <v>0</v>
      </c>
      <c r="D3" s="3">
        <v>0</v>
      </c>
      <c r="E3" s="3">
        <v>1</v>
      </c>
      <c r="F3" s="3">
        <v>0</v>
      </c>
      <c r="G3" s="3">
        <v>1</v>
      </c>
      <c r="H3" s="3">
        <v>0</v>
      </c>
      <c r="I3" s="3">
        <v>0</v>
      </c>
      <c r="J3" s="3">
        <v>0</v>
      </c>
      <c r="K3" s="3">
        <v>3</v>
      </c>
      <c r="L3" s="3">
        <v>0</v>
      </c>
      <c r="M3" s="3">
        <v>0</v>
      </c>
    </row>
    <row r="4" spans="1:13" ht="30" x14ac:dyDescent="0.25">
      <c r="A4" s="3" t="s">
        <v>742</v>
      </c>
      <c r="B4" s="4" t="s">
        <v>538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7</v>
      </c>
      <c r="L4" s="3">
        <v>0</v>
      </c>
      <c r="M4" s="3">
        <v>0</v>
      </c>
    </row>
    <row r="5" spans="1:13" x14ac:dyDescent="0.25">
      <c r="A5" s="3" t="s">
        <v>739</v>
      </c>
      <c r="B5" s="4" t="s">
        <v>740</v>
      </c>
      <c r="C5" s="3">
        <v>0</v>
      </c>
      <c r="D5" s="3">
        <v>0</v>
      </c>
      <c r="E5" s="3">
        <v>8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14</v>
      </c>
      <c r="L5" s="3">
        <v>0</v>
      </c>
      <c r="M5" s="3">
        <v>0</v>
      </c>
    </row>
    <row r="6" spans="1:13" x14ac:dyDescent="0.25">
      <c r="A6" s="3" t="s">
        <v>741</v>
      </c>
      <c r="B6" s="4" t="s">
        <v>748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15</v>
      </c>
      <c r="L6" s="3">
        <v>0</v>
      </c>
      <c r="M6" s="3">
        <v>0</v>
      </c>
    </row>
    <row r="7" spans="1:13" x14ac:dyDescent="0.25">
      <c r="A7" s="3" t="s">
        <v>743</v>
      </c>
      <c r="B7" s="4" t="s">
        <v>749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22</v>
      </c>
      <c r="L7" s="3">
        <v>0</v>
      </c>
      <c r="M7" s="3">
        <v>0</v>
      </c>
    </row>
    <row r="8" spans="1:13" x14ac:dyDescent="0.25">
      <c r="A8" s="3" t="s">
        <v>744</v>
      </c>
      <c r="B8" s="4" t="s">
        <v>750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1</v>
      </c>
      <c r="L8" s="3">
        <v>0</v>
      </c>
      <c r="M8" s="3">
        <v>0</v>
      </c>
    </row>
    <row r="9" spans="1:13" ht="60" x14ac:dyDescent="0.25">
      <c r="A9" s="3" t="s">
        <v>745</v>
      </c>
      <c r="B9" s="4" t="s">
        <v>753</v>
      </c>
      <c r="C9" s="3">
        <v>0</v>
      </c>
      <c r="D9" s="3">
        <v>0</v>
      </c>
      <c r="E9" s="3">
        <v>9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152</v>
      </c>
      <c r="L9" s="3">
        <v>0</v>
      </c>
      <c r="M9" s="3">
        <v>0</v>
      </c>
    </row>
    <row r="10" spans="1:13" ht="45" x14ac:dyDescent="0.25">
      <c r="A10" s="3" t="s">
        <v>746</v>
      </c>
      <c r="B10" s="4" t="s">
        <v>754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188</v>
      </c>
      <c r="L10" s="3">
        <v>0</v>
      </c>
      <c r="M10" s="3">
        <v>7</v>
      </c>
    </row>
    <row r="11" spans="1:13" ht="45" x14ac:dyDescent="0.25">
      <c r="A11" s="3" t="s">
        <v>535</v>
      </c>
      <c r="B11" s="4" t="s">
        <v>751</v>
      </c>
      <c r="C11" s="3">
        <v>0</v>
      </c>
      <c r="D11" s="3">
        <v>0</v>
      </c>
      <c r="E11" s="3">
        <v>11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129</v>
      </c>
      <c r="L11" s="3">
        <v>0</v>
      </c>
      <c r="M11" s="3">
        <v>0</v>
      </c>
    </row>
    <row r="12" spans="1:13" x14ac:dyDescent="0.25">
      <c r="A12" s="3" t="s">
        <v>747</v>
      </c>
      <c r="B12" s="4" t="s">
        <v>752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20</v>
      </c>
      <c r="L12" s="3">
        <v>0</v>
      </c>
      <c r="M12" s="3">
        <v>0</v>
      </c>
    </row>
    <row r="13" spans="1:13" x14ac:dyDescent="0.25">
      <c r="A13" t="s">
        <v>755</v>
      </c>
      <c r="B13" s="2" t="s">
        <v>668</v>
      </c>
      <c r="C13">
        <f>SUM(Table50[American Sign Language Total])</f>
        <v>0</v>
      </c>
      <c r="D13">
        <f>SUM(Table50[Cantonese Total])</f>
        <v>0</v>
      </c>
      <c r="E13">
        <f>SUM(Table50[French Total])</f>
        <v>29</v>
      </c>
      <c r="F13">
        <f>SUM(Table50[German Total])</f>
        <v>0</v>
      </c>
      <c r="G13">
        <f>SUM(Table50[[ Japanese Total]])</f>
        <v>1</v>
      </c>
      <c r="H13">
        <f>SUM(Table50[Korean Total])</f>
        <v>0</v>
      </c>
      <c r="I13">
        <f>SUM(Table50[Latin Total])</f>
        <v>0</v>
      </c>
      <c r="J13">
        <f>SUM(Table50[Mandarin Total])</f>
        <v>0</v>
      </c>
      <c r="K13">
        <f>SUM(Table50[Spanish Total])</f>
        <v>551</v>
      </c>
      <c r="L13">
        <f>SUM(Table50[Vietnamese Total])</f>
        <v>0</v>
      </c>
      <c r="M13">
        <f>SUM(Table50[Other Total])</f>
        <v>7</v>
      </c>
    </row>
  </sheetData>
  <sortState xmlns:xlrd2="http://schemas.microsoft.com/office/spreadsheetml/2017/richdata2" ref="A2:A11">
    <sortCondition ref="A2"/>
  </sortState>
  <pageMargins left="0.7" right="0.7" top="0.75" bottom="0.75" header="0.3" footer="0.3"/>
  <pageSetup scale="59" fitToHeight="0" orientation="landscape" r:id="rId1"/>
  <tableParts count="1">
    <tablePart r:id="rId2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A1:M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26.81640625" bestFit="1" customWidth="1"/>
    <col min="2" max="2" width="14.54296875" customWidth="1"/>
    <col min="3" max="3" width="17.08984375" customWidth="1"/>
    <col min="4" max="4" width="12.6328125" customWidth="1"/>
    <col min="5" max="5" width="9.90625" customWidth="1"/>
    <col min="6" max="6" width="10.54296875" customWidth="1"/>
    <col min="7" max="7" width="12.26953125" customWidth="1"/>
    <col min="8" max="8" width="10" customWidth="1"/>
    <col min="9" max="9" width="8.90625" customWidth="1"/>
    <col min="10" max="10" width="11.7265625" customWidth="1"/>
    <col min="11" max="11" width="10.6328125" customWidth="1"/>
    <col min="12" max="12" width="13.90625" customWidth="1"/>
    <col min="13" max="13" width="9.08984375" customWidth="1"/>
  </cols>
  <sheetData>
    <row r="1" spans="1:13" ht="21" x14ac:dyDescent="0.4">
      <c r="A1" s="18" t="s">
        <v>603</v>
      </c>
    </row>
    <row r="2" spans="1:13" ht="30" x14ac:dyDescent="0.25">
      <c r="A2" s="3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31</v>
      </c>
      <c r="G2" s="4" t="s">
        <v>32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25">
      <c r="A3" t="s">
        <v>756</v>
      </c>
      <c r="B3" t="s">
        <v>757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1</v>
      </c>
      <c r="L3">
        <v>0</v>
      </c>
      <c r="M3">
        <v>0</v>
      </c>
    </row>
    <row r="4" spans="1:13" x14ac:dyDescent="0.25">
      <c r="A4" t="s">
        <v>758</v>
      </c>
      <c r="B4" s="2" t="s">
        <v>52</v>
      </c>
      <c r="C4">
        <f>SUM(Table49[American Sign Language Total])</f>
        <v>0</v>
      </c>
      <c r="D4">
        <f>SUM(Table49[Cantonese Total])</f>
        <v>0</v>
      </c>
      <c r="E4">
        <f>SUM(Table49[French Total])</f>
        <v>0</v>
      </c>
      <c r="F4">
        <f>SUM(Table49[German Total])</f>
        <v>0</v>
      </c>
      <c r="G4">
        <f>SUM(Table49[[ Japanese Total]])</f>
        <v>0</v>
      </c>
      <c r="H4">
        <f>SUM(Table49[Korean Total])</f>
        <v>0</v>
      </c>
      <c r="I4">
        <f>SUM(Table49[Latin Total])</f>
        <v>0</v>
      </c>
      <c r="J4">
        <f>SUM(Table49[Mandarin Total])</f>
        <v>0</v>
      </c>
      <c r="K4">
        <f>SUM(Table49[Spanish Total])</f>
        <v>1</v>
      </c>
      <c r="L4">
        <f>SUM(Table49[Vietnamese Total])</f>
        <v>0</v>
      </c>
      <c r="M4">
        <f>SUM(Table49[Other Total])</f>
        <v>0</v>
      </c>
    </row>
  </sheetData>
  <pageMargins left="0.7" right="0.7" top="0.75" bottom="0.75" header="0.3" footer="0.3"/>
  <pageSetup scale="61" fitToHeight="0" orientation="landscape" r:id="rId1"/>
  <tableParts count="1">
    <tablePart r:id="rId2"/>
  </tablePart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A1:M11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22" bestFit="1" customWidth="1"/>
    <col min="2" max="2" width="21.453125" customWidth="1"/>
    <col min="3" max="3" width="16.7265625" customWidth="1"/>
    <col min="4" max="4" width="12.6328125" customWidth="1"/>
    <col min="5" max="5" width="9.90625" customWidth="1"/>
    <col min="6" max="6" width="10.7265625" customWidth="1"/>
    <col min="7" max="7" width="12.26953125" customWidth="1"/>
    <col min="8" max="8" width="9.7265625" customWidth="1"/>
    <col min="9" max="9" width="8.453125" customWidth="1"/>
    <col min="10" max="10" width="11.7265625" customWidth="1"/>
    <col min="11" max="11" width="10.90625" customWidth="1"/>
    <col min="12" max="12" width="13.453125" customWidth="1"/>
    <col min="13" max="13" width="9.36328125" customWidth="1"/>
  </cols>
  <sheetData>
    <row r="1" spans="1:13" ht="21" x14ac:dyDescent="0.4">
      <c r="A1" s="18" t="s">
        <v>604</v>
      </c>
    </row>
    <row r="2" spans="1:13" ht="30" x14ac:dyDescent="0.25">
      <c r="A2" s="3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31</v>
      </c>
      <c r="G2" s="4" t="s">
        <v>32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25">
      <c r="A3" s="3" t="s">
        <v>759</v>
      </c>
      <c r="B3" s="4" t="s">
        <v>766</v>
      </c>
      <c r="C3" s="3">
        <v>97</v>
      </c>
      <c r="D3" s="3">
        <v>0</v>
      </c>
      <c r="E3" s="3">
        <v>15</v>
      </c>
      <c r="F3" s="3">
        <v>1</v>
      </c>
      <c r="G3" s="3">
        <v>0</v>
      </c>
      <c r="H3" s="3">
        <v>0</v>
      </c>
      <c r="I3" s="3">
        <v>0</v>
      </c>
      <c r="J3" s="3">
        <v>7</v>
      </c>
      <c r="K3" s="3">
        <v>0</v>
      </c>
      <c r="L3" s="3">
        <v>0</v>
      </c>
      <c r="M3" s="3">
        <v>0</v>
      </c>
    </row>
    <row r="4" spans="1:13" x14ac:dyDescent="0.25">
      <c r="A4" s="3" t="s">
        <v>760</v>
      </c>
      <c r="B4" s="4" t="s">
        <v>540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39</v>
      </c>
      <c r="L4" s="3">
        <v>0</v>
      </c>
      <c r="M4" s="3">
        <v>0</v>
      </c>
    </row>
    <row r="5" spans="1:13" x14ac:dyDescent="0.25">
      <c r="A5" s="3" t="s">
        <v>539</v>
      </c>
      <c r="B5" s="4" t="s">
        <v>767</v>
      </c>
      <c r="C5" s="3">
        <v>0</v>
      </c>
      <c r="D5" s="3">
        <v>0</v>
      </c>
      <c r="E5" s="3">
        <v>10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22</v>
      </c>
      <c r="L5" s="3">
        <v>0</v>
      </c>
      <c r="M5" s="3">
        <v>0</v>
      </c>
    </row>
    <row r="6" spans="1:13" x14ac:dyDescent="0.25">
      <c r="A6" s="3" t="s">
        <v>761</v>
      </c>
      <c r="B6" s="4" t="s">
        <v>768</v>
      </c>
      <c r="C6" s="3">
        <v>0</v>
      </c>
      <c r="D6" s="3">
        <v>0</v>
      </c>
      <c r="E6" s="3">
        <v>13</v>
      </c>
      <c r="F6" s="3">
        <v>0</v>
      </c>
      <c r="G6" s="3">
        <v>0</v>
      </c>
      <c r="H6" s="3">
        <v>0</v>
      </c>
      <c r="I6" s="3">
        <v>0</v>
      </c>
      <c r="J6" s="3">
        <v>18</v>
      </c>
      <c r="K6" s="3">
        <v>37</v>
      </c>
      <c r="L6" s="3">
        <v>0</v>
      </c>
      <c r="M6" s="3">
        <v>0</v>
      </c>
    </row>
    <row r="7" spans="1:13" ht="90" x14ac:dyDescent="0.25">
      <c r="A7" s="3" t="s">
        <v>762</v>
      </c>
      <c r="B7" s="4" t="s">
        <v>769</v>
      </c>
      <c r="C7" s="3">
        <v>0</v>
      </c>
      <c r="D7" s="3">
        <v>0</v>
      </c>
      <c r="E7" s="3">
        <v>13</v>
      </c>
      <c r="F7" s="3">
        <v>12</v>
      </c>
      <c r="G7" s="3">
        <v>1</v>
      </c>
      <c r="H7" s="3">
        <v>1</v>
      </c>
      <c r="I7" s="3">
        <v>0</v>
      </c>
      <c r="J7" s="3">
        <v>3</v>
      </c>
      <c r="K7" s="3">
        <v>374</v>
      </c>
      <c r="L7" s="3">
        <v>0</v>
      </c>
      <c r="M7" s="3">
        <v>1</v>
      </c>
    </row>
    <row r="8" spans="1:13" x14ac:dyDescent="0.25">
      <c r="A8" s="3" t="s">
        <v>763</v>
      </c>
      <c r="B8" s="4" t="s">
        <v>770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16</v>
      </c>
      <c r="L8" s="3">
        <v>0</v>
      </c>
      <c r="M8" s="3">
        <v>0</v>
      </c>
    </row>
    <row r="9" spans="1:13" ht="45" x14ac:dyDescent="0.25">
      <c r="A9" s="3" t="s">
        <v>764</v>
      </c>
      <c r="B9" s="4" t="s">
        <v>771</v>
      </c>
      <c r="C9" s="3">
        <v>0</v>
      </c>
      <c r="D9" s="3">
        <v>0</v>
      </c>
      <c r="E9" s="3">
        <v>25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85</v>
      </c>
      <c r="L9" s="3">
        <v>0</v>
      </c>
      <c r="M9" s="3">
        <v>0</v>
      </c>
    </row>
    <row r="10" spans="1:13" ht="45" x14ac:dyDescent="0.25">
      <c r="A10" s="3" t="s">
        <v>765</v>
      </c>
      <c r="B10" s="4" t="s">
        <v>541</v>
      </c>
      <c r="C10" s="3">
        <v>0</v>
      </c>
      <c r="D10" s="3">
        <v>0</v>
      </c>
      <c r="E10" s="3">
        <v>13</v>
      </c>
      <c r="F10" s="3">
        <v>16</v>
      </c>
      <c r="G10" s="3">
        <v>1</v>
      </c>
      <c r="H10" s="3">
        <v>1</v>
      </c>
      <c r="I10" s="3">
        <v>0</v>
      </c>
      <c r="J10" s="3">
        <v>1</v>
      </c>
      <c r="K10" s="3">
        <v>196</v>
      </c>
      <c r="L10" s="3">
        <v>0</v>
      </c>
      <c r="M10" s="3">
        <v>3</v>
      </c>
    </row>
    <row r="11" spans="1:13" x14ac:dyDescent="0.25">
      <c r="A11" t="s">
        <v>772</v>
      </c>
      <c r="B11" s="2" t="s">
        <v>668</v>
      </c>
      <c r="C11">
        <f>SUM(Table51[American Sign Language Total])</f>
        <v>97</v>
      </c>
      <c r="D11">
        <f>SUM(Table51[Cantonese Total])</f>
        <v>0</v>
      </c>
      <c r="E11">
        <f>SUM(Table51[French Total])</f>
        <v>89</v>
      </c>
      <c r="F11">
        <f>SUM(Table51[German Total])</f>
        <v>29</v>
      </c>
      <c r="G11">
        <f>SUM(Table51[[ Japanese Total]])</f>
        <v>2</v>
      </c>
      <c r="H11">
        <f>SUM(Table51[Korean Total])</f>
        <v>2</v>
      </c>
      <c r="I11">
        <f>SUM(Table51[Latin Total])</f>
        <v>0</v>
      </c>
      <c r="J11">
        <f>SUM(Table51[Mandarin Total])</f>
        <v>29</v>
      </c>
      <c r="K11">
        <f>SUM(Table51[Spanish Total])</f>
        <v>769</v>
      </c>
      <c r="L11">
        <f>SUM(Table51[Vietnamese Total])</f>
        <v>0</v>
      </c>
      <c r="M11">
        <f>SUM(Table51[Other Total])</f>
        <v>4</v>
      </c>
    </row>
  </sheetData>
  <sortState xmlns:xlrd2="http://schemas.microsoft.com/office/spreadsheetml/2017/richdata2" ref="A2:A9">
    <sortCondition ref="A2"/>
  </sortState>
  <pageMargins left="0.7" right="0.7" top="0.75" bottom="0.75" header="0.3" footer="0.3"/>
  <pageSetup scale="60" fitToHeight="0" orientation="landscape" r:id="rId1"/>
  <tableParts count="1">
    <tablePart r:id="rId2"/>
  </tablePart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A1:M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22.6328125" bestFit="1" customWidth="1"/>
    <col min="2" max="2" width="30.453125" customWidth="1"/>
    <col min="3" max="3" width="17.453125" customWidth="1"/>
    <col min="4" max="4" width="13.08984375" customWidth="1"/>
    <col min="5" max="5" width="9.90625" customWidth="1"/>
    <col min="6" max="6" width="11" customWidth="1"/>
    <col min="7" max="7" width="12.7265625" customWidth="1"/>
    <col min="8" max="8" width="9.90625" customWidth="1"/>
    <col min="9" max="9" width="8.26953125" customWidth="1"/>
    <col min="10" max="10" width="11.81640625" customWidth="1"/>
    <col min="11" max="11" width="11.26953125" customWidth="1"/>
    <col min="12" max="12" width="13.7265625" customWidth="1"/>
    <col min="13" max="13" width="9.26953125" customWidth="1"/>
  </cols>
  <sheetData>
    <row r="1" spans="1:13" ht="21" x14ac:dyDescent="0.4">
      <c r="A1" s="18" t="s">
        <v>605</v>
      </c>
    </row>
    <row r="2" spans="1:13" ht="30" x14ac:dyDescent="0.25">
      <c r="A2" s="3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31</v>
      </c>
      <c r="G2" s="4" t="s">
        <v>32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ht="45" x14ac:dyDescent="0.25">
      <c r="A3" s="3" t="s">
        <v>773</v>
      </c>
      <c r="B3" s="4" t="s">
        <v>778</v>
      </c>
      <c r="C3" s="3">
        <v>0</v>
      </c>
      <c r="D3" s="3">
        <v>0</v>
      </c>
      <c r="E3" s="3">
        <v>61</v>
      </c>
      <c r="F3" s="3">
        <v>2</v>
      </c>
      <c r="G3" s="3">
        <v>4</v>
      </c>
      <c r="H3" s="3">
        <v>0</v>
      </c>
      <c r="I3" s="3">
        <v>0</v>
      </c>
      <c r="J3" s="3">
        <v>11</v>
      </c>
      <c r="K3" s="3">
        <v>153</v>
      </c>
      <c r="L3" s="3">
        <v>0</v>
      </c>
      <c r="M3" s="3">
        <v>1</v>
      </c>
    </row>
    <row r="4" spans="1:13" x14ac:dyDescent="0.25">
      <c r="A4" s="3" t="s">
        <v>774</v>
      </c>
      <c r="B4" s="4" t="s">
        <v>779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14</v>
      </c>
      <c r="L4" s="3">
        <v>0</v>
      </c>
      <c r="M4" s="3">
        <v>0</v>
      </c>
    </row>
    <row r="5" spans="1:13" x14ac:dyDescent="0.25">
      <c r="A5" s="3" t="s">
        <v>82</v>
      </c>
      <c r="B5" s="4" t="s">
        <v>780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80</v>
      </c>
      <c r="L5" s="3">
        <v>0</v>
      </c>
      <c r="M5" s="3">
        <v>12</v>
      </c>
    </row>
    <row r="6" spans="1:13" x14ac:dyDescent="0.25">
      <c r="A6" s="3" t="s">
        <v>775</v>
      </c>
      <c r="B6" s="4" t="s">
        <v>781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27</v>
      </c>
      <c r="L6" s="3">
        <v>0</v>
      </c>
      <c r="M6" s="3">
        <v>0</v>
      </c>
    </row>
    <row r="7" spans="1:13" x14ac:dyDescent="0.25">
      <c r="A7" s="3" t="s">
        <v>776</v>
      </c>
      <c r="B7" s="4" t="s">
        <v>782</v>
      </c>
      <c r="C7" s="3">
        <v>5</v>
      </c>
      <c r="D7" s="3">
        <v>0</v>
      </c>
      <c r="E7" s="3">
        <v>2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128</v>
      </c>
      <c r="L7" s="3">
        <v>0</v>
      </c>
      <c r="M7" s="3">
        <v>5</v>
      </c>
    </row>
    <row r="8" spans="1:13" x14ac:dyDescent="0.25">
      <c r="A8" t="s">
        <v>777</v>
      </c>
      <c r="B8" s="2" t="s">
        <v>48</v>
      </c>
      <c r="C8">
        <f>SUM(Table53[American Sign Language Total])</f>
        <v>5</v>
      </c>
      <c r="D8">
        <f>SUM(Table53[Cantonese Total])</f>
        <v>0</v>
      </c>
      <c r="E8">
        <f>SUM(Table53[French Total])</f>
        <v>63</v>
      </c>
      <c r="F8">
        <f>SUM(Table53[German Total])</f>
        <v>2</v>
      </c>
      <c r="G8">
        <f>SUM(Table53[[ Japanese Total]])</f>
        <v>4</v>
      </c>
      <c r="H8">
        <f>SUM(Table53[Korean Total])</f>
        <v>0</v>
      </c>
      <c r="I8">
        <f>SUM(Table53[Latin Total])</f>
        <v>0</v>
      </c>
      <c r="J8">
        <f>SUM(Table53[Mandarin Total])</f>
        <v>11</v>
      </c>
      <c r="K8">
        <f>SUM(Table53[Spanish Total])</f>
        <v>402</v>
      </c>
      <c r="L8">
        <f>SUM(Table53[Vietnamese Total])</f>
        <v>0</v>
      </c>
      <c r="M8">
        <f>SUM(Table53[Other Total])</f>
        <v>18</v>
      </c>
    </row>
  </sheetData>
  <sortState xmlns:xlrd2="http://schemas.microsoft.com/office/spreadsheetml/2017/richdata2" ref="A2:A6">
    <sortCondition ref="A2"/>
  </sortState>
  <pageMargins left="0.7" right="0.7" top="0.75" bottom="0.75" header="0.3" footer="0.3"/>
  <pageSetup scale="56" fitToHeight="0" orientation="landscape" r:id="rId1"/>
  <tableParts count="1">
    <tablePart r:id="rId2"/>
  </tablePart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pageSetUpPr fitToPage="1"/>
  </sheetPr>
  <dimension ref="A1:M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22.6328125" bestFit="1" customWidth="1"/>
    <col min="2" max="2" width="22.26953125" bestFit="1" customWidth="1"/>
    <col min="3" max="3" width="17.54296875" customWidth="1"/>
    <col min="4" max="4" width="13.26953125" customWidth="1"/>
    <col min="5" max="5" width="9.453125" customWidth="1"/>
    <col min="6" max="6" width="10.81640625" customWidth="1"/>
    <col min="7" max="7" width="12.36328125" customWidth="1"/>
    <col min="8" max="8" width="10.08984375" customWidth="1"/>
    <col min="9" max="9" width="8.7265625" customWidth="1"/>
    <col min="10" max="10" width="11.7265625" customWidth="1"/>
    <col min="11" max="11" width="10.7265625" customWidth="1"/>
    <col min="12" max="12" width="13.81640625" customWidth="1"/>
    <col min="13" max="13" width="9" customWidth="1"/>
  </cols>
  <sheetData>
    <row r="1" spans="1:13" ht="21" x14ac:dyDescent="0.4">
      <c r="A1" s="18" t="s">
        <v>606</v>
      </c>
    </row>
    <row r="2" spans="1:13" ht="30" x14ac:dyDescent="0.25">
      <c r="A2" s="3" t="s">
        <v>4</v>
      </c>
      <c r="B2" s="3" t="s">
        <v>5</v>
      </c>
      <c r="C2" s="4" t="s">
        <v>6</v>
      </c>
      <c r="D2" s="4" t="s">
        <v>7</v>
      </c>
      <c r="E2" s="4" t="s">
        <v>8</v>
      </c>
      <c r="F2" s="4" t="s">
        <v>31</v>
      </c>
      <c r="G2" s="4" t="s">
        <v>32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ht="45" x14ac:dyDescent="0.25">
      <c r="A3" s="3" t="s">
        <v>789</v>
      </c>
      <c r="B3" s="4" t="s">
        <v>790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26</v>
      </c>
      <c r="L3" s="4">
        <v>0</v>
      </c>
      <c r="M3" s="4">
        <v>18</v>
      </c>
    </row>
    <row r="4" spans="1:13" x14ac:dyDescent="0.25">
      <c r="A4" t="s">
        <v>783</v>
      </c>
      <c r="B4" t="s">
        <v>783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1</v>
      </c>
      <c r="L4">
        <v>0</v>
      </c>
      <c r="M4">
        <v>0</v>
      </c>
    </row>
    <row r="5" spans="1:13" x14ac:dyDescent="0.25">
      <c r="A5" t="s">
        <v>784</v>
      </c>
      <c r="B5" s="2" t="s">
        <v>52</v>
      </c>
      <c r="C5">
        <f>SUM(Table52[American Sign Language Total])</f>
        <v>0</v>
      </c>
      <c r="D5">
        <f>SUM(Table52[Cantonese Total])</f>
        <v>0</v>
      </c>
      <c r="E5">
        <f>SUM(Table52[French Total])</f>
        <v>0</v>
      </c>
      <c r="F5">
        <f>SUM(Table52[German Total])</f>
        <v>0</v>
      </c>
      <c r="G5">
        <f>SUM(Table52[[ Japanese Total]])</f>
        <v>0</v>
      </c>
      <c r="H5">
        <f>SUM(Table52[Korean Total])</f>
        <v>0</v>
      </c>
      <c r="I5">
        <f>SUM(Table52[Latin Total])</f>
        <v>0</v>
      </c>
      <c r="J5">
        <f>SUM(Table52[Mandarin Total])</f>
        <v>0</v>
      </c>
      <c r="K5">
        <f>SUM(Table52[Spanish Total])</f>
        <v>27</v>
      </c>
      <c r="L5">
        <f>SUM(Table52[Vietnamese Total])</f>
        <v>0</v>
      </c>
      <c r="M5">
        <f>SUM(Table52[Other Total])</f>
        <v>18</v>
      </c>
    </row>
  </sheetData>
  <pageMargins left="0.7" right="0.7" top="0.75" bottom="0.75" header="0.3" footer="0.3"/>
  <pageSetup scale="59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6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21.26953125" bestFit="1" customWidth="1"/>
    <col min="2" max="2" width="12.36328125" customWidth="1"/>
    <col min="3" max="3" width="16.6328125" customWidth="1"/>
    <col min="4" max="4" width="10.26953125" customWidth="1"/>
    <col min="5" max="5" width="7.54296875" customWidth="1"/>
    <col min="6" max="6" width="8.1796875" customWidth="1"/>
    <col min="7" max="7" width="9.7265625" customWidth="1"/>
    <col min="8" max="8" width="7.7265625" customWidth="1"/>
    <col min="9" max="9" width="7.6328125" customWidth="1"/>
    <col min="10" max="10" width="9" customWidth="1"/>
    <col min="11" max="11" width="8.453125" customWidth="1"/>
    <col min="12" max="12" width="11.7265625" customWidth="1"/>
    <col min="13" max="13" width="7.26953125" customWidth="1"/>
  </cols>
  <sheetData>
    <row r="1" spans="1:13" ht="21" x14ac:dyDescent="0.4">
      <c r="A1" s="18" t="s">
        <v>558</v>
      </c>
    </row>
    <row r="2" spans="1:13" ht="30" x14ac:dyDescent="0.25">
      <c r="A2" s="4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31</v>
      </c>
      <c r="G2" s="4" t="s">
        <v>32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25">
      <c r="A3" t="s">
        <v>54</v>
      </c>
      <c r="B3" t="s">
        <v>56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3</v>
      </c>
      <c r="L3">
        <v>0</v>
      </c>
      <c r="M3">
        <v>0</v>
      </c>
    </row>
    <row r="4" spans="1:13" x14ac:dyDescent="0.25">
      <c r="A4" t="s">
        <v>53</v>
      </c>
      <c r="B4" t="s">
        <v>57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3</v>
      </c>
      <c r="L4">
        <v>0</v>
      </c>
      <c r="M4">
        <v>0</v>
      </c>
    </row>
    <row r="5" spans="1:13" x14ac:dyDescent="0.25">
      <c r="A5" t="s">
        <v>55</v>
      </c>
      <c r="B5" t="s">
        <v>58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30</v>
      </c>
      <c r="L5">
        <v>0</v>
      </c>
      <c r="M5">
        <v>0</v>
      </c>
    </row>
    <row r="6" spans="1:13" x14ac:dyDescent="0.25">
      <c r="A6" t="s">
        <v>59</v>
      </c>
      <c r="B6" s="2" t="s">
        <v>60</v>
      </c>
      <c r="C6">
        <f>SUM(Table6[American Sign Language Total])</f>
        <v>0</v>
      </c>
      <c r="D6">
        <f>SUM(Table6[Cantonese Total])</f>
        <v>0</v>
      </c>
      <c r="E6">
        <f>SUM(Table6[French Total])</f>
        <v>0</v>
      </c>
      <c r="F6">
        <f>SUM(Table6[German Total])</f>
        <v>0</v>
      </c>
      <c r="G6">
        <f>SUM(Table6[[ Japanese Total]])</f>
        <v>0</v>
      </c>
      <c r="H6">
        <f>SUM(Table6[Korean Total])</f>
        <v>0</v>
      </c>
      <c r="I6">
        <f>SUM(Table6[Latin Total])</f>
        <v>0</v>
      </c>
      <c r="J6">
        <f>SUM(Table6[Mandarin Total])</f>
        <v>0</v>
      </c>
      <c r="K6">
        <f>SUM(Table6[Spanish Total])</f>
        <v>36</v>
      </c>
      <c r="L6">
        <f>SUM(Table6[Vietnamese Total])</f>
        <v>0</v>
      </c>
      <c r="M6">
        <f>SUM(Table6[Other Total])</f>
        <v>0</v>
      </c>
    </row>
  </sheetData>
  <pageMargins left="0.7" right="0.7" top="0.75" bottom="0.75" header="0.3" footer="0.3"/>
  <pageSetup scale="74" fitToHeight="0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12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21.6328125" customWidth="1"/>
    <col min="2" max="2" width="21.453125" customWidth="1"/>
    <col min="3" max="3" width="17.26953125" customWidth="1"/>
    <col min="4" max="4" width="10.54296875" customWidth="1"/>
    <col min="5" max="5" width="8.36328125" customWidth="1"/>
    <col min="6" max="6" width="8.81640625" customWidth="1"/>
    <col min="7" max="7" width="9.90625" customWidth="1"/>
    <col min="8" max="8" width="8" customWidth="1"/>
    <col min="9" max="9" width="7.453125" customWidth="1"/>
    <col min="10" max="10" width="9.36328125" customWidth="1"/>
    <col min="11" max="11" width="8.453125" customWidth="1"/>
    <col min="12" max="12" width="11.26953125" customWidth="1"/>
    <col min="13" max="13" width="7.7265625" customWidth="1"/>
  </cols>
  <sheetData>
    <row r="1" spans="1:13" ht="21" x14ac:dyDescent="0.4">
      <c r="A1" s="18" t="s">
        <v>559</v>
      </c>
    </row>
    <row r="2" spans="1:13" ht="30" x14ac:dyDescent="0.25">
      <c r="A2" s="4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31</v>
      </c>
      <c r="G2" s="4" t="s">
        <v>32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ht="45" x14ac:dyDescent="0.25">
      <c r="A3" s="4" t="s">
        <v>61</v>
      </c>
      <c r="B3" s="4" t="s">
        <v>184</v>
      </c>
      <c r="C3">
        <v>1</v>
      </c>
      <c r="D3">
        <v>0</v>
      </c>
      <c r="E3">
        <v>9</v>
      </c>
      <c r="F3">
        <v>0</v>
      </c>
      <c r="G3">
        <v>2</v>
      </c>
      <c r="H3">
        <v>1</v>
      </c>
      <c r="I3">
        <v>0</v>
      </c>
      <c r="J3">
        <v>1</v>
      </c>
      <c r="K3">
        <v>68</v>
      </c>
      <c r="L3">
        <v>0</v>
      </c>
      <c r="M3">
        <v>1</v>
      </c>
    </row>
    <row r="4" spans="1:13" ht="30" x14ac:dyDescent="0.25">
      <c r="A4" s="4" t="s">
        <v>49</v>
      </c>
      <c r="B4" s="4" t="s">
        <v>185</v>
      </c>
      <c r="C4" s="9">
        <v>0</v>
      </c>
      <c r="D4" s="9">
        <v>0</v>
      </c>
      <c r="E4" s="9">
        <v>30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15</v>
      </c>
      <c r="L4" s="9">
        <v>0</v>
      </c>
      <c r="M4" s="10">
        <v>0</v>
      </c>
    </row>
    <row r="5" spans="1:13" x14ac:dyDescent="0.25">
      <c r="A5" s="4" t="s">
        <v>65</v>
      </c>
      <c r="B5" s="4" t="s">
        <v>64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7</v>
      </c>
      <c r="L5">
        <v>0</v>
      </c>
      <c r="M5">
        <v>0</v>
      </c>
    </row>
    <row r="6" spans="1:13" ht="30" x14ac:dyDescent="0.25">
      <c r="A6" s="4" t="s">
        <v>66</v>
      </c>
      <c r="B6" s="4" t="s">
        <v>186</v>
      </c>
      <c r="C6">
        <v>0</v>
      </c>
      <c r="D6">
        <v>0</v>
      </c>
      <c r="E6">
        <v>32</v>
      </c>
      <c r="F6">
        <v>7</v>
      </c>
      <c r="G6">
        <v>0</v>
      </c>
      <c r="H6">
        <v>0</v>
      </c>
      <c r="I6">
        <v>0</v>
      </c>
      <c r="J6">
        <v>3</v>
      </c>
      <c r="K6">
        <v>220</v>
      </c>
      <c r="L6">
        <v>0</v>
      </c>
      <c r="M6">
        <v>0</v>
      </c>
    </row>
    <row r="7" spans="1:13" x14ac:dyDescent="0.25">
      <c r="A7" s="4" t="s">
        <v>67</v>
      </c>
      <c r="B7" s="4" t="s">
        <v>71</v>
      </c>
      <c r="C7">
        <v>0</v>
      </c>
      <c r="D7">
        <v>0</v>
      </c>
      <c r="E7">
        <v>7</v>
      </c>
      <c r="F7">
        <v>0</v>
      </c>
      <c r="G7">
        <v>0</v>
      </c>
      <c r="H7">
        <v>0</v>
      </c>
      <c r="I7">
        <v>0</v>
      </c>
      <c r="J7">
        <v>0</v>
      </c>
      <c r="K7">
        <v>8</v>
      </c>
      <c r="L7">
        <v>0</v>
      </c>
      <c r="M7">
        <v>0</v>
      </c>
    </row>
    <row r="8" spans="1:13" ht="75" x14ac:dyDescent="0.25">
      <c r="A8" s="4" t="s">
        <v>68</v>
      </c>
      <c r="B8" s="4" t="s">
        <v>270</v>
      </c>
      <c r="C8">
        <v>1</v>
      </c>
      <c r="D8">
        <v>0</v>
      </c>
      <c r="E8">
        <v>50</v>
      </c>
      <c r="F8">
        <v>22</v>
      </c>
      <c r="G8">
        <v>0</v>
      </c>
      <c r="H8">
        <v>1</v>
      </c>
      <c r="I8">
        <v>0</v>
      </c>
      <c r="J8">
        <v>0</v>
      </c>
      <c r="K8">
        <v>186</v>
      </c>
      <c r="L8">
        <v>0</v>
      </c>
      <c r="M8">
        <v>0</v>
      </c>
    </row>
    <row r="9" spans="1:13" x14ac:dyDescent="0.25">
      <c r="A9" s="4" t="s">
        <v>69</v>
      </c>
      <c r="B9" s="4" t="s">
        <v>63</v>
      </c>
      <c r="C9">
        <v>0</v>
      </c>
      <c r="D9">
        <v>0</v>
      </c>
      <c r="E9">
        <v>12</v>
      </c>
      <c r="F9">
        <v>0</v>
      </c>
      <c r="G9">
        <v>0</v>
      </c>
      <c r="H9">
        <v>0</v>
      </c>
      <c r="I9">
        <v>0</v>
      </c>
      <c r="J9">
        <v>0</v>
      </c>
      <c r="K9">
        <v>84</v>
      </c>
      <c r="L9">
        <v>0</v>
      </c>
      <c r="M9">
        <v>0</v>
      </c>
    </row>
    <row r="10" spans="1:13" ht="75" x14ac:dyDescent="0.25">
      <c r="A10" s="4" t="s">
        <v>70</v>
      </c>
      <c r="B10" s="4" t="s">
        <v>187</v>
      </c>
      <c r="C10" s="3">
        <v>0</v>
      </c>
      <c r="D10" s="3">
        <v>0</v>
      </c>
      <c r="E10" s="3">
        <v>133</v>
      </c>
      <c r="F10" s="3">
        <v>2</v>
      </c>
      <c r="G10" s="3">
        <v>9</v>
      </c>
      <c r="H10" s="3">
        <v>18</v>
      </c>
      <c r="I10" s="3">
        <v>0</v>
      </c>
      <c r="J10" s="3">
        <v>99</v>
      </c>
      <c r="K10" s="3">
        <v>610</v>
      </c>
      <c r="L10" s="3">
        <v>0</v>
      </c>
      <c r="M10" s="3">
        <v>0</v>
      </c>
    </row>
    <row r="11" spans="1:13" ht="105" x14ac:dyDescent="0.25">
      <c r="A11" s="4" t="s">
        <v>62</v>
      </c>
      <c r="B11" s="4" t="s">
        <v>271</v>
      </c>
      <c r="C11" s="3">
        <v>1</v>
      </c>
      <c r="D11" s="3">
        <v>0</v>
      </c>
      <c r="E11" s="3">
        <v>12</v>
      </c>
      <c r="F11" s="3">
        <v>0</v>
      </c>
      <c r="G11" s="3">
        <v>11</v>
      </c>
      <c r="H11" s="3">
        <v>0</v>
      </c>
      <c r="I11" s="3">
        <v>0</v>
      </c>
      <c r="J11" s="3">
        <v>1</v>
      </c>
      <c r="K11" s="3">
        <v>228</v>
      </c>
      <c r="L11" s="3">
        <v>0</v>
      </c>
      <c r="M11" s="3">
        <v>1</v>
      </c>
    </row>
    <row r="12" spans="1:13" ht="15.6" x14ac:dyDescent="0.3">
      <c r="A12" t="s">
        <v>72</v>
      </c>
      <c r="B12" s="11" t="s">
        <v>73</v>
      </c>
      <c r="C12" s="8">
        <f>SUM(Table7[American Sign Language Total])</f>
        <v>3</v>
      </c>
      <c r="D12" s="8">
        <f>SUM(Table7[Cantonese Total])</f>
        <v>0</v>
      </c>
      <c r="E12" s="8">
        <f>SUM(Table7[French Total])</f>
        <v>285</v>
      </c>
      <c r="F12" s="8">
        <f>SUM(Table7[German Total])</f>
        <v>31</v>
      </c>
      <c r="G12" s="8">
        <f>SUM(Table7[[ Japanese Total]])</f>
        <v>22</v>
      </c>
      <c r="H12" s="8">
        <f>SUM(Table7[Korean Total])</f>
        <v>20</v>
      </c>
      <c r="I12" s="8">
        <f>SUM(Table7[Latin Total])</f>
        <v>0</v>
      </c>
      <c r="J12" s="8">
        <f>SUM(Table7[Mandarin Total])</f>
        <v>104</v>
      </c>
      <c r="K12" s="8">
        <f>SUM(Table7[Spanish Total])</f>
        <v>1426</v>
      </c>
      <c r="L12" s="8">
        <f>SUM(Table7[Vietnamese Total])</f>
        <v>0</v>
      </c>
      <c r="M12" s="8">
        <f>SUM(Table7[Other Total])</f>
        <v>2</v>
      </c>
    </row>
  </sheetData>
  <sortState xmlns:xlrd2="http://schemas.microsoft.com/office/spreadsheetml/2017/richdata2" ref="A8:A17">
    <sortCondition ref="A8"/>
  </sortState>
  <pageMargins left="0.7" right="0.7" top="0.75" bottom="0.75" header="0.3" footer="0.3"/>
  <pageSetup scale="68" fitToHeight="0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23.26953125" bestFit="1" customWidth="1"/>
    <col min="2" max="2" width="13.6328125" customWidth="1"/>
    <col min="3" max="3" width="16.36328125" customWidth="1"/>
    <col min="4" max="4" width="10.1796875" customWidth="1"/>
    <col min="5" max="5" width="7.7265625" customWidth="1"/>
    <col min="6" max="6" width="8.36328125" customWidth="1"/>
    <col min="7" max="7" width="9.90625" customWidth="1"/>
    <col min="8" max="8" width="7.81640625" customWidth="1"/>
    <col min="9" max="9" width="7.36328125" customWidth="1"/>
    <col min="10" max="10" width="9.54296875" customWidth="1"/>
    <col min="11" max="11" width="8.54296875" customWidth="1"/>
    <col min="12" max="12" width="11.26953125" customWidth="1"/>
    <col min="13" max="13" width="7.26953125" customWidth="1"/>
  </cols>
  <sheetData>
    <row r="1" spans="1:13" ht="21" x14ac:dyDescent="0.4">
      <c r="A1" s="18" t="s">
        <v>560</v>
      </c>
    </row>
    <row r="2" spans="1:13" ht="30" x14ac:dyDescent="0.25">
      <c r="A2" s="4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31</v>
      </c>
      <c r="G2" s="4" t="s">
        <v>32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25">
      <c r="A3" t="s">
        <v>74</v>
      </c>
      <c r="B3" t="s">
        <v>75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10</v>
      </c>
      <c r="L3">
        <v>0</v>
      </c>
      <c r="M3">
        <v>2</v>
      </c>
    </row>
    <row r="4" spans="1:13" x14ac:dyDescent="0.25">
      <c r="A4" t="s">
        <v>76</v>
      </c>
      <c r="B4" s="2" t="s">
        <v>52</v>
      </c>
      <c r="C4" s="2">
        <f>SUM(Table8[American Sign Language Total])</f>
        <v>0</v>
      </c>
      <c r="D4" s="2">
        <f>SUM(Table8[Cantonese Total])</f>
        <v>0</v>
      </c>
      <c r="E4" s="2">
        <f>SUM(Table8[French Total])</f>
        <v>0</v>
      </c>
      <c r="F4" s="2">
        <f>SUM(Table8[German Total])</f>
        <v>0</v>
      </c>
      <c r="G4" s="2">
        <f>SUM(Table8[[ Japanese Total]])</f>
        <v>0</v>
      </c>
      <c r="H4" s="2">
        <f>SUM(Table8[Korean Total])</f>
        <v>0</v>
      </c>
      <c r="I4" s="2">
        <f>SUM(Table8[Latin Total])</f>
        <v>0</v>
      </c>
      <c r="J4" s="2">
        <f>SUM(Table8[Mandarin Total])</f>
        <v>0</v>
      </c>
      <c r="K4" s="2">
        <f>SUM(Table8[Spanish Total])</f>
        <v>10</v>
      </c>
      <c r="L4" s="2">
        <f>SUM(Table8[Vietnamese Total])</f>
        <v>0</v>
      </c>
      <c r="M4" s="2">
        <f>SUM(Table8[Other Total])</f>
        <v>2</v>
      </c>
    </row>
  </sheetData>
  <pageMargins left="0.7" right="0.7" top="0.75" bottom="0.75" header="0.3" footer="0.3"/>
  <pageSetup scale="72" fitToHeight="0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22" bestFit="1" customWidth="1"/>
    <col min="2" max="2" width="22.26953125" bestFit="1" customWidth="1"/>
    <col min="3" max="3" width="17.36328125" customWidth="1"/>
    <col min="4" max="4" width="10.54296875" customWidth="1"/>
    <col min="5" max="5" width="7.7265625" customWidth="1"/>
    <col min="6" max="6" width="8.26953125" customWidth="1"/>
    <col min="7" max="7" width="10.54296875" customWidth="1"/>
    <col min="8" max="8" width="8.1796875" customWidth="1"/>
    <col min="9" max="9" width="7.7265625" customWidth="1"/>
    <col min="10" max="10" width="9.7265625" customWidth="1"/>
    <col min="11" max="11" width="8.6328125" customWidth="1"/>
    <col min="12" max="12" width="11.6328125" customWidth="1"/>
    <col min="13" max="13" width="7.81640625" customWidth="1"/>
  </cols>
  <sheetData>
    <row r="1" spans="1:13" ht="21" x14ac:dyDescent="0.4">
      <c r="A1" s="18" t="s">
        <v>562</v>
      </c>
    </row>
    <row r="2" spans="1:13" ht="30" x14ac:dyDescent="0.25">
      <c r="A2" s="4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31</v>
      </c>
      <c r="G2" s="4" t="s">
        <v>32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ht="45" x14ac:dyDescent="0.25">
      <c r="A3" s="3" t="s">
        <v>77</v>
      </c>
      <c r="B3" s="4" t="s">
        <v>188</v>
      </c>
      <c r="C3" s="3">
        <v>0</v>
      </c>
      <c r="D3" s="3">
        <v>0</v>
      </c>
      <c r="E3" s="3">
        <v>39</v>
      </c>
      <c r="F3" s="3">
        <v>4</v>
      </c>
      <c r="G3" s="3">
        <v>18</v>
      </c>
      <c r="H3" s="3">
        <v>0</v>
      </c>
      <c r="I3" s="3">
        <v>0</v>
      </c>
      <c r="J3" s="3">
        <v>0</v>
      </c>
      <c r="K3" s="3">
        <v>146</v>
      </c>
      <c r="L3" s="3">
        <v>0</v>
      </c>
      <c r="M3" s="3">
        <v>14</v>
      </c>
    </row>
    <row r="4" spans="1:13" x14ac:dyDescent="0.25">
      <c r="A4" t="s">
        <v>81</v>
      </c>
      <c r="B4" t="s">
        <v>80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33</v>
      </c>
      <c r="L4">
        <v>0</v>
      </c>
      <c r="M4">
        <v>0</v>
      </c>
    </row>
    <row r="5" spans="1:13" x14ac:dyDescent="0.25">
      <c r="A5" t="s">
        <v>78</v>
      </c>
      <c r="B5" s="2" t="s">
        <v>79</v>
      </c>
      <c r="C5">
        <f>SUM(Table9[American Sign Language Total])</f>
        <v>0</v>
      </c>
      <c r="D5">
        <f>SUM(Table9[Cantonese Total])</f>
        <v>0</v>
      </c>
      <c r="E5">
        <f>SUM(Table9[French Total])</f>
        <v>39</v>
      </c>
      <c r="F5">
        <f>SUM(Table9[German Total])</f>
        <v>4</v>
      </c>
      <c r="G5">
        <f>SUM(Table9[[ Japanese Total]])</f>
        <v>18</v>
      </c>
      <c r="H5">
        <f>SUM(Table9[Korean Total])</f>
        <v>0</v>
      </c>
      <c r="I5">
        <f>SUM(Table9[Latin Total])</f>
        <v>0</v>
      </c>
      <c r="J5">
        <f>SUM(Table9[Mandarin Total])</f>
        <v>0</v>
      </c>
      <c r="K5">
        <f>SUM(Table9[Spanish Total])</f>
        <v>179</v>
      </c>
      <c r="L5">
        <f>SUM(Table9[Vietnamese Total])</f>
        <v>0</v>
      </c>
      <c r="M5">
        <f>SUM(Table9[Other Total])</f>
        <v>14</v>
      </c>
    </row>
  </sheetData>
  <pageMargins left="0.7" right="0.7" top="0.75" bottom="0.75" header="0.3" footer="0.3"/>
  <pageSetup scale="67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54</vt:i4>
      </vt:variant>
      <vt:variant>
        <vt:lpstr>Named Ranges</vt:lpstr>
      </vt:variant>
      <vt:variant>
        <vt:i4>2</vt:i4>
      </vt:variant>
    </vt:vector>
  </HeadingPairs>
  <TitlesOfParts>
    <vt:vector size="56" baseType="lpstr">
      <vt:lpstr>County Totals</vt:lpstr>
      <vt:lpstr>Alameda</vt:lpstr>
      <vt:lpstr>Amador</vt:lpstr>
      <vt:lpstr>Butte</vt:lpstr>
      <vt:lpstr>Calaveras</vt:lpstr>
      <vt:lpstr>Colusa</vt:lpstr>
      <vt:lpstr>Contra Costa</vt:lpstr>
      <vt:lpstr>Del Norte</vt:lpstr>
      <vt:lpstr>El Dorado</vt:lpstr>
      <vt:lpstr>Fresno</vt:lpstr>
      <vt:lpstr>Glenn</vt:lpstr>
      <vt:lpstr>Humboldt</vt:lpstr>
      <vt:lpstr>Imperial</vt:lpstr>
      <vt:lpstr>Inyo</vt:lpstr>
      <vt:lpstr>Kern</vt:lpstr>
      <vt:lpstr>Kings</vt:lpstr>
      <vt:lpstr>Lake</vt:lpstr>
      <vt:lpstr>Lassen</vt:lpstr>
      <vt:lpstr>Los Angeles</vt:lpstr>
      <vt:lpstr>Madera</vt:lpstr>
      <vt:lpstr>Marin</vt:lpstr>
      <vt:lpstr>Mendocino</vt:lpstr>
      <vt:lpstr>Merced</vt:lpstr>
      <vt:lpstr>Modoc</vt:lpstr>
      <vt:lpstr>Mono</vt:lpstr>
      <vt:lpstr>Monterey</vt:lpstr>
      <vt:lpstr>Napa</vt:lpstr>
      <vt:lpstr>Nevada</vt:lpstr>
      <vt:lpstr>Orange</vt:lpstr>
      <vt:lpstr>Placer</vt:lpstr>
      <vt:lpstr>Plumas</vt:lpstr>
      <vt:lpstr>Riverside</vt:lpstr>
      <vt:lpstr>Sacramento</vt:lpstr>
      <vt:lpstr>San Benito</vt:lpstr>
      <vt:lpstr>San Bernardino</vt:lpstr>
      <vt:lpstr>San Diego</vt:lpstr>
      <vt:lpstr>San Francisco</vt:lpstr>
      <vt:lpstr>San Joaquin</vt:lpstr>
      <vt:lpstr>San Luis Obispo</vt:lpstr>
      <vt:lpstr>San Mateo</vt:lpstr>
      <vt:lpstr>Santa Barbara</vt:lpstr>
      <vt:lpstr>Santa Clara</vt:lpstr>
      <vt:lpstr>Santa Cruz</vt:lpstr>
      <vt:lpstr>Shasta</vt:lpstr>
      <vt:lpstr>Solano</vt:lpstr>
      <vt:lpstr>Sonoma</vt:lpstr>
      <vt:lpstr>Stanislaus</vt:lpstr>
      <vt:lpstr>Sutter</vt:lpstr>
      <vt:lpstr>Tehama</vt:lpstr>
      <vt:lpstr>Tulare</vt:lpstr>
      <vt:lpstr>Tuolumne</vt:lpstr>
      <vt:lpstr>Ventura</vt:lpstr>
      <vt:lpstr>Yolo</vt:lpstr>
      <vt:lpstr>Yuba</vt:lpstr>
      <vt:lpstr>'Los Angeles'!_GoBack</vt:lpstr>
      <vt:lpstr>Alameda!Criteria</vt:lpstr>
    </vt:vector>
  </TitlesOfParts>
  <Company>CA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SSB 17-18 Participation - Multiligual Learners (Dept of Education)</dc:title>
  <dc:subject>This spreadsheet provides county, district, and school partipation and language total for the 2017-18 State Seal of Biliteracy (SSB) program.</dc:subject>
  <dc:creator>Niki</dc:creator>
  <cp:lastModifiedBy>Jennifer Cordova</cp:lastModifiedBy>
  <cp:lastPrinted>2019-03-14T21:29:57Z</cp:lastPrinted>
  <dcterms:created xsi:type="dcterms:W3CDTF">2018-07-23T21:36:18Z</dcterms:created>
  <dcterms:modified xsi:type="dcterms:W3CDTF">2024-06-04T22:45:48Z</dcterms:modified>
</cp:coreProperties>
</file>