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abreupark\AppData\Local\Adobe\Contribute 6.5\en_US\Sites\Site3\sp\ml\documents\"/>
    </mc:Choice>
  </mc:AlternateContent>
  <xr:revisionPtr revIDLastSave="0" documentId="13_ncr:1_{C6317D4F-E3E0-4A53-9DA7-9E44F718E2E8}" xr6:coauthVersionLast="47" xr6:coauthVersionMax="47" xr10:uidLastSave="{00000000-0000-0000-0000-000000000000}"/>
  <bookViews>
    <workbookView xWindow="-110" yWindow="-110" windowWidth="19420" windowHeight="10420" tabRatio="856" xr2:uid="{00000000-000D-0000-FFFF-FFFF00000000}"/>
  </bookViews>
  <sheets>
    <sheet name="County Totals" sheetId="65" r:id="rId1"/>
    <sheet name="Alameda" sheetId="13" r:id="rId2"/>
    <sheet name="Contra Costa" sheetId="94" r:id="rId3"/>
    <sheet name="Glenn" sheetId="95" r:id="rId4"/>
    <sheet name="Imperial" sheetId="96" r:id="rId5"/>
    <sheet name="Kern" sheetId="25" r:id="rId6"/>
    <sheet name="Lake" sheetId="97" r:id="rId7"/>
    <sheet name="Los Angeles" sheetId="29" r:id="rId8"/>
    <sheet name="Madera" sheetId="35" r:id="rId9"/>
    <sheet name="Orange" sheetId="38" r:id="rId10"/>
    <sheet name="Placer" sheetId="98" r:id="rId11"/>
    <sheet name="Riverside" sheetId="70" r:id="rId12"/>
    <sheet name="Sacramento" sheetId="71" r:id="rId13"/>
    <sheet name="San Bernardino" sheetId="73" r:id="rId14"/>
    <sheet name="San Diego" sheetId="74" r:id="rId15"/>
    <sheet name="San Joaquin" sheetId="99" r:id="rId16"/>
    <sheet name="San Mateo" sheetId="100" r:id="rId17"/>
    <sheet name="Santa Barbara" sheetId="79" r:id="rId18"/>
    <sheet name="Santa Clara" sheetId="80" r:id="rId19"/>
    <sheet name="Santa Cruz" sheetId="101" r:id="rId20"/>
    <sheet name="Shasta" sheetId="102" r:id="rId21"/>
    <sheet name="Ventura" sheetId="91" r:id="rId22"/>
    <sheet name="Yolo" sheetId="92" r:id="rId23"/>
  </sheets>
  <definedNames>
    <definedName name="Alameda" localSheetId="2">Table26[]</definedName>
    <definedName name="Alameda">Table2[]</definedName>
    <definedName name="Placer">#REF!</definedName>
    <definedName name="TableAlameda" localSheetId="2">Table26[]</definedName>
    <definedName name="TableAlameda">Table2[]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65" l="1"/>
  <c r="F24" i="65"/>
  <c r="G24" i="65"/>
  <c r="H24" i="65"/>
  <c r="I24" i="65"/>
  <c r="J24" i="65"/>
  <c r="K24" i="65"/>
  <c r="L24" i="65"/>
  <c r="M24" i="65"/>
  <c r="N24" i="65"/>
  <c r="O24" i="65"/>
  <c r="P24" i="65"/>
  <c r="Q24" i="65"/>
  <c r="R24" i="65"/>
  <c r="S24" i="65"/>
  <c r="T24" i="65"/>
  <c r="U24" i="65"/>
  <c r="V24" i="65"/>
  <c r="W24" i="65"/>
  <c r="X24" i="65"/>
  <c r="Y24" i="65"/>
  <c r="D24" i="65"/>
  <c r="E23" i="65"/>
  <c r="Z23" i="65" s="1"/>
  <c r="F23" i="65"/>
  <c r="G23" i="65"/>
  <c r="H23" i="65"/>
  <c r="I23" i="65"/>
  <c r="J23" i="65"/>
  <c r="K23" i="65"/>
  <c r="L23" i="65"/>
  <c r="M23" i="65"/>
  <c r="N23" i="65"/>
  <c r="O23" i="65"/>
  <c r="P23" i="65"/>
  <c r="Q23" i="65"/>
  <c r="R23" i="65"/>
  <c r="S23" i="65"/>
  <c r="T23" i="65"/>
  <c r="U23" i="65"/>
  <c r="V23" i="65"/>
  <c r="W23" i="65"/>
  <c r="X23" i="65"/>
  <c r="Y23" i="65"/>
  <c r="D23" i="65"/>
  <c r="E20" i="65"/>
  <c r="F20" i="65"/>
  <c r="G20" i="65"/>
  <c r="Z20" i="65" s="1"/>
  <c r="H20" i="65"/>
  <c r="I20" i="65"/>
  <c r="J20" i="65"/>
  <c r="K20" i="65"/>
  <c r="L20" i="65"/>
  <c r="M20" i="65"/>
  <c r="N20" i="65"/>
  <c r="O20" i="65"/>
  <c r="P20" i="65"/>
  <c r="Q20" i="65"/>
  <c r="R20" i="65"/>
  <c r="S20" i="65"/>
  <c r="T20" i="65"/>
  <c r="U20" i="65"/>
  <c r="V20" i="65"/>
  <c r="W20" i="65"/>
  <c r="X20" i="65"/>
  <c r="Y20" i="65"/>
  <c r="D20" i="65"/>
  <c r="E19" i="65"/>
  <c r="F19" i="65"/>
  <c r="G19" i="65"/>
  <c r="H19" i="65"/>
  <c r="I19" i="65"/>
  <c r="J19" i="65"/>
  <c r="K19" i="65"/>
  <c r="L19" i="65"/>
  <c r="M19" i="65"/>
  <c r="N19" i="65"/>
  <c r="O19" i="65"/>
  <c r="P19" i="65"/>
  <c r="Q19" i="65"/>
  <c r="R19" i="65"/>
  <c r="S19" i="65"/>
  <c r="T19" i="65"/>
  <c r="U19" i="65"/>
  <c r="V19" i="65"/>
  <c r="W19" i="65"/>
  <c r="X19" i="65"/>
  <c r="Y19" i="65"/>
  <c r="D19" i="65"/>
  <c r="E14" i="65"/>
  <c r="Z14" i="65" s="1"/>
  <c r="F14" i="65"/>
  <c r="G14" i="65"/>
  <c r="H14" i="65"/>
  <c r="I14" i="65"/>
  <c r="J14" i="65"/>
  <c r="K14" i="65"/>
  <c r="L14" i="65"/>
  <c r="M14" i="65"/>
  <c r="N14" i="65"/>
  <c r="O14" i="65"/>
  <c r="P14" i="65"/>
  <c r="Q14" i="65"/>
  <c r="R14" i="65"/>
  <c r="S14" i="65"/>
  <c r="T14" i="65"/>
  <c r="U14" i="65"/>
  <c r="V14" i="65"/>
  <c r="W14" i="65"/>
  <c r="X14" i="65"/>
  <c r="Y14" i="65"/>
  <c r="D14" i="65"/>
  <c r="Z10" i="65"/>
  <c r="E10" i="65"/>
  <c r="F10" i="65"/>
  <c r="G10" i="65"/>
  <c r="H10" i="65"/>
  <c r="I10" i="65"/>
  <c r="J10" i="65"/>
  <c r="K10" i="65"/>
  <c r="L10" i="65"/>
  <c r="M10" i="65"/>
  <c r="N10" i="65"/>
  <c r="O10" i="65"/>
  <c r="P10" i="65"/>
  <c r="Q10" i="65"/>
  <c r="R10" i="65"/>
  <c r="S10" i="65"/>
  <c r="T10" i="65"/>
  <c r="U10" i="65"/>
  <c r="V10" i="65"/>
  <c r="W10" i="65"/>
  <c r="X10" i="65"/>
  <c r="Y10" i="65"/>
  <c r="D10" i="65"/>
  <c r="Z8" i="65"/>
  <c r="Z5" i="65"/>
  <c r="Z6" i="65"/>
  <c r="Z7" i="65"/>
  <c r="Z9" i="65"/>
  <c r="Z11" i="65"/>
  <c r="Z12" i="65"/>
  <c r="Z13" i="65"/>
  <c r="Z15" i="65"/>
  <c r="Z16" i="65"/>
  <c r="Z17" i="65"/>
  <c r="Z18" i="65"/>
  <c r="Z19" i="65"/>
  <c r="Z21" i="65"/>
  <c r="Z22" i="65"/>
  <c r="Z25" i="65"/>
  <c r="Z26" i="65"/>
  <c r="D8" i="65"/>
  <c r="E8" i="65"/>
  <c r="F8" i="65"/>
  <c r="G8" i="65"/>
  <c r="H8" i="65"/>
  <c r="I8" i="65"/>
  <c r="J8" i="65"/>
  <c r="K8" i="65"/>
  <c r="L8" i="65"/>
  <c r="M8" i="65"/>
  <c r="N8" i="65"/>
  <c r="O8" i="65"/>
  <c r="P8" i="65"/>
  <c r="Q8" i="65"/>
  <c r="R8" i="65"/>
  <c r="S8" i="65"/>
  <c r="T8" i="65"/>
  <c r="U8" i="65"/>
  <c r="V8" i="65"/>
  <c r="W8" i="65"/>
  <c r="X8" i="65"/>
  <c r="Y8" i="65"/>
  <c r="E7" i="65"/>
  <c r="F7" i="65"/>
  <c r="G7" i="65"/>
  <c r="H7" i="65"/>
  <c r="I7" i="65"/>
  <c r="J7" i="65"/>
  <c r="K7" i="65"/>
  <c r="L7" i="65"/>
  <c r="M7" i="65"/>
  <c r="N7" i="65"/>
  <c r="O7" i="65"/>
  <c r="P7" i="65"/>
  <c r="Q7" i="65"/>
  <c r="R7" i="65"/>
  <c r="S7" i="65"/>
  <c r="T7" i="65"/>
  <c r="U7" i="65"/>
  <c r="V7" i="65"/>
  <c r="W7" i="65"/>
  <c r="X7" i="65"/>
  <c r="Y7" i="65"/>
  <c r="D7" i="65"/>
  <c r="E6" i="65"/>
  <c r="F6" i="65"/>
  <c r="G6" i="65"/>
  <c r="H6" i="65"/>
  <c r="I6" i="65"/>
  <c r="J6" i="65"/>
  <c r="K6" i="65"/>
  <c r="L6" i="65"/>
  <c r="M6" i="65"/>
  <c r="N6" i="65"/>
  <c r="O6" i="65"/>
  <c r="P6" i="65"/>
  <c r="Q6" i="65"/>
  <c r="R6" i="65"/>
  <c r="S6" i="65"/>
  <c r="T6" i="65"/>
  <c r="U6" i="65"/>
  <c r="V6" i="65"/>
  <c r="W6" i="65"/>
  <c r="X6" i="65"/>
  <c r="Y6" i="65"/>
  <c r="D6" i="65"/>
  <c r="F6" i="94"/>
  <c r="D9" i="65"/>
  <c r="D21" i="65"/>
  <c r="AB4" i="92"/>
  <c r="AB3" i="92"/>
  <c r="AA4" i="102"/>
  <c r="Z4" i="102"/>
  <c r="Y4" i="102"/>
  <c r="X4" i="102"/>
  <c r="W4" i="102"/>
  <c r="V4" i="102"/>
  <c r="U4" i="102"/>
  <c r="T4" i="102"/>
  <c r="S4" i="102"/>
  <c r="R4" i="102"/>
  <c r="Q4" i="102"/>
  <c r="P4" i="102"/>
  <c r="O4" i="102"/>
  <c r="N4" i="102"/>
  <c r="M4" i="102"/>
  <c r="L4" i="102"/>
  <c r="K4" i="102"/>
  <c r="J4" i="102"/>
  <c r="I4" i="102"/>
  <c r="H4" i="102"/>
  <c r="G4" i="102"/>
  <c r="F4" i="102"/>
  <c r="AB3" i="102"/>
  <c r="AB4" i="102" s="1"/>
  <c r="AA4" i="101"/>
  <c r="Z4" i="101"/>
  <c r="Y4" i="101"/>
  <c r="X4" i="101"/>
  <c r="W4" i="101"/>
  <c r="V4" i="101"/>
  <c r="U4" i="101"/>
  <c r="T4" i="101"/>
  <c r="S4" i="101"/>
  <c r="R4" i="101"/>
  <c r="Q4" i="101"/>
  <c r="P4" i="101"/>
  <c r="O4" i="101"/>
  <c r="N4" i="101"/>
  <c r="M4" i="101"/>
  <c r="L4" i="101"/>
  <c r="K4" i="101"/>
  <c r="J4" i="101"/>
  <c r="I4" i="101"/>
  <c r="H4" i="101"/>
  <c r="G4" i="101"/>
  <c r="F4" i="101"/>
  <c r="AB3" i="101"/>
  <c r="AB4" i="101" s="1"/>
  <c r="AB3" i="80"/>
  <c r="AB4" i="80"/>
  <c r="AB5" i="80"/>
  <c r="AB6" i="80"/>
  <c r="AB7" i="80"/>
  <c r="AA6" i="100"/>
  <c r="Z6" i="100"/>
  <c r="Y6" i="100"/>
  <c r="X6" i="100"/>
  <c r="W6" i="100"/>
  <c r="V6" i="100"/>
  <c r="U6" i="100"/>
  <c r="T6" i="100"/>
  <c r="S6" i="100"/>
  <c r="R6" i="100"/>
  <c r="Q6" i="100"/>
  <c r="P6" i="100"/>
  <c r="O6" i="100"/>
  <c r="N6" i="100"/>
  <c r="M6" i="100"/>
  <c r="L6" i="100"/>
  <c r="K6" i="100"/>
  <c r="J6" i="100"/>
  <c r="I6" i="100"/>
  <c r="H6" i="100"/>
  <c r="G6" i="100"/>
  <c r="F6" i="100"/>
  <c r="AB5" i="100"/>
  <c r="AB4" i="100"/>
  <c r="AB3" i="100"/>
  <c r="AB6" i="100" s="1"/>
  <c r="AA6" i="99"/>
  <c r="Z6" i="99"/>
  <c r="Y6" i="99"/>
  <c r="X6" i="99"/>
  <c r="W6" i="99"/>
  <c r="V6" i="99"/>
  <c r="U6" i="99"/>
  <c r="T6" i="99"/>
  <c r="S6" i="99"/>
  <c r="R6" i="99"/>
  <c r="Q6" i="99"/>
  <c r="P6" i="99"/>
  <c r="O6" i="99"/>
  <c r="N6" i="99"/>
  <c r="M6" i="99"/>
  <c r="L6" i="99"/>
  <c r="K6" i="99"/>
  <c r="J6" i="99"/>
  <c r="I6" i="99"/>
  <c r="H6" i="99"/>
  <c r="G6" i="99"/>
  <c r="F6" i="99"/>
  <c r="AB5" i="99"/>
  <c r="AB4" i="99"/>
  <c r="AB3" i="99"/>
  <c r="AB15" i="74"/>
  <c r="AB14" i="74"/>
  <c r="AB12" i="74"/>
  <c r="AB4" i="74"/>
  <c r="AB5" i="74"/>
  <c r="AB6" i="74"/>
  <c r="AB7" i="74"/>
  <c r="AB8" i="74"/>
  <c r="AB9" i="74"/>
  <c r="AB10" i="74"/>
  <c r="AB11" i="74"/>
  <c r="AB13" i="74"/>
  <c r="AB3" i="74"/>
  <c r="AB4" i="73"/>
  <c r="AA4" i="98"/>
  <c r="Z4" i="98"/>
  <c r="Y4" i="98"/>
  <c r="X4" i="98"/>
  <c r="W4" i="98"/>
  <c r="V4" i="98"/>
  <c r="U4" i="98"/>
  <c r="T4" i="98"/>
  <c r="S4" i="98"/>
  <c r="R4" i="98"/>
  <c r="Q4" i="98"/>
  <c r="P4" i="98"/>
  <c r="O4" i="98"/>
  <c r="N4" i="98"/>
  <c r="M4" i="98"/>
  <c r="L4" i="98"/>
  <c r="K4" i="98"/>
  <c r="J4" i="98"/>
  <c r="I4" i="98"/>
  <c r="H4" i="98"/>
  <c r="G4" i="98"/>
  <c r="F4" i="98"/>
  <c r="AB3" i="98"/>
  <c r="AB4" i="98" s="1"/>
  <c r="AB8" i="38"/>
  <c r="AB7" i="38"/>
  <c r="AB3" i="38"/>
  <c r="AB9" i="29"/>
  <c r="AA4" i="97"/>
  <c r="Z4" i="97"/>
  <c r="Y4" i="97"/>
  <c r="X4" i="97"/>
  <c r="W4" i="97"/>
  <c r="V4" i="97"/>
  <c r="U4" i="97"/>
  <c r="T4" i="97"/>
  <c r="S4" i="97"/>
  <c r="R4" i="97"/>
  <c r="Q4" i="97"/>
  <c r="P4" i="97"/>
  <c r="O4" i="97"/>
  <c r="N4" i="97"/>
  <c r="M4" i="97"/>
  <c r="L4" i="97"/>
  <c r="K4" i="97"/>
  <c r="J4" i="97"/>
  <c r="I4" i="97"/>
  <c r="H4" i="97"/>
  <c r="G4" i="97"/>
  <c r="F4" i="97"/>
  <c r="AB3" i="97"/>
  <c r="AB4" i="97" s="1"/>
  <c r="AA4" i="96"/>
  <c r="Z4" i="96"/>
  <c r="Y4" i="96"/>
  <c r="X4" i="96"/>
  <c r="W4" i="96"/>
  <c r="V4" i="96"/>
  <c r="U4" i="96"/>
  <c r="T4" i="96"/>
  <c r="S4" i="96"/>
  <c r="R4" i="96"/>
  <c r="Q4" i="96"/>
  <c r="P4" i="96"/>
  <c r="O4" i="96"/>
  <c r="N4" i="96"/>
  <c r="M4" i="96"/>
  <c r="L4" i="96"/>
  <c r="K4" i="96"/>
  <c r="J4" i="96"/>
  <c r="I4" i="96"/>
  <c r="H4" i="96"/>
  <c r="G4" i="96"/>
  <c r="F4" i="96"/>
  <c r="AB3" i="96"/>
  <c r="AB4" i="96" s="1"/>
  <c r="AA4" i="95"/>
  <c r="Z4" i="95"/>
  <c r="Y4" i="95"/>
  <c r="X4" i="95"/>
  <c r="W4" i="95"/>
  <c r="V4" i="95"/>
  <c r="U4" i="95"/>
  <c r="T4" i="95"/>
  <c r="S4" i="95"/>
  <c r="R4" i="95"/>
  <c r="Q4" i="95"/>
  <c r="P4" i="95"/>
  <c r="O4" i="95"/>
  <c r="N4" i="95"/>
  <c r="M4" i="95"/>
  <c r="L4" i="95"/>
  <c r="K4" i="95"/>
  <c r="J4" i="95"/>
  <c r="I4" i="95"/>
  <c r="H4" i="95"/>
  <c r="G4" i="95"/>
  <c r="F4" i="95"/>
  <c r="AB3" i="95"/>
  <c r="AB4" i="95" s="1"/>
  <c r="AA6" i="94"/>
  <c r="Z6" i="94"/>
  <c r="Y6" i="94"/>
  <c r="X6" i="94"/>
  <c r="W6" i="94"/>
  <c r="V6" i="94"/>
  <c r="U6" i="94"/>
  <c r="T6" i="94"/>
  <c r="S6" i="94"/>
  <c r="R6" i="94"/>
  <c r="Q6" i="94"/>
  <c r="P6" i="94"/>
  <c r="O6" i="94"/>
  <c r="N6" i="94"/>
  <c r="M6" i="94"/>
  <c r="L6" i="94"/>
  <c r="K6" i="94"/>
  <c r="J6" i="94"/>
  <c r="I6" i="94"/>
  <c r="H6" i="94"/>
  <c r="G6" i="94"/>
  <c r="AB5" i="94"/>
  <c r="AB4" i="94"/>
  <c r="AB3" i="94"/>
  <c r="AB6" i="94" s="1"/>
  <c r="AB3" i="13"/>
  <c r="Q25" i="65"/>
  <c r="Z24" i="65" l="1"/>
  <c r="AB6" i="99"/>
  <c r="AB12" i="29"/>
  <c r="B27" i="65" l="1"/>
  <c r="C27" i="65"/>
  <c r="AA5" i="92" l="1"/>
  <c r="Y26" i="65" s="1"/>
  <c r="Z5" i="92"/>
  <c r="X26" i="65" s="1"/>
  <c r="Y5" i="92"/>
  <c r="W26" i="65" s="1"/>
  <c r="X5" i="92"/>
  <c r="V26" i="65" s="1"/>
  <c r="W5" i="92"/>
  <c r="U26" i="65" s="1"/>
  <c r="V5" i="92"/>
  <c r="T26" i="65" s="1"/>
  <c r="U5" i="92"/>
  <c r="S26" i="65" s="1"/>
  <c r="T5" i="92"/>
  <c r="R26" i="65" s="1"/>
  <c r="S5" i="92"/>
  <c r="Q26" i="65" s="1"/>
  <c r="R5" i="92"/>
  <c r="P26" i="65" s="1"/>
  <c r="Q5" i="92"/>
  <c r="O26" i="65" s="1"/>
  <c r="P5" i="92"/>
  <c r="N26" i="65" s="1"/>
  <c r="O5" i="92"/>
  <c r="M26" i="65" s="1"/>
  <c r="N5" i="92"/>
  <c r="L26" i="65" s="1"/>
  <c r="M5" i="92"/>
  <c r="K26" i="65" s="1"/>
  <c r="L5" i="92"/>
  <c r="J26" i="65" s="1"/>
  <c r="K5" i="92"/>
  <c r="I26" i="65" s="1"/>
  <c r="J5" i="92"/>
  <c r="H26" i="65" s="1"/>
  <c r="I5" i="92"/>
  <c r="G26" i="65" s="1"/>
  <c r="H5" i="92"/>
  <c r="F26" i="65" s="1"/>
  <c r="G5" i="92"/>
  <c r="E26" i="65" s="1"/>
  <c r="F5" i="92"/>
  <c r="D26" i="65" s="1"/>
  <c r="AA4" i="91"/>
  <c r="Y25" i="65" s="1"/>
  <c r="Z4" i="91"/>
  <c r="X25" i="65" s="1"/>
  <c r="Y4" i="91"/>
  <c r="W25" i="65" s="1"/>
  <c r="X4" i="91"/>
  <c r="V25" i="65" s="1"/>
  <c r="W4" i="91"/>
  <c r="U25" i="65" s="1"/>
  <c r="V4" i="91"/>
  <c r="T25" i="65" s="1"/>
  <c r="U4" i="91"/>
  <c r="S25" i="65" s="1"/>
  <c r="T4" i="91"/>
  <c r="R25" i="65" s="1"/>
  <c r="R4" i="91"/>
  <c r="P25" i="65" s="1"/>
  <c r="Q4" i="91"/>
  <c r="O25" i="65" s="1"/>
  <c r="P4" i="91"/>
  <c r="N25" i="65" s="1"/>
  <c r="O4" i="91"/>
  <c r="M25" i="65" s="1"/>
  <c r="N4" i="91"/>
  <c r="L25" i="65" s="1"/>
  <c r="M4" i="91"/>
  <c r="K25" i="65" s="1"/>
  <c r="L4" i="91"/>
  <c r="J25" i="65" s="1"/>
  <c r="K4" i="91"/>
  <c r="I25" i="65" s="1"/>
  <c r="J4" i="91"/>
  <c r="H25" i="65" s="1"/>
  <c r="I4" i="91"/>
  <c r="G25" i="65" s="1"/>
  <c r="H4" i="91"/>
  <c r="F25" i="65" s="1"/>
  <c r="G4" i="91"/>
  <c r="E25" i="65" s="1"/>
  <c r="F4" i="91"/>
  <c r="D25" i="65" s="1"/>
  <c r="AB3" i="91"/>
  <c r="AB5" i="92" l="1"/>
  <c r="AB4" i="91"/>
  <c r="AA9" i="80" l="1"/>
  <c r="Y22" i="65" s="1"/>
  <c r="Z9" i="80"/>
  <c r="X22" i="65" s="1"/>
  <c r="Y9" i="80"/>
  <c r="W22" i="65" s="1"/>
  <c r="X9" i="80"/>
  <c r="V22" i="65" s="1"/>
  <c r="W9" i="80"/>
  <c r="U22" i="65" s="1"/>
  <c r="V9" i="80"/>
  <c r="T22" i="65" s="1"/>
  <c r="U9" i="80"/>
  <c r="S22" i="65" s="1"/>
  <c r="T9" i="80"/>
  <c r="R22" i="65" s="1"/>
  <c r="S9" i="80"/>
  <c r="Q22" i="65" s="1"/>
  <c r="R9" i="80"/>
  <c r="P22" i="65" s="1"/>
  <c r="Q9" i="80"/>
  <c r="O22" i="65" s="1"/>
  <c r="P9" i="80"/>
  <c r="N22" i="65" s="1"/>
  <c r="O9" i="80"/>
  <c r="M22" i="65" s="1"/>
  <c r="N9" i="80"/>
  <c r="L22" i="65" s="1"/>
  <c r="M9" i="80"/>
  <c r="K22" i="65" s="1"/>
  <c r="L9" i="80"/>
  <c r="J22" i="65" s="1"/>
  <c r="K9" i="80"/>
  <c r="I22" i="65" s="1"/>
  <c r="J9" i="80"/>
  <c r="H22" i="65" s="1"/>
  <c r="I9" i="80"/>
  <c r="G22" i="65" s="1"/>
  <c r="H9" i="80"/>
  <c r="F22" i="65" s="1"/>
  <c r="G9" i="80"/>
  <c r="E22" i="65" s="1"/>
  <c r="F9" i="80"/>
  <c r="D22" i="65" s="1"/>
  <c r="AB9" i="80" l="1"/>
  <c r="AA4" i="79" l="1"/>
  <c r="Y21" i="65" s="1"/>
  <c r="Z4" i="79"/>
  <c r="X21" i="65" s="1"/>
  <c r="Y4" i="79"/>
  <c r="W21" i="65" s="1"/>
  <c r="X4" i="79"/>
  <c r="V21" i="65" s="1"/>
  <c r="W4" i="79"/>
  <c r="U21" i="65" s="1"/>
  <c r="V4" i="79"/>
  <c r="T21" i="65" s="1"/>
  <c r="U4" i="79"/>
  <c r="S21" i="65" s="1"/>
  <c r="T4" i="79"/>
  <c r="R21" i="65" s="1"/>
  <c r="S4" i="79"/>
  <c r="Q21" i="65" s="1"/>
  <c r="R4" i="79"/>
  <c r="P21" i="65" s="1"/>
  <c r="Q4" i="79"/>
  <c r="O21" i="65" s="1"/>
  <c r="P4" i="79"/>
  <c r="N21" i="65" s="1"/>
  <c r="O4" i="79"/>
  <c r="M21" i="65" s="1"/>
  <c r="N4" i="79"/>
  <c r="L21" i="65" s="1"/>
  <c r="M4" i="79"/>
  <c r="K21" i="65" s="1"/>
  <c r="L4" i="79"/>
  <c r="J21" i="65" s="1"/>
  <c r="K4" i="79"/>
  <c r="I21" i="65" s="1"/>
  <c r="J4" i="79"/>
  <c r="H21" i="65" s="1"/>
  <c r="I4" i="79"/>
  <c r="G21" i="65" s="1"/>
  <c r="H4" i="79"/>
  <c r="F21" i="65" s="1"/>
  <c r="G4" i="79"/>
  <c r="E21" i="65" s="1"/>
  <c r="F4" i="79"/>
  <c r="AB3" i="79"/>
  <c r="AA16" i="74"/>
  <c r="Y18" i="65" s="1"/>
  <c r="Z16" i="74"/>
  <c r="X18" i="65" s="1"/>
  <c r="Y16" i="74"/>
  <c r="W18" i="65" s="1"/>
  <c r="X16" i="74"/>
  <c r="V18" i="65" s="1"/>
  <c r="W16" i="74"/>
  <c r="U18" i="65" s="1"/>
  <c r="V16" i="74"/>
  <c r="T18" i="65" s="1"/>
  <c r="U16" i="74"/>
  <c r="S18" i="65" s="1"/>
  <c r="T16" i="74"/>
  <c r="R18" i="65" s="1"/>
  <c r="S16" i="74"/>
  <c r="Q18" i="65" s="1"/>
  <c r="R16" i="74"/>
  <c r="P18" i="65" s="1"/>
  <c r="Q16" i="74"/>
  <c r="O18" i="65" s="1"/>
  <c r="P16" i="74"/>
  <c r="N18" i="65" s="1"/>
  <c r="O16" i="74"/>
  <c r="M18" i="65" s="1"/>
  <c r="N16" i="74"/>
  <c r="L18" i="65" s="1"/>
  <c r="M16" i="74"/>
  <c r="K18" i="65" s="1"/>
  <c r="L16" i="74"/>
  <c r="J18" i="65" s="1"/>
  <c r="K16" i="74"/>
  <c r="I18" i="65" s="1"/>
  <c r="J16" i="74"/>
  <c r="H18" i="65" s="1"/>
  <c r="I16" i="74"/>
  <c r="G18" i="65" s="1"/>
  <c r="H16" i="74"/>
  <c r="F18" i="65" s="1"/>
  <c r="G16" i="74"/>
  <c r="E18" i="65" s="1"/>
  <c r="F16" i="74"/>
  <c r="D18" i="65" s="1"/>
  <c r="AB5" i="73"/>
  <c r="AB3" i="73"/>
  <c r="AA7" i="73"/>
  <c r="Y17" i="65" s="1"/>
  <c r="Z7" i="73"/>
  <c r="X17" i="65" s="1"/>
  <c r="Y7" i="73"/>
  <c r="W17" i="65" s="1"/>
  <c r="X7" i="73"/>
  <c r="V17" i="65" s="1"/>
  <c r="W7" i="73"/>
  <c r="U17" i="65" s="1"/>
  <c r="V7" i="73"/>
  <c r="T17" i="65" s="1"/>
  <c r="U7" i="73"/>
  <c r="S17" i="65" s="1"/>
  <c r="T7" i="73"/>
  <c r="R17" i="65" s="1"/>
  <c r="S7" i="73"/>
  <c r="Q17" i="65" s="1"/>
  <c r="R7" i="73"/>
  <c r="P17" i="65" s="1"/>
  <c r="Q7" i="73"/>
  <c r="O17" i="65" s="1"/>
  <c r="P7" i="73"/>
  <c r="N17" i="65" s="1"/>
  <c r="O7" i="73"/>
  <c r="M17" i="65" s="1"/>
  <c r="N7" i="73"/>
  <c r="L17" i="65" s="1"/>
  <c r="M7" i="73"/>
  <c r="K17" i="65" s="1"/>
  <c r="L7" i="73"/>
  <c r="J17" i="65" s="1"/>
  <c r="K7" i="73"/>
  <c r="I17" i="65" s="1"/>
  <c r="J7" i="73"/>
  <c r="H17" i="65" s="1"/>
  <c r="I7" i="73"/>
  <c r="G17" i="65" s="1"/>
  <c r="H7" i="73"/>
  <c r="F17" i="65" s="1"/>
  <c r="G7" i="73"/>
  <c r="E17" i="65" s="1"/>
  <c r="F7" i="73"/>
  <c r="D17" i="65" s="1"/>
  <c r="AB6" i="73"/>
  <c r="AA6" i="71"/>
  <c r="Y16" i="65" s="1"/>
  <c r="Z6" i="71"/>
  <c r="X16" i="65" s="1"/>
  <c r="Y6" i="71"/>
  <c r="W16" i="65" s="1"/>
  <c r="X6" i="71"/>
  <c r="V16" i="65" s="1"/>
  <c r="W6" i="71"/>
  <c r="U16" i="65" s="1"/>
  <c r="V6" i="71"/>
  <c r="T16" i="65" s="1"/>
  <c r="U6" i="71"/>
  <c r="S16" i="65" s="1"/>
  <c r="T6" i="71"/>
  <c r="R16" i="65" s="1"/>
  <c r="S6" i="71"/>
  <c r="Q16" i="65" s="1"/>
  <c r="R6" i="71"/>
  <c r="P16" i="65" s="1"/>
  <c r="Q6" i="71"/>
  <c r="O16" i="65" s="1"/>
  <c r="P6" i="71"/>
  <c r="N16" i="65" s="1"/>
  <c r="O6" i="71"/>
  <c r="M16" i="65" s="1"/>
  <c r="N6" i="71"/>
  <c r="L16" i="65" s="1"/>
  <c r="M6" i="71"/>
  <c r="K16" i="65" s="1"/>
  <c r="L6" i="71"/>
  <c r="J16" i="65" s="1"/>
  <c r="K6" i="71"/>
  <c r="I16" i="65" s="1"/>
  <c r="J6" i="71"/>
  <c r="H16" i="65" s="1"/>
  <c r="I6" i="71"/>
  <c r="G16" i="65" s="1"/>
  <c r="H6" i="71"/>
  <c r="F16" i="65" s="1"/>
  <c r="G6" i="71"/>
  <c r="E16" i="65" s="1"/>
  <c r="F6" i="71"/>
  <c r="D16" i="65" s="1"/>
  <c r="AB5" i="71"/>
  <c r="AB4" i="71"/>
  <c r="AB3" i="71"/>
  <c r="AA5" i="70"/>
  <c r="Y15" i="65" s="1"/>
  <c r="Z5" i="70"/>
  <c r="X15" i="65" s="1"/>
  <c r="Y5" i="70"/>
  <c r="W15" i="65" s="1"/>
  <c r="X5" i="70"/>
  <c r="V15" i="65" s="1"/>
  <c r="W5" i="70"/>
  <c r="U15" i="65" s="1"/>
  <c r="V5" i="70"/>
  <c r="T15" i="65" s="1"/>
  <c r="U5" i="70"/>
  <c r="S15" i="65" s="1"/>
  <c r="T5" i="70"/>
  <c r="R15" i="65" s="1"/>
  <c r="S5" i="70"/>
  <c r="Q15" i="65" s="1"/>
  <c r="R5" i="70"/>
  <c r="P15" i="65" s="1"/>
  <c r="Q5" i="70"/>
  <c r="O15" i="65" s="1"/>
  <c r="P5" i="70"/>
  <c r="N15" i="65" s="1"/>
  <c r="O5" i="70"/>
  <c r="M15" i="65" s="1"/>
  <c r="N5" i="70"/>
  <c r="L15" i="65" s="1"/>
  <c r="M5" i="70"/>
  <c r="K15" i="65" s="1"/>
  <c r="L5" i="70"/>
  <c r="J15" i="65" s="1"/>
  <c r="K5" i="70"/>
  <c r="I15" i="65" s="1"/>
  <c r="J5" i="70"/>
  <c r="H15" i="65" s="1"/>
  <c r="I5" i="70"/>
  <c r="G15" i="65" s="1"/>
  <c r="H5" i="70"/>
  <c r="F15" i="65" s="1"/>
  <c r="G5" i="70"/>
  <c r="E15" i="65" s="1"/>
  <c r="F5" i="70"/>
  <c r="D15" i="65" s="1"/>
  <c r="AB4" i="70"/>
  <c r="AB3" i="70"/>
  <c r="Y12" i="38"/>
  <c r="W13" i="65" s="1"/>
  <c r="U12" i="38"/>
  <c r="S13" i="65" s="1"/>
  <c r="O12" i="38"/>
  <c r="M13" i="65" s="1"/>
  <c r="K12" i="38"/>
  <c r="I13" i="65" s="1"/>
  <c r="I12" i="38"/>
  <c r="G13" i="65" s="1"/>
  <c r="Z4" i="35"/>
  <c r="W12" i="65" s="1"/>
  <c r="V4" i="35"/>
  <c r="S12" i="65" s="1"/>
  <c r="O4" i="35"/>
  <c r="M12" i="65" s="1"/>
  <c r="K4" i="35"/>
  <c r="I12" i="65" s="1"/>
  <c r="I4" i="35"/>
  <c r="G12" i="65" s="1"/>
  <c r="AB4" i="79" l="1"/>
  <c r="AB16" i="74"/>
  <c r="AB7" i="73"/>
  <c r="AB6" i="71"/>
  <c r="AB5" i="70"/>
  <c r="AB4" i="29" l="1"/>
  <c r="I13" i="29"/>
  <c r="G11" i="65" s="1"/>
  <c r="K13" i="29"/>
  <c r="I11" i="65" s="1"/>
  <c r="O13" i="29"/>
  <c r="M11" i="65" s="1"/>
  <c r="U13" i="29"/>
  <c r="S11" i="65" s="1"/>
  <c r="Y13" i="29"/>
  <c r="W11" i="65" s="1"/>
  <c r="I4" i="25"/>
  <c r="G9" i="65" s="1"/>
  <c r="K4" i="25"/>
  <c r="I9" i="65" s="1"/>
  <c r="O4" i="25"/>
  <c r="M9" i="65" s="1"/>
  <c r="U4" i="25"/>
  <c r="S9" i="65" s="1"/>
  <c r="Y4" i="25"/>
  <c r="W9" i="65" s="1"/>
  <c r="AB4" i="13"/>
  <c r="AB5" i="13"/>
  <c r="Y6" i="13"/>
  <c r="W5" i="65" s="1"/>
  <c r="U6" i="13"/>
  <c r="S5" i="65" s="1"/>
  <c r="O6" i="13"/>
  <c r="M5" i="65" s="1"/>
  <c r="K6" i="13"/>
  <c r="I5" i="65" s="1"/>
  <c r="I6" i="13"/>
  <c r="G5" i="65" s="1"/>
  <c r="M27" i="65" l="1"/>
  <c r="S27" i="65"/>
  <c r="W27" i="65"/>
  <c r="G27" i="65"/>
  <c r="I27" i="65"/>
  <c r="AB4" i="38"/>
  <c r="AB5" i="38"/>
  <c r="AB6" i="38"/>
  <c r="AB9" i="38"/>
  <c r="AB10" i="38"/>
  <c r="AB11" i="38"/>
  <c r="AC3" i="35"/>
  <c r="AB3" i="29"/>
  <c r="AB5" i="29"/>
  <c r="AB6" i="29"/>
  <c r="AB7" i="29"/>
  <c r="AB8" i="29"/>
  <c r="AB10" i="29"/>
  <c r="AB11" i="29"/>
  <c r="AB3" i="25"/>
  <c r="AB12" i="38" l="1"/>
  <c r="AC4" i="35"/>
  <c r="AB13" i="29"/>
  <c r="AB4" i="25"/>
  <c r="AB6" i="13"/>
  <c r="V12" i="38" l="1"/>
  <c r="T13" i="65" s="1"/>
  <c r="N12" i="38"/>
  <c r="L13" i="65" s="1"/>
  <c r="J12" i="38"/>
  <c r="H13" i="65" s="1"/>
  <c r="W4" i="35"/>
  <c r="T12" i="65" s="1"/>
  <c r="N4" i="35"/>
  <c r="L12" i="65" s="1"/>
  <c r="J4" i="35"/>
  <c r="H12" i="65" s="1"/>
  <c r="J13" i="29"/>
  <c r="H11" i="65" s="1"/>
  <c r="N13" i="29"/>
  <c r="L11" i="65" s="1"/>
  <c r="V13" i="29"/>
  <c r="T11" i="65" s="1"/>
  <c r="V4" i="25"/>
  <c r="T9" i="65" s="1"/>
  <c r="J4" i="25"/>
  <c r="H9" i="65" s="1"/>
  <c r="N4" i="25"/>
  <c r="L9" i="65" s="1"/>
  <c r="V6" i="13" l="1"/>
  <c r="T5" i="65" s="1"/>
  <c r="T6" i="13"/>
  <c r="R5" i="65" s="1"/>
  <c r="H6" i="13"/>
  <c r="F5" i="65" s="1"/>
  <c r="T27" i="65" l="1"/>
  <c r="F12" i="38" l="1"/>
  <c r="D13" i="65" s="1"/>
  <c r="G12" i="38"/>
  <c r="E13" i="65" s="1"/>
  <c r="H12" i="38"/>
  <c r="F13" i="65" s="1"/>
  <c r="L12" i="38"/>
  <c r="J13" i="65" s="1"/>
  <c r="M12" i="38"/>
  <c r="K13" i="65" s="1"/>
  <c r="P12" i="38"/>
  <c r="N13" i="65" s="1"/>
  <c r="Q12" i="38"/>
  <c r="O13" i="65" s="1"/>
  <c r="R12" i="38"/>
  <c r="P13" i="65" s="1"/>
  <c r="S12" i="38"/>
  <c r="Q13" i="65" s="1"/>
  <c r="T12" i="38"/>
  <c r="R13" i="65" s="1"/>
  <c r="W12" i="38"/>
  <c r="U13" i="65" s="1"/>
  <c r="X12" i="38"/>
  <c r="V13" i="65" s="1"/>
  <c r="Z12" i="38"/>
  <c r="X13" i="65" s="1"/>
  <c r="AA12" i="38"/>
  <c r="Y13" i="65" s="1"/>
  <c r="F4" i="35"/>
  <c r="D12" i="65" s="1"/>
  <c r="G4" i="35"/>
  <c r="E12" i="65" s="1"/>
  <c r="H4" i="35"/>
  <c r="F12" i="65" s="1"/>
  <c r="L4" i="35"/>
  <c r="J12" i="65" s="1"/>
  <c r="M4" i="35"/>
  <c r="K12" i="65" s="1"/>
  <c r="P4" i="35"/>
  <c r="N12" i="65" s="1"/>
  <c r="Q4" i="35"/>
  <c r="O12" i="65" s="1"/>
  <c r="R4" i="35"/>
  <c r="P12" i="65" s="1"/>
  <c r="S4" i="35"/>
  <c r="Q12" i="65" s="1"/>
  <c r="T4" i="35"/>
  <c r="U4" i="35"/>
  <c r="R12" i="65" s="1"/>
  <c r="X4" i="35"/>
  <c r="U12" i="65" s="1"/>
  <c r="Y4" i="35"/>
  <c r="V12" i="65" s="1"/>
  <c r="AA4" i="35"/>
  <c r="X12" i="65" s="1"/>
  <c r="AB4" i="35"/>
  <c r="Y12" i="65" s="1"/>
  <c r="F13" i="29"/>
  <c r="D11" i="65" s="1"/>
  <c r="G13" i="29"/>
  <c r="E11" i="65" s="1"/>
  <c r="H13" i="29"/>
  <c r="F11" i="65" s="1"/>
  <c r="L13" i="29"/>
  <c r="J11" i="65" s="1"/>
  <c r="M13" i="29"/>
  <c r="K11" i="65" s="1"/>
  <c r="P13" i="29"/>
  <c r="N11" i="65" s="1"/>
  <c r="Q13" i="29"/>
  <c r="O11" i="65" s="1"/>
  <c r="R13" i="29"/>
  <c r="P11" i="65" s="1"/>
  <c r="S13" i="29"/>
  <c r="Q11" i="65" s="1"/>
  <c r="T13" i="29"/>
  <c r="R11" i="65" s="1"/>
  <c r="W13" i="29"/>
  <c r="U11" i="65" s="1"/>
  <c r="X13" i="29"/>
  <c r="V11" i="65" s="1"/>
  <c r="Z13" i="29"/>
  <c r="X11" i="65" s="1"/>
  <c r="AA13" i="29"/>
  <c r="Y11" i="65" s="1"/>
  <c r="F4" i="25" l="1"/>
  <c r="G4" i="25"/>
  <c r="E9" i="65" s="1"/>
  <c r="H4" i="25"/>
  <c r="F9" i="65" s="1"/>
  <c r="L4" i="25"/>
  <c r="J9" i="65" s="1"/>
  <c r="M4" i="25"/>
  <c r="K9" i="65" s="1"/>
  <c r="P4" i="25"/>
  <c r="N9" i="65" s="1"/>
  <c r="Q4" i="25"/>
  <c r="O9" i="65" s="1"/>
  <c r="R4" i="25"/>
  <c r="P9" i="65" s="1"/>
  <c r="S4" i="25"/>
  <c r="Q9" i="65" s="1"/>
  <c r="T4" i="25"/>
  <c r="R9" i="65" s="1"/>
  <c r="W4" i="25"/>
  <c r="U9" i="65" s="1"/>
  <c r="X4" i="25"/>
  <c r="V9" i="65" s="1"/>
  <c r="Z4" i="25"/>
  <c r="X9" i="65" s="1"/>
  <c r="AA4" i="25"/>
  <c r="Y9" i="65" s="1"/>
  <c r="F6" i="13"/>
  <c r="D5" i="65" s="1"/>
  <c r="AA6" i="13"/>
  <c r="Y5" i="65" s="1"/>
  <c r="G6" i="13"/>
  <c r="E5" i="65" s="1"/>
  <c r="J6" i="13"/>
  <c r="H5" i="65" s="1"/>
  <c r="H27" i="65" s="1"/>
  <c r="L6" i="13"/>
  <c r="J5" i="65" s="1"/>
  <c r="M6" i="13"/>
  <c r="K5" i="65" s="1"/>
  <c r="N6" i="13"/>
  <c r="L5" i="65" s="1"/>
  <c r="L27" i="65" s="1"/>
  <c r="P6" i="13"/>
  <c r="N5" i="65" s="1"/>
  <c r="Q6" i="13"/>
  <c r="O5" i="65" s="1"/>
  <c r="R6" i="13"/>
  <c r="P5" i="65" s="1"/>
  <c r="S6" i="13"/>
  <c r="Q5" i="65" s="1"/>
  <c r="W6" i="13"/>
  <c r="U5" i="65" s="1"/>
  <c r="X6" i="13"/>
  <c r="V5" i="65" s="1"/>
  <c r="Z6" i="13"/>
  <c r="X5" i="65" s="1"/>
  <c r="X27" i="65" l="1"/>
  <c r="Y27" i="65"/>
  <c r="N27" i="65"/>
  <c r="O27" i="65"/>
  <c r="D27" i="65"/>
  <c r="V27" i="65"/>
  <c r="K27" i="65"/>
  <c r="U27" i="65"/>
  <c r="R27" i="65"/>
  <c r="F27" i="65"/>
  <c r="Q27" i="65"/>
  <c r="E27" i="65"/>
  <c r="P27" i="65"/>
  <c r="J27" i="65"/>
  <c r="Z27" i="65" l="1"/>
</calcChain>
</file>

<file path=xl/sharedStrings.xml><?xml version="1.0" encoding="utf-8"?>
<sst xmlns="http://schemas.openxmlformats.org/spreadsheetml/2006/main" count="1108" uniqueCount="279">
  <si>
    <t>Riverside</t>
  </si>
  <si>
    <t>Los Angeles</t>
  </si>
  <si>
    <t>Alameda</t>
  </si>
  <si>
    <t>Orange</t>
  </si>
  <si>
    <t>Tustin Unified</t>
  </si>
  <si>
    <t>San Bernardino</t>
  </si>
  <si>
    <t>Sacramento</t>
  </si>
  <si>
    <t>San Diego</t>
  </si>
  <si>
    <t>Kern</t>
  </si>
  <si>
    <t>Vista Unified</t>
  </si>
  <si>
    <t>Santa Clara</t>
  </si>
  <si>
    <t>Santa Barbara</t>
  </si>
  <si>
    <t>Yolo</t>
  </si>
  <si>
    <t>Ventura</t>
  </si>
  <si>
    <t>San Diego Unified</t>
  </si>
  <si>
    <t>Newport-Mesa Unified</t>
  </si>
  <si>
    <t>California Department of Education</t>
  </si>
  <si>
    <t>Participating Counties</t>
  </si>
  <si>
    <t>Participating Schools Total</t>
  </si>
  <si>
    <t>American Sign Language Total</t>
  </si>
  <si>
    <t>French Total</t>
  </si>
  <si>
    <t>German Total</t>
  </si>
  <si>
    <t xml:space="preserve"> Japanese Total</t>
  </si>
  <si>
    <t>Korean Total</t>
  </si>
  <si>
    <t>Latin Total</t>
  </si>
  <si>
    <t>Spanish Total</t>
  </si>
  <si>
    <t>Vietnamese Total</t>
  </si>
  <si>
    <t>Other Total</t>
  </si>
  <si>
    <t xml:space="preserve">Sacramento </t>
  </si>
  <si>
    <t>Participating Districts Total</t>
  </si>
  <si>
    <t>Arabic Total</t>
  </si>
  <si>
    <t>Italian Total</t>
  </si>
  <si>
    <t xml:space="preserve">Pleasanton Unified </t>
  </si>
  <si>
    <t xml:space="preserve">San Leandro Unified </t>
  </si>
  <si>
    <t>Participating Districts</t>
  </si>
  <si>
    <t>Participating Schools</t>
  </si>
  <si>
    <t>Hmong Total</t>
  </si>
  <si>
    <t>Japanese Total</t>
  </si>
  <si>
    <t>Total: 1</t>
  </si>
  <si>
    <t>Total: 2</t>
  </si>
  <si>
    <t>Total: 4</t>
  </si>
  <si>
    <t>4</t>
  </si>
  <si>
    <t>Placentia-Yorba Linda Unified</t>
  </si>
  <si>
    <t>Saddleback Valley Unified</t>
  </si>
  <si>
    <t>Twin Rivers Unified</t>
  </si>
  <si>
    <t>Rialto Unified</t>
  </si>
  <si>
    <t>Tagalog (Filipino) Total</t>
  </si>
  <si>
    <t>Chinese Total</t>
  </si>
  <si>
    <t>Hebrew Total</t>
  </si>
  <si>
    <t>Armenian Total</t>
  </si>
  <si>
    <t>Portuguese Total</t>
  </si>
  <si>
    <t>Russian Total</t>
  </si>
  <si>
    <t>Total Seals per LEA</t>
  </si>
  <si>
    <t>Bengali Total</t>
  </si>
  <si>
    <t>Farsi (Persian) Total</t>
  </si>
  <si>
    <t>Hindi Total</t>
  </si>
  <si>
    <t>Punjabi Total</t>
  </si>
  <si>
    <t>Urdu Total</t>
  </si>
  <si>
    <t>3</t>
  </si>
  <si>
    <t>Valley View Elementary</t>
  </si>
  <si>
    <t>Dual Language School(s)</t>
  </si>
  <si>
    <t>Participating School(s)</t>
  </si>
  <si>
    <t>Program Model(s) Offered</t>
  </si>
  <si>
    <t>Dual-Language Immersion (Two-Way Immersion)</t>
  </si>
  <si>
    <t>Dual-Language Immersion (Two-Way Immersion), Development Bilingual, Structured English Immersion</t>
  </si>
  <si>
    <t>Biliteracy Pathway Recognitions Offered</t>
  </si>
  <si>
    <t>Biliteracy Program Participation Recognition</t>
  </si>
  <si>
    <t>0</t>
  </si>
  <si>
    <t>None</t>
  </si>
  <si>
    <t>Dual-Language Immersion (Two-Way immersion)</t>
  </si>
  <si>
    <t>El Rancho Unified School District</t>
  </si>
  <si>
    <t>Los Angeles Unified School District</t>
  </si>
  <si>
    <t>Mountain View School District</t>
  </si>
  <si>
    <t>Will Rogers Elementary; Cesar Chavez Middle School; Lynwood HS; Firebaugh HS, VIsta HS</t>
  </si>
  <si>
    <t>Willard F. Payne Elementary School</t>
  </si>
  <si>
    <t>Linda Verde School</t>
  </si>
  <si>
    <t>Burbank Unified School District</t>
  </si>
  <si>
    <t>Structured English Immersion</t>
  </si>
  <si>
    <t>Biliteracy Program Participation Recognition,  Biliteracy Attainment Recognition</t>
  </si>
  <si>
    <t>Biliteracy Attainment Recognition</t>
  </si>
  <si>
    <t>Dual-Language Immersion (Two-Way immersion), Foreign Language Elementary Experience (FLEX), Structured English Immersion</t>
  </si>
  <si>
    <t>1</t>
  </si>
  <si>
    <t>El Sol Sciece and Arts Academy</t>
  </si>
  <si>
    <t xml:space="preserve">Magnolia </t>
  </si>
  <si>
    <t>Dr. Peter Marshall Elementary</t>
  </si>
  <si>
    <t>Glenview Elementary School</t>
  </si>
  <si>
    <t>Sycamore Magnet Academy</t>
  </si>
  <si>
    <t>Home Language Development Recognition</t>
  </si>
  <si>
    <t>El Sol Science and Arts Academy</t>
  </si>
  <si>
    <t>Total: 3</t>
  </si>
  <si>
    <t>Robla</t>
  </si>
  <si>
    <t>Glenwood Elementary</t>
  </si>
  <si>
    <t>Foreign Language Elementary Experience (FLEX)</t>
  </si>
  <si>
    <t>Biliteracy Program Participation Recognition, Biliteracy Attainment Recognition</t>
  </si>
  <si>
    <t>Ontario-Montclair</t>
  </si>
  <si>
    <t>Leonardo da Vinci Health Sciences Charter School</t>
  </si>
  <si>
    <t>South Bay Union School District</t>
  </si>
  <si>
    <t>Encanto Elementary; Golden Hill Elementary; Language Academy; Sherman Elementary; Barnard Elementary, Language Academy, Longfellow Elementary, Juarez Elementary; Gage Spanish Immersion School; John Muir Language Academy; Tierrasanta Spanish Immersion School</t>
  </si>
  <si>
    <t>Nestor Language Academy Charter; Sunnyslope Elementary</t>
  </si>
  <si>
    <t>Dual-Language Immersion (Two-Way immersion), One-Way Immersion</t>
  </si>
  <si>
    <t>2</t>
  </si>
  <si>
    <t>Will Rogers Elementary</t>
  </si>
  <si>
    <t>7</t>
  </si>
  <si>
    <t>2022–23 Biliteracy Pathway Recognition: List of Participating Counties, Districts, and Schools</t>
  </si>
  <si>
    <t>Hayward Unified</t>
  </si>
  <si>
    <t>Burbank; Cherryland; Glassbrook; Harder; Longwood; Palma Ceia; Park; Schafer Park; Stonebrae;Tyrrell</t>
  </si>
  <si>
    <t>Dual-Language Immersion (Two-Way Immersion), Development Bilingual</t>
  </si>
  <si>
    <t>Bancroft Middle School; John Muir Middle School</t>
  </si>
  <si>
    <t>Contra Costa</t>
  </si>
  <si>
    <t>Antioch Unified</t>
  </si>
  <si>
    <t>Mount Diablo Unified</t>
  </si>
  <si>
    <t xml:space="preserve">Pittsburg Unified </t>
  </si>
  <si>
    <t>John Muir Elementary; Fremont Elementary</t>
  </si>
  <si>
    <t>Holbrook</t>
  </si>
  <si>
    <t>Foothill Elementary; Willow Cove Elementary; Hillview Junior High, Rancho Medanos Junior High</t>
  </si>
  <si>
    <t>Biliteracy Program Participation Recognition; Local Recognition</t>
  </si>
  <si>
    <t>Biliteracy Program Participation Recognition; Home Language Development Recognition; Biliteracy Attainment Recognition; Local Recognition</t>
  </si>
  <si>
    <t>Glenn</t>
  </si>
  <si>
    <t>Hamilton Elementary School</t>
  </si>
  <si>
    <t>Hamilton Unified</t>
  </si>
  <si>
    <t>Dual-Language Immersion (Two-Way immersion); Structured English Immersion</t>
  </si>
  <si>
    <t>Imperial</t>
  </si>
  <si>
    <t>Brawley Elementary School District</t>
  </si>
  <si>
    <t>J.W. Oakley Elementary School</t>
  </si>
  <si>
    <t>Biliteracy Program Participation Recognition; Home Language Development Recognition; Local Recognition</t>
  </si>
  <si>
    <t>Bakersfield City School District</t>
  </si>
  <si>
    <t>Walter W. Stiern; Marsa E. Voorhies; Caroline P. Harris</t>
  </si>
  <si>
    <t>Lake</t>
  </si>
  <si>
    <t>Lakeport Unified School District</t>
  </si>
  <si>
    <t>Lakeport Elementary School;Terrace Middle School;Clearlake High School;Lakeport Alternative Schools</t>
  </si>
  <si>
    <t>Biliteracy Attainment Recognition; Local Recognition</t>
  </si>
  <si>
    <t>Bassett Unified</t>
  </si>
  <si>
    <t>Monrovia Unified</t>
  </si>
  <si>
    <t>Montebello Unified</t>
  </si>
  <si>
    <t>Pomona Unified</t>
  </si>
  <si>
    <t>San Gabriel Unified</t>
  </si>
  <si>
    <t>Sunkist Elementary</t>
  </si>
  <si>
    <t>North Park Academy of the Arts; Rivera Middle School; STEAM Academy@Burke; South Ranchito Dual Language Academy</t>
  </si>
  <si>
    <t>South Ranchito Dual Language Academy</t>
  </si>
  <si>
    <t>Lancaster School District</t>
  </si>
  <si>
    <t>Dual-Language Immersion (Two-Way immersion); Development Bilingual; Structured English Immersion</t>
  </si>
  <si>
    <t>Bell Gardens Elementary; Winter Gardens Elementary; La Merced Academy; Montebello Intermediate</t>
  </si>
  <si>
    <t>Bell Gardens Elementary; Winter Gardens Elementary; La Merced Academy; Montebello Intermediate; Bell Gardens Intermediate; La Merced Intermediate; Bella Vista Elementary</t>
  </si>
  <si>
    <t>Garey High school</t>
  </si>
  <si>
    <t>Transitional Bilingual; Development Bilingual; Foreign Language in Elementary Schools (FLES)</t>
  </si>
  <si>
    <t>Jefferson Middle School; McKinley Elementary</t>
  </si>
  <si>
    <t>Madera</t>
  </si>
  <si>
    <t>Madera Unified School District</t>
  </si>
  <si>
    <t>Total: 10</t>
  </si>
  <si>
    <t>13</t>
  </si>
  <si>
    <t>James Madison Elementary; John Pershing Elementary; George Washington Elementary</t>
  </si>
  <si>
    <t>Anaheim Union High School District</t>
  </si>
  <si>
    <t>Dual-Language Immersion (Two-Way immersion); Transitional Bilingual; Development Bilingual; One-Way Immersion; Heritage Language or Indigenous Language; Native Speakers Courses; Structured English Immersion</t>
  </si>
  <si>
    <t>College Park Elementary; Whittier Elementary</t>
  </si>
  <si>
    <t>Dual-Language Immersion (Two-Way immersion); One-Way Immersion</t>
  </si>
  <si>
    <t>Orange County Department of Education</t>
  </si>
  <si>
    <t>Irvine International Academy</t>
  </si>
  <si>
    <t>Orange County Educational Arts Academy</t>
  </si>
  <si>
    <t xml:space="preserve">Dual-Language Immersion (Two-Way immersion), </t>
  </si>
  <si>
    <t>Gates DLI Elementary School; Los Alisos Intermediate School; Laguna Hills High School</t>
  </si>
  <si>
    <t>Gates DLI Elementary School</t>
  </si>
  <si>
    <t>Total: 9</t>
  </si>
  <si>
    <t>Brookhurst Junior High; Sycamore Junior High; Dale Junior high school</t>
  </si>
  <si>
    <t>21</t>
  </si>
  <si>
    <t>10</t>
  </si>
  <si>
    <t>Placer</t>
  </si>
  <si>
    <t>Western Placer Unified</t>
  </si>
  <si>
    <t>Creekside Oaks Elementary School; Lincoln High School</t>
  </si>
  <si>
    <t>Creekside Oaks Elementary School</t>
  </si>
  <si>
    <t>Hemet Unified</t>
  </si>
  <si>
    <t>San Jacinto Unified</t>
  </si>
  <si>
    <t>Hemet Dual Language Academy; Edward Hyatt World Language Academy</t>
  </si>
  <si>
    <t>San Jacinto Early Childhood Education Center; Clayton Record Elementary; De Anza Elementary; Estudillo Elementary; Edward Hyatt World Language Academy; Megan Cope Elementary; Park Hill Elementary; San Jacinto Elementary; Monte Vista Middle School; North Mountain Middle School; San Jacinto Leadership Academy; San Jacinto Technology Institute</t>
  </si>
  <si>
    <t>Edward Hyatt World Language Academy</t>
  </si>
  <si>
    <t>San Juan Unified</t>
  </si>
  <si>
    <t>Glenwood Elementary; Bell Ave.; Robla Preschool</t>
  </si>
  <si>
    <t>Thomas Edison Language Institute</t>
  </si>
  <si>
    <t>Las Palmas Elementary; Madison Elementary</t>
  </si>
  <si>
    <t>6</t>
  </si>
  <si>
    <t>Oro Grande Elementary</t>
  </si>
  <si>
    <t>San Bernardino City Unified</t>
  </si>
  <si>
    <t>Central Language Academy; Euclid Elementary School</t>
  </si>
  <si>
    <t>Biliteracy Program Participation Recognition; Home Language Development Recognition; Biliteracy Attainment Recognition</t>
  </si>
  <si>
    <t>Riverside Preparatory Middle School</t>
  </si>
  <si>
    <t>Arrowview Middle School</t>
  </si>
  <si>
    <t>Boyd Elementary; Garcia Elementary; Kelley Elementary; Morris Elementary</t>
  </si>
  <si>
    <t>Arrowview Middle School; Cesar E. Chavez Middle School; Curtis Middle School; Del Vallejo Leadership and STEAM Academy; Dr. Martin Luther King, Jr. Middle School; Richardson PREP HI Middle School; Rodriguez PREP Academy; Anton; Belvedere; Bing Wong; Oehl; Bradley; Brown; Cypress; Henry; Hillside; Jones; Lankershim; Lincoln</t>
  </si>
  <si>
    <t>Dual-Language Immersion (Two-Way immersion); Transitional Bilingual; Development Bilingual; Structured English Immersion; Foreign Language in Elementary Schools (FLES); Structured English Immersion; Trilingual Immersion</t>
  </si>
  <si>
    <t>Biliteracy Program Participation Recognition; Biliteracy Attainment Recognition</t>
  </si>
  <si>
    <t>Chula Vista Elementary</t>
  </si>
  <si>
    <t>Chula Vista Elementary SD</t>
  </si>
  <si>
    <t>Eastlake; Harborside;  Camarena; Clear View; Hedenkamp; Heritage; Loma Verde; Los Altos; Rice; Silver Wing; Valley Vista; Liberty; Muraoka; Salt Creek; Valle Lindo; Veterans</t>
  </si>
  <si>
    <t>Coronado Unified</t>
  </si>
  <si>
    <t>Dehesa</t>
  </si>
  <si>
    <t>Cabrillo Point Academy; Pacific Coast Academy</t>
  </si>
  <si>
    <t>Encinitas Union</t>
  </si>
  <si>
    <t>Capri Elementary School; Paul Ecke Central Elementary School</t>
  </si>
  <si>
    <t>Coronado Middle School; Village Elementary School; Silver Strand Elementary School</t>
  </si>
  <si>
    <t>King-Chavez Preparatory Academy</t>
  </si>
  <si>
    <t>Lakeside Union School District</t>
  </si>
  <si>
    <t>Winter Gardens; Lakeview; Riverview International Academy; Tierra del sol; Lakeside Middle</t>
  </si>
  <si>
    <t>Winter Gardens; Riverview International Academy</t>
  </si>
  <si>
    <t>Dual-Language Immersion (Two-Way immersion); One-Way Immersion; Structured English Immersion</t>
  </si>
  <si>
    <t>Ramona City Unified</t>
  </si>
  <si>
    <t>Mt. Woodson Elementary; Ramona Elementary; Olive Peirce Middle School</t>
  </si>
  <si>
    <t>John Adams Elementary; Balboa Elementary; Burbank Elementary;  Chavez Elementary ; Cherokee Point; Encanto Elem; Golden Hill Elem; Language Academy; Sherman Elem; Field Elementary; Kimbrough Elementary; Fay Elementary, Boone Elementary; Barnard Elementary, Language Academy, Longfellow Elementary, Juarez Elementary; Gage Spanish Immersion School; John Muir Language Academy; Tierrasanta Spanish Immersion School; Carson; Central Elementary; Edison; Hamilton Elementary; Linda Vista Elem; Rosa Parks Elementary</t>
  </si>
  <si>
    <t>Dual-Language Immersion (Two-Way immersion); Development Bilingual; One-Way Immersion</t>
  </si>
  <si>
    <t>San Marcos Unified</t>
  </si>
  <si>
    <t>Twin Oaks Elementary School</t>
  </si>
  <si>
    <t>Valley Center-Pauma Unified</t>
  </si>
  <si>
    <t>Lilac School; Valley Center Elementary; Valley Center Primary; Pauma Elementary; Valley Center Middle</t>
  </si>
  <si>
    <t>Grapevine Elementary ; Alamosa Park ; Hannalei Elementary</t>
  </si>
  <si>
    <t>San Joaquin</t>
  </si>
  <si>
    <t>Escalon Unified</t>
  </si>
  <si>
    <t>Collegeville Elementary School</t>
  </si>
  <si>
    <t>Biliteracy Program Participation Recognition;Local Recognition</t>
  </si>
  <si>
    <t>Lincoln Unified</t>
  </si>
  <si>
    <t>John R. Williams Elementary</t>
  </si>
  <si>
    <t>Ripon Unified</t>
  </si>
  <si>
    <t>Colony Oak; Ripon Elementary; Ripona; Park View</t>
  </si>
  <si>
    <t>Total: 13</t>
  </si>
  <si>
    <t>38</t>
  </si>
  <si>
    <t>San Mateo</t>
  </si>
  <si>
    <t>Ravenswood City School District</t>
  </si>
  <si>
    <t>Los Robles Ronald McNair Academy</t>
  </si>
  <si>
    <t>Crystal Springs Uplands School</t>
  </si>
  <si>
    <t>Foreign Language Middle School Experience</t>
  </si>
  <si>
    <t>Home Language Development Recognition; Biliteracy Attainment Recognition</t>
  </si>
  <si>
    <t>Home Language Development Recognition; Biliteracy Attainment Recognition; Local Recognition</t>
  </si>
  <si>
    <t>South San Francisco Unified School District</t>
  </si>
  <si>
    <t>Junipero Serra; Los Cerritos; Martin; Monte Verde; Ponderosa; Skyline; Spruce; Sunshine Gardens</t>
  </si>
  <si>
    <t>Guadalupe Union School District</t>
  </si>
  <si>
    <t>Mary Buren Elementary School; Kermit McKenzie Intermediate School</t>
  </si>
  <si>
    <t>Santa Cruz</t>
  </si>
  <si>
    <t>Shasta</t>
  </si>
  <si>
    <t>Grand Total: 22</t>
  </si>
  <si>
    <t>Alum Rock Union Elementary</t>
  </si>
  <si>
    <t>Cupertino Union</t>
  </si>
  <si>
    <t xml:space="preserve">Evergreen Elementary </t>
  </si>
  <si>
    <t>Morgan Hill Unified</t>
  </si>
  <si>
    <t xml:space="preserve">Oak Grove </t>
  </si>
  <si>
    <t xml:space="preserve">Sunnyvale </t>
  </si>
  <si>
    <t>Ben Painter Elementary School; Adelante Dual Language Academy 1; Adelante Dual Language Academy 2</t>
  </si>
  <si>
    <t>Miller Middle School; Muir Elementary School</t>
  </si>
  <si>
    <t>Muir Elementary School</t>
  </si>
  <si>
    <t>Holly Oak Elementary School</t>
  </si>
  <si>
    <t>San Martin Gwinn Environmental Science Academy</t>
  </si>
  <si>
    <t>Del Roble Two-Way Bilingual Immersion</t>
  </si>
  <si>
    <t>Biliteracy Program Participation Recognition; Biliteracy Attainment Recognition; Local Recognition</t>
  </si>
  <si>
    <t>San Miguel Elementary</t>
  </si>
  <si>
    <t>Biliteracy Program Participation Recognition;  Biliteracy Attainment Recognition</t>
  </si>
  <si>
    <t>Santa Cruz City Schools</t>
  </si>
  <si>
    <t>Santa Cruz Children's School; DeLaveaga Elementary</t>
  </si>
  <si>
    <t>DeLaveaga Elementary</t>
  </si>
  <si>
    <t>Dual-Language Immersion (Two-Way immersion); Foreign Language Elementary Experience (FLEX)</t>
  </si>
  <si>
    <t>Cascade Union Elementary School District</t>
  </si>
  <si>
    <t>Tree of Life International Charter School</t>
  </si>
  <si>
    <t>Conejo Valley Unified</t>
  </si>
  <si>
    <t>Conejo Elementary</t>
  </si>
  <si>
    <t>Washington Unified</t>
  </si>
  <si>
    <t>Woodland Joint Unified</t>
  </si>
  <si>
    <t>Elkhorn Village Elementary</t>
  </si>
  <si>
    <t>Elkhorn Village Elementary School</t>
  </si>
  <si>
    <t>Beamer Park Elem; Dingle Elem; Woodland Prairie Elem; Douglass MS; Lee MS; Pioneer HS; Freeman Elem</t>
  </si>
  <si>
    <t>Beamer Park Elementary; C.E. Dingle Elementary; Woodland Prairie Elementary</t>
  </si>
  <si>
    <t>8</t>
  </si>
  <si>
    <t>Dual-Language Immersion (Two-Way immersion); Native Speakers Courses; Structured English Immersion</t>
  </si>
  <si>
    <t>Recognitions Total</t>
  </si>
  <si>
    <t xml:space="preserve">Hemet Dual Language Academy; Acacia; Academy of Innovation; Dartmouth; Diamond Valley; Harmony Elementary; Hamilton High; Rancho Viejo;Ramona; Cawston; Bautista Creek Elementary; Cottonwood; Fruitvale Elementary; Hamilton; Hemet Elementary; Idyllwild; Jacob Wiens Elementary; Little Lake Elementary; McSweeny Elementary; Ramona Elementary; Valle Vista Elementary; Whittier Elementary; Winchester Elementary; Hemet High; Tahquitz High; West Valley High; Western Center Academy </t>
  </si>
  <si>
    <t>39</t>
  </si>
  <si>
    <t>26</t>
  </si>
  <si>
    <t>54</t>
  </si>
  <si>
    <t>Total: 6</t>
  </si>
  <si>
    <t>9</t>
  </si>
  <si>
    <t>Walt Disney Elementary School; William McKinley Elementary School; Dolores Huerta Middle School</t>
  </si>
  <si>
    <t>Ball; Brookhurst; Dale; Lexington; Orangeview, South; Sycamore; Walker; Oxford; CVA Junior High School's</t>
  </si>
  <si>
    <t>418</t>
  </si>
  <si>
    <t xml:space="preserve"> N.E.W. Academy of Science and Arts</t>
  </si>
  <si>
    <t>[Click and scroll for full list] Hoover Intergenerational Care Inc; N.E.W. Academy of Science and Arts; 95th St El; Alexander SCS; 32nd St USC PA Mag; Normandie Ave El; 52nd St El; 61st St El; Mack El; Barrett El; Audubon MS; Hillcrest Dr El; 42nd St El; Woodcrest El; King Jr El; Vermont Ave El; Menlo Ave El; La Salle Ave El; Poindexter LaMotte El; Century Park El; Gulf Ave El; Washington PC; 24th St El; 74th St El; 6th Ave El; Cochran MS; Castle Hts El; Marlton School; LACES Mag; Queen Anne Pl El; GAL King Sch for STEM; Marvin El; Wilton Pl El; Cienega El; Alta Loma El; Wilshire Crest El; Carson-Gore Academy; Canfield Ave El; 54th St El; Arlington Hts El; Virginia Rd El; Overland Ave El; Bright El; Wilshire Park El; Charnock Road El; Shenandoah St El; Clover Ave El; Carthay El ES Mag; Crescent Hts Bl El Mg; VA Computer Science; VA LDSRP &amp; Pub Srvc; Harrison St El; El Sereno MS; Humphreys Ave El; Eastman Ave El; Griffith MS STEAM Mg; Logan Academy; MacArthur Pk El VAPA; Gratts LA for YS; Euclid Ave El; Nightingale MS; Huntington Dr El; Ford Blvd El; Gates St El; Aldama El; City Terrace El; Castelar St El; Loreto St El; Bushnell Way El; Farmdale El; 1st St El; Del Olmo El; Alexandria Ave El; Garza PC; Brooklyn School; Sheridan St El; Malabar St El; 4th St PC; Marianna Ave El; Buchanan St El; Lee El Med Hlth Mag; Lane El; Olympic PC; Riordan PC; Latona Ave El; Lake St Primary; White El; Lafayette Park PC; Sierra Park El; Plasencia El; King MS Mag Flm/Mdia; Los Feliz STEMM Mag; Lexington Ave PC; VA STEAM; Nobel CMS; Van Nuys El; Cardenas El; Columbus Ave El; Frost MS; Cohasset St El; Porter MS; Holmes MS; Lemay St El; Reed MS; Mulholland MS; Hazeltine Ave El; Nevada Ave El; Burbank Blvd El; Justice St Acad Chtr; Henry MS; Haynes CES; Melvin Ave El; Parthenia Ac Art Tec; Vintage El M/S/T Mag; Sylvan Park El; Sherman Oaks El CS; Balboa El G/HG/HA Mag; Kester Ave El; Porter Ranch School; Chandler El; Colfax CEl; Lawrence MS; Hale CA; Beckford CES; Carpenter Comm Chtr; Lockhurst Dr CEl; Napa St El; Canoga Park El; Limerick Ave El; Andasol Ave El; Stagg St El; Sunny Brae Ave El; Cantara St El; Haskell El STEAM Mag; Topeka Dr CAS; Dearborn El CA; Calabash CA; Danube Ave El; Woodlake ECC; Dixie Cyn CC; Acad Enrich Sci Mag; Darby Ave El; Mayall St Ac A/T Mag; Hart St El; Castlebay Ln Chtr; Knollwood Prep Acad; El Oro Way CES; Germain Acad AA; Chatsworth UP/CD Mag; Welby Way CEl; Woodland Hills Acad; Portola CM; Reseda Charter HS; Sutter MS; SOCES Mag; Mosk El; Bertrand Ave El; Fullbright Ave El; Serrania Ave CES; Woodland Hills CES; Shirley Ave El; Emelita St El; Calvert CES; Wilbur CEA; Hesby Oaks Lead Chtr; Vanalden Ave El; Reseda El; Encino CEl; Newcastle El; Nestle Ave Charter; Bancroft MS; Broadway El; Grand Vw Bl El; Mark Twain MS; Braddock Dr El; 3rd St El; Stoner Ave El; Richland Ave El; Community El Mag CS; Westminster MTES Mag; Cowan Ave El; Fairburn Ave El; Webster MS; Melrose Ave El M/S Mg; Mar Vista El; Revere CMS; Van Ness Ave El; Vine St El; Beethoven St El; Open Charter Mag; Westwood CEl; Sterry El; Kentwood El; Playa Del Rey El; Kenter Canyon EC; Coeur D Alene Ave El; Playa Vista El; Roscomare Rd El; Rosewood UP/UD Mag; Southeast MS; Fishburn Ave El; Miles Ave El; South Gate MS; MaCES Mag; Walnut Park El; 28th St El; Ochoa LC; Roybal-Allard El; Gage MS; Tweedy El; Woodlawn Ave El; Adams MS; International St LC; Huntngtn Pk El; San Miguel El; 20th St El; Independence El; Montara Ave El; Walnut Park MS STEM; Heliotrope Ave El; Hooper Ave El; Willow El; Eagle Rock HS; Ascot Ave El; Park Ave El; Liberty Blvd El; Lizarraga El; Maple PC; Pacific Blvd School; Middleton St PC; Loma Vista El; Eagle Rock El; Stanford Ave El; Harmony El; Hooper Ave PC; San Gabriel Ave El; Stanford Ave PC; Annandale El; Wadsworth Ave El; Madison El; Escutia PC; Dahlia Hts El; Berendo MS; Hobart Blvd El; Cahuenga El; Sotomayor Art/Sci Mag; RFK New Open Wld; Kim Academy; Micheltorena St El; RFK Ambsdr Glbl Edu; Le Conte MS; Kingsley El; RFK Ambsdr Glbl Ldsh; Grant El; Magnolia Ave El; Mayberry St El; Kim El; RFK UCLA Comm Sch; Atwater Ave El; Harvard El; Mariposa-Nabi PC; Fletcher Dr El; Hollywood El; Ramona El; Elysian Hts Arts Mag; Clifford St M/T Mag; Korenstein El; Burton St El; Maclay MS; Coldwater Cyn El; Madison MS; Vista MS; Science Ac STEM Mag; Noble Ave El; Saticoy El; Pacoima MS; Gridley St El; Fair Ave El; Erwin El; Dyer St El; Herrick Ave El; Sepulveda MS; Fernangeles El; San Fernando El; Arminta St El; Vista del Valle Acad; Rio Vista El; Monlux El; Olive Vista MS; Mountain View El; Sendak El; Fulton College Prep; San Fernando MS; Haddon Ave El; El Dorado Ave El; Kittridge St El; Camellia Ave El; Plummer El; Oxnard St El; Apperson St El; Pinewood Ave El; Santana Art Ac; Beachy Ave El; Broadous El; Coughlin El; Victory Blvd El; Obama El; Mount Gleason MS; Telfair Ave El; Primary Academy; Roscoe El; Parks LC; Lassen El; Ranchito Ave El; Valerio St El; Strathern St El; Chase St El; Vena Ave El; Gledhill St El; Stonehurst STEAM Mag; Osceola St El; Liggett St El; Harding St El; Alta California El; Hubbard St El; Toluca Lake El; Bellingham El; San Jose St El; VA IntStudies Wld Lg; Los Angeles Acad MS; Florence Ave El; Aurora El; Edison MS; Bethune MS; Curtiss MS; 75th St El; Miramonte El; Baca Arts Acad; Dodson MS; McKinley Ave El; 92nd St El; Markham MS; Dominguez El; Park Wstn Pl El; Fleming MS; President Ave El; Gompers MS; Barton Hill El; Denker Ave El; Ambler Ave El; Crestwood St STEAM Mg; De la Torre Jr El; 116th St El; 93rd St El; Drew MS; Parmelee Ave El; 153rd St El; White MS; Carnegie MS; Bandini St El; Taper Ave El; 135th St El; Meyler St El; Weigand Ave El; Lomita El M/S/T Mag; South Park El; Gardena El; 112th St El; Del Amo El; 66th St El; Normont El; Fries Ave El; Chapman El; Graham El; 122nd St El; 96th St El; 118th St El; Broad Ave El; 186th St El; Wilmington STEAM Mag; Moore M/S/T Acad; Harbor City El; Wisdom El; Amestoy El; 15th St El; Towne Ave El; Catskill Ave El; Cabrillo Ave El; 109th St El; Caroldale LC; Carson St El; Russell El; Pt Fermin El Mr/S Mg; Broadacres Av El; South Shores El PA Mg; VA Arts &amp; Entmt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</si>
</sst>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27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6" fillId="0" borderId="1" xfId="3"/>
    <xf numFmtId="3" fontId="0" fillId="0" borderId="0" xfId="0" applyNumberForma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6" fillId="0" borderId="1" xfId="3" applyAlignment="1">
      <alignment wrapText="1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vertical="center" wrapText="1"/>
    </xf>
    <xf numFmtId="3" fontId="0" fillId="0" borderId="9" xfId="0" applyNumberFormat="1" applyBorder="1" applyAlignment="1">
      <alignment horizontal="right"/>
    </xf>
    <xf numFmtId="0" fontId="0" fillId="33" borderId="0" xfId="0" applyFill="1" applyAlignment="1">
      <alignment wrapText="1"/>
    </xf>
    <xf numFmtId="0" fontId="0" fillId="0" borderId="0" xfId="0" applyAlignment="1">
      <alignment horizontal="right" vertical="center" wrapText="1"/>
    </xf>
    <xf numFmtId="0" fontId="0" fillId="34" borderId="0" xfId="0" applyFill="1" applyAlignment="1">
      <alignment horizontal="right" vertical="center" wrapText="1"/>
    </xf>
    <xf numFmtId="0" fontId="0" fillId="35" borderId="0" xfId="0" applyFill="1" applyAlignment="1">
      <alignment horizontal="right"/>
    </xf>
    <xf numFmtId="0" fontId="0" fillId="34" borderId="0" xfId="0" applyFill="1" applyAlignment="1">
      <alignment horizontal="right" wrapText="1"/>
    </xf>
    <xf numFmtId="0" fontId="0" fillId="34" borderId="0" xfId="0" applyFill="1" applyAlignment="1">
      <alignment horizontal="right" vertical="center"/>
    </xf>
    <xf numFmtId="0" fontId="0" fillId="34" borderId="0" xfId="0" applyFill="1"/>
    <xf numFmtId="0" fontId="0" fillId="36" borderId="0" xfId="0" applyFill="1" applyAlignment="1">
      <alignment horizontal="right" wrapText="1"/>
    </xf>
    <xf numFmtId="3" fontId="0" fillId="0" borderId="0" xfId="0" applyNumberFormat="1" applyAlignment="1">
      <alignment horizontal="right"/>
    </xf>
    <xf numFmtId="17" fontId="0" fillId="0" borderId="0" xfId="0" applyNumberFormat="1"/>
    <xf numFmtId="0" fontId="0" fillId="33" borderId="0" xfId="0" applyFill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theme="2" tint="-9.9978637043366805E-2"/>
        </patternFill>
      </fill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0" displayName="Table30" ref="A4:Z27" totalsRowCount="1" headerRowDxfId="1325">
  <autoFilter ref="A4:Z26" xr:uid="{00000000-0009-0000-0100-000003000000}"/>
  <tableColumns count="26">
    <tableColumn id="1" xr3:uid="{00000000-0010-0000-0000-000001000000}" name="Participating Counties" totalsRowLabel="Grand Total: 22"/>
    <tableColumn id="14" xr3:uid="{00000000-0010-0000-0000-00000E000000}" name="Participating Districts Total" totalsRowFunction="sum" dataDxfId="1324" totalsRowDxfId="1323"/>
    <tableColumn id="2" xr3:uid="{00000000-0010-0000-0000-000002000000}" name="Participating Schools Total" totalsRowFunction="sum" dataDxfId="1322" totalsRowDxfId="1321"/>
    <tableColumn id="3" xr3:uid="{00000000-0010-0000-0000-000003000000}" name="American Sign Language Total" totalsRowFunction="sum" dataDxfId="1320" totalsRowDxfId="1319"/>
    <tableColumn id="16" xr3:uid="{00000000-0010-0000-0000-000010000000}" name="Arabic Total" totalsRowFunction="custom" dataDxfId="1318" totalsRowDxfId="1317">
      <totalsRowFormula>SUM(Table30[Arabic Total])</totalsRowFormula>
    </tableColumn>
    <tableColumn id="4" xr3:uid="{00000000-0010-0000-0000-000004000000}" name="Armenian Total" totalsRowFunction="custom" dataDxfId="1316" totalsRowDxfId="1315">
      <totalsRowFormula>SUM(Table30[Armenian Total])</totalsRowFormula>
    </tableColumn>
    <tableColumn id="25" xr3:uid="{2ABA664A-E8B0-4D22-8437-B4C70F95B82A}" name="Bengali Total" totalsRowFunction="sum" dataDxfId="1314" totalsRowDxfId="1313"/>
    <tableColumn id="20" xr3:uid="{A914807D-E889-483A-ADDF-BE02EB53BF33}" name="Chinese Total" totalsRowFunction="sum" dataDxfId="1312" totalsRowDxfId="1311"/>
    <tableColumn id="26" xr3:uid="{FD98A12A-0143-4242-81A3-34C677FE4A71}" name="Farsi (Persian) Total" totalsRowFunction="sum" dataDxfId="1310" totalsRowDxfId="1309"/>
    <tableColumn id="5" xr3:uid="{00000000-0010-0000-0000-000005000000}" name="French Total" totalsRowFunction="custom" dataDxfId="1308" totalsRowDxfId="1307">
      <totalsRowFormula>SUM(Table30[French Total])</totalsRowFormula>
    </tableColumn>
    <tableColumn id="6" xr3:uid="{00000000-0010-0000-0000-000006000000}" name="German Total" totalsRowFunction="custom" dataDxfId="1306" totalsRowDxfId="1305">
      <totalsRowFormula>SUM(Table30[German Total])</totalsRowFormula>
    </tableColumn>
    <tableColumn id="21" xr3:uid="{19C03BA0-B38D-45F2-A2EC-57BEF06FBF1E}" name="Hebrew Total" totalsRowFunction="sum" dataDxfId="1304" totalsRowDxfId="1303"/>
    <tableColumn id="27" xr3:uid="{ADEA0ECF-F7AA-4A76-8A5B-51ACF45FB2EB}" name="Hindi Total" totalsRowFunction="sum" dataDxfId="1302" totalsRowDxfId="1301"/>
    <tableColumn id="19" xr3:uid="{00000000-0010-0000-0000-000013000000}" name="Hmong Total" totalsRowFunction="sum" dataDxfId="1300" totalsRowDxfId="1299"/>
    <tableColumn id="17" xr3:uid="{00000000-0010-0000-0000-000011000000}" name="Italian Total" totalsRowFunction="custom" dataDxfId="1298" totalsRowDxfId="1297">
      <totalsRowFormula>SUM(Table30[Italian Total])</totalsRowFormula>
    </tableColumn>
    <tableColumn id="7" xr3:uid="{00000000-0010-0000-0000-000007000000}" name=" Japanese Total" totalsRowFunction="custom" dataDxfId="1296" totalsRowDxfId="1295">
      <totalsRowFormula>SUM(Table30[[ Japanese Total]])</totalsRowFormula>
    </tableColumn>
    <tableColumn id="8" xr3:uid="{00000000-0010-0000-0000-000008000000}" name="Korean Total" totalsRowFunction="custom" dataDxfId="1294" totalsRowDxfId="1293">
      <totalsRowFormula>SUM(Table30[Korean Total])</totalsRowFormula>
    </tableColumn>
    <tableColumn id="10" xr3:uid="{00000000-0010-0000-0000-00000A000000}" name="Portuguese Total" totalsRowFunction="custom" dataDxfId="1292" totalsRowDxfId="1291">
      <totalsRowFormula>SUM(Table30[Portuguese Total])</totalsRowFormula>
    </tableColumn>
    <tableColumn id="28" xr3:uid="{D9DD0500-AD4F-48AB-89A0-C0974236759F}" name="Punjabi Total" totalsRowFunction="sum" dataDxfId="1290" totalsRowDxfId="1289"/>
    <tableColumn id="22" xr3:uid="{B88E38BA-52D9-417F-8881-4CB801534474}" name="Russian Total" totalsRowFunction="sum" dataDxfId="1288" totalsRowDxfId="1287"/>
    <tableColumn id="11" xr3:uid="{00000000-0010-0000-0000-00000B000000}" name="Spanish Total" totalsRowFunction="custom" dataDxfId="1286" totalsRowDxfId="1285">
      <totalsRowFormula>SUM(Table30[Spanish Total])</totalsRowFormula>
    </tableColumn>
    <tableColumn id="18" xr3:uid="{00000000-0010-0000-0000-000012000000}" name="Tagalog (Filipino) Total" totalsRowFunction="custom" dataDxfId="1284" totalsRowDxfId="1283">
      <totalsRowFormula>SUM(Table30[Tagalog (Filipino) Total])</totalsRowFormula>
    </tableColumn>
    <tableColumn id="29" xr3:uid="{D65FAEDB-F328-4F66-A9FD-0B2D132FF5A0}" name="Urdu Total" totalsRowFunction="sum" dataDxfId="1282" totalsRowDxfId="1281"/>
    <tableColumn id="12" xr3:uid="{00000000-0010-0000-0000-00000C000000}" name="Vietnamese Total" totalsRowFunction="custom" dataDxfId="1280" totalsRowDxfId="1279">
      <totalsRowFormula>SUM(Table30[Vietnamese Total])</totalsRowFormula>
    </tableColumn>
    <tableColumn id="13" xr3:uid="{00000000-0010-0000-0000-00000D000000}" name="Other Total" totalsRowFunction="custom" dataDxfId="1278" totalsRowDxfId="1277">
      <totalsRowFormula>SUM(Table30[Other Total])</totalsRowFormula>
    </tableColumn>
    <tableColumn id="15" xr3:uid="{00000000-0010-0000-0000-00000F000000}" name="Recognitions Total" totalsRowFunction="custom" dataDxfId="1276" totalsRowDxfId="1275">
      <calculatedColumnFormula>SUM(Table30[[#This Row],[American Sign Language Total]:[Other Total]])</calculatedColumnFormula>
      <totalsRowFormula>SUM(Table30[Recognitions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2-23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Orange" displayName="Orange" ref="A2:AB12" totalsRowCount="1" headerRowDxfId="818" dataDxfId="817">
  <autoFilter ref="A2:AB11" xr:uid="{00000000-0009-0000-0100-00001C000000}"/>
  <tableColumns count="28">
    <tableColumn id="1" xr3:uid="{00000000-0010-0000-1A00-000001000000}" name="Participating Districts" totalsRowLabel="Total: 9" dataDxfId="816"/>
    <tableColumn id="2" xr3:uid="{00000000-0010-0000-1A00-000002000000}" name="Participating Schools" totalsRowLabel="21" dataDxfId="815" totalsRowDxfId="814"/>
    <tableColumn id="29" xr3:uid="{F9BC4367-5A93-49FB-B6CE-33B1D4353EF5}" name="Dual Language School(s)" totalsRowLabel="10" dataDxfId="813" totalsRowDxfId="812"/>
    <tableColumn id="28" xr3:uid="{C3A9841F-63F4-4A33-B62C-618C08BF7F27}" name="Program Model(s) Offered" dataDxfId="811" totalsRowDxfId="810"/>
    <tableColumn id="27" xr3:uid="{577A68A2-CC24-4880-A682-853621D9E4F8}" name="Biliteracy Pathway Recognitions Offered" dataDxfId="809" totalsRowDxfId="808"/>
    <tableColumn id="3" xr3:uid="{00000000-0010-0000-1A00-000003000000}" name="American Sign Language Total" totalsRowFunction="sum" dataDxfId="807" totalsRowDxfId="806"/>
    <tableColumn id="4" xr3:uid="{00000000-0010-0000-1A00-000004000000}" name="Arabic Total" totalsRowFunction="sum" dataDxfId="805" totalsRowDxfId="804"/>
    <tableColumn id="5" xr3:uid="{00000000-0010-0000-1A00-000005000000}" name="Armenian Total" totalsRowFunction="sum" dataDxfId="803" totalsRowDxfId="802"/>
    <tableColumn id="22" xr3:uid="{BEC5B8F8-0052-4540-8B1F-97F0070100C7}" name="Bengali Total" totalsRowFunction="sum" dataDxfId="801" totalsRowDxfId="800"/>
    <tableColumn id="18" xr3:uid="{8223933F-D118-438E-910B-279B6408CF7B}" name="Chinese Total" totalsRowFunction="sum" dataDxfId="799" totalsRowDxfId="798"/>
    <tableColumn id="23" xr3:uid="{B3AF8C8D-6436-4FD1-9551-AD022BAA54B2}" name="Farsi (Persian) Total" totalsRowFunction="sum" dataDxfId="797" totalsRowDxfId="796"/>
    <tableColumn id="6" xr3:uid="{00000000-0010-0000-1A00-000006000000}" name="French Total" totalsRowFunction="sum" dataDxfId="795" totalsRowDxfId="794"/>
    <tableColumn id="7" xr3:uid="{00000000-0010-0000-1A00-000007000000}" name="German Total" totalsRowFunction="sum" dataDxfId="793" totalsRowDxfId="792"/>
    <tableColumn id="19" xr3:uid="{4D6FD13B-B658-4F71-A61A-1DB91BD88B21}" name="Hebrew Total" totalsRowFunction="sum" dataDxfId="791" totalsRowDxfId="790"/>
    <tableColumn id="24" xr3:uid="{28A278E2-4E02-4ECC-9C26-A547F610F6EA}" name="Hindi Total" totalsRowFunction="sum" dataDxfId="789" totalsRowDxfId="788"/>
    <tableColumn id="8" xr3:uid="{00000000-0010-0000-1A00-000008000000}" name="Hmong Total" totalsRowFunction="sum" dataDxfId="787" totalsRowDxfId="786"/>
    <tableColumn id="9" xr3:uid="{00000000-0010-0000-1A00-000009000000}" name="Italian Total" totalsRowFunction="sum" dataDxfId="785" totalsRowDxfId="784"/>
    <tableColumn id="10" xr3:uid="{00000000-0010-0000-1A00-00000A000000}" name="Japanese Total" totalsRowFunction="sum" dataDxfId="783" totalsRowDxfId="782"/>
    <tableColumn id="11" xr3:uid="{00000000-0010-0000-1A00-00000B000000}" name="Korean Total" totalsRowFunction="sum" dataDxfId="781" totalsRowDxfId="780"/>
    <tableColumn id="13" xr3:uid="{00000000-0010-0000-1A00-00000D000000}" name="Portuguese Total" totalsRowFunction="sum" dataDxfId="779" totalsRowDxfId="778"/>
    <tableColumn id="25" xr3:uid="{B8AFE11C-E726-4232-B6B1-688BB21ADE88}" name="Punjabi Total" totalsRowFunction="sum" dataDxfId="777" totalsRowDxfId="776"/>
    <tableColumn id="20" xr3:uid="{E22B6DF9-A50D-4738-946C-611C4C7AB73C}" name="Russian Total" totalsRowFunction="sum" dataDxfId="775" totalsRowDxfId="774"/>
    <tableColumn id="14" xr3:uid="{00000000-0010-0000-1A00-00000E000000}" name="Spanish Total" totalsRowFunction="sum" dataDxfId="773" totalsRowDxfId="772"/>
    <tableColumn id="15" xr3:uid="{00000000-0010-0000-1A00-00000F000000}" name="Tagalog (Filipino) Total" totalsRowFunction="sum" dataDxfId="771" totalsRowDxfId="770"/>
    <tableColumn id="26" xr3:uid="{C4719311-8D6C-49F9-B6A6-CF5077CBDCCD}" name="Urdu Total" totalsRowFunction="sum" dataDxfId="769" totalsRowDxfId="768"/>
    <tableColumn id="16" xr3:uid="{00000000-0010-0000-1A00-000010000000}" name="Vietnamese Total" totalsRowFunction="sum" dataDxfId="767" totalsRowDxfId="766"/>
    <tableColumn id="17" xr3:uid="{00000000-0010-0000-1A00-000011000000}" name="Other Total" totalsRowFunction="sum" dataDxfId="765" totalsRowDxfId="764"/>
    <tableColumn id="21" xr3:uid="{3248FBB5-5A9A-4D33-9291-32757DD2C77C}" name="Total Seals per LEA" totalsRowFunction="sum" dataDxfId="763" totalsRowDxfId="762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Orange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EF58FB-3730-478A-893C-11C9A7E31C2C}" name="Orange8" displayName="Orange8" ref="A2:AB4" totalsRowCount="1" headerRowDxfId="761" dataDxfId="760">
  <autoFilter ref="A2:AB3" xr:uid="{0DEF58FB-3730-478A-893C-11C9A7E31C2C}"/>
  <tableColumns count="28">
    <tableColumn id="1" xr3:uid="{05164AC4-9028-429C-BA8C-867E883EE858}" name="Participating Districts" totalsRowLabel="Total: 1" dataDxfId="759"/>
    <tableColumn id="2" xr3:uid="{6F06C643-0341-4C6F-93E8-53CDBE36D3E1}" name="Participating Schools" totalsRowLabel="2" dataDxfId="758" totalsRowDxfId="757"/>
    <tableColumn id="29" xr3:uid="{50221456-3C91-423B-8E06-80A0AF399593}" name="Dual Language School(s)" totalsRowLabel="1" dataDxfId="756" totalsRowDxfId="755"/>
    <tableColumn id="28" xr3:uid="{E1815FE7-CBEA-43AC-A44B-96EB07DAD6CB}" name="Program Model(s) Offered" dataDxfId="754" totalsRowDxfId="753"/>
    <tableColumn id="27" xr3:uid="{987478C8-B9C5-4649-8FFF-29897EFE768C}" name="Biliteracy Pathway Recognitions Offered" dataDxfId="752" totalsRowDxfId="751"/>
    <tableColumn id="3" xr3:uid="{5F08CE48-1D86-4D64-8E8D-02A0396CC80B}" name="American Sign Language Total" totalsRowFunction="sum" dataDxfId="750" totalsRowDxfId="749"/>
    <tableColumn id="4" xr3:uid="{F4FF694F-0057-4217-8C3E-EEBF5ADEEEE6}" name="Arabic Total" totalsRowFunction="sum" dataDxfId="748" totalsRowDxfId="747"/>
    <tableColumn id="5" xr3:uid="{E9E5F1B6-6E3C-4231-A103-C5299A5AC78B}" name="Armenian Total" totalsRowFunction="sum" dataDxfId="746" totalsRowDxfId="745"/>
    <tableColumn id="22" xr3:uid="{DA278812-4546-4640-BF97-B2DBDC2FB345}" name="Bengali Total" totalsRowFunction="sum" dataDxfId="744" totalsRowDxfId="743"/>
    <tableColumn id="18" xr3:uid="{D85074F0-126F-4C79-85ED-ECABF67066DB}" name="Chinese Total" totalsRowFunction="sum" dataDxfId="742" totalsRowDxfId="741"/>
    <tableColumn id="23" xr3:uid="{49FFD5AD-8BF1-4E76-8953-1F1B3D111C23}" name="Farsi (Persian) Total" totalsRowFunction="sum" dataDxfId="740" totalsRowDxfId="739"/>
    <tableColumn id="6" xr3:uid="{11589AE3-9E5C-4914-91A6-1C658059FE35}" name="French Total" totalsRowFunction="sum" dataDxfId="738" totalsRowDxfId="737"/>
    <tableColumn id="7" xr3:uid="{143AABF6-A085-4E4F-AC35-2F2E219A37A0}" name="German Total" totalsRowFunction="sum" dataDxfId="736" totalsRowDxfId="735"/>
    <tableColumn id="19" xr3:uid="{959F4887-C8BA-4367-87C6-F6586615D55F}" name="Hebrew Total" totalsRowFunction="sum" dataDxfId="734" totalsRowDxfId="733"/>
    <tableColumn id="24" xr3:uid="{5677E929-E591-4CE2-A0D7-14F3D436F43F}" name="Hindi Total" totalsRowFunction="sum" dataDxfId="732" totalsRowDxfId="731"/>
    <tableColumn id="8" xr3:uid="{DC03E1CD-A8E0-4AF5-9D9E-2730B8415152}" name="Hmong Total" totalsRowFunction="sum" dataDxfId="730" totalsRowDxfId="729"/>
    <tableColumn id="9" xr3:uid="{467B82CD-00EC-48C7-95C9-A90A9747EB70}" name="Italian Total" totalsRowFunction="sum" dataDxfId="728" totalsRowDxfId="727"/>
    <tableColumn id="10" xr3:uid="{2D84840F-4820-4658-8D3E-C992314F1CAA}" name="Japanese Total" totalsRowFunction="sum" dataDxfId="726" totalsRowDxfId="725"/>
    <tableColumn id="11" xr3:uid="{17D365B7-BDD6-4DD4-90B7-0C801E2723D8}" name="Korean Total" totalsRowFunction="sum" dataDxfId="724" totalsRowDxfId="723"/>
    <tableColumn id="13" xr3:uid="{53BA78AA-C6FD-4BEE-AF0E-A19884543D6D}" name="Portuguese Total" totalsRowFunction="sum" dataDxfId="722" totalsRowDxfId="721"/>
    <tableColumn id="25" xr3:uid="{31DC08BB-228F-4E45-817C-8B64DBF00AFF}" name="Punjabi Total" totalsRowFunction="sum" dataDxfId="720" totalsRowDxfId="719"/>
    <tableColumn id="20" xr3:uid="{17EF1FFE-3E54-445C-93F0-7EFCD535190E}" name="Russian Total" totalsRowFunction="sum" dataDxfId="718" totalsRowDxfId="717"/>
    <tableColumn id="14" xr3:uid="{25344C80-C1E2-4F80-A190-ED59A0C1CE55}" name="Spanish Total" totalsRowFunction="sum" dataDxfId="716" totalsRowDxfId="715"/>
    <tableColumn id="15" xr3:uid="{D8C34C8A-C66B-4434-9576-7E20045FCE05}" name="Tagalog (Filipino) Total" totalsRowFunction="sum" dataDxfId="714" totalsRowDxfId="713"/>
    <tableColumn id="26" xr3:uid="{12694457-03FC-4541-AAAB-3AB490531EAD}" name="Urdu Total" totalsRowFunction="sum" dataDxfId="712" totalsRowDxfId="711"/>
    <tableColumn id="16" xr3:uid="{BDABBCC2-19B1-4C5C-AB0C-61E94610E8F9}" name="Vietnamese Total" totalsRowFunction="sum" dataDxfId="710" totalsRowDxfId="709"/>
    <tableColumn id="17" xr3:uid="{3F936F61-2D77-440B-A969-3C1AFA7B190D}" name="Other Total" totalsRowFunction="sum" dataDxfId="708" totalsRowDxfId="707"/>
    <tableColumn id="21" xr3:uid="{DFD2775F-E7AF-43A1-BDF6-4AA71FB040BA}" name="Total Seals per LEA" totalsRowFunction="sum" dataDxfId="706" totalsRowDxfId="705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Placer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96B7B67-19B0-48DC-BEA3-26339CF84C45}" name="Riverside" displayName="Riverside" ref="A2:AB5" totalsRowCount="1" headerRowDxfId="704" dataDxfId="703">
  <autoFilter ref="A2:AB4" xr:uid="{00000000-0009-0000-0100-00001C000000}"/>
  <tableColumns count="28">
    <tableColumn id="1" xr3:uid="{9340B01F-1A05-4E5D-BB2A-EC4B6893D9E2}" name="Participating Districts" totalsRowLabel="Total: 2" dataDxfId="702"/>
    <tableColumn id="2" xr3:uid="{441E0BBE-F327-4251-8696-B926BE90B295}" name="Participating Schools" totalsRowLabel="39" dataDxfId="701" totalsRowDxfId="700"/>
    <tableColumn id="29" xr3:uid="{4B59165D-96A4-4C72-93DD-2811384C5FA2}" name="Dual Language School(s)" totalsRowLabel="3" totalsRowDxfId="699"/>
    <tableColumn id="28" xr3:uid="{8F333E9C-7024-412B-9D9F-0889AEF0B46C}" name="Program Model(s) Offered" totalsRowDxfId="698"/>
    <tableColumn id="27" xr3:uid="{4AADC0BC-2B69-4742-A84D-1AAE9E0932C3}" name="Biliteracy Pathway Recognitions Offered" totalsRowDxfId="697"/>
    <tableColumn id="3" xr3:uid="{46814A71-10E0-4E2F-A2AF-A34AB67FFBA3}" name="American Sign Language Total" totalsRowFunction="sum" dataDxfId="696" totalsRowDxfId="695"/>
    <tableColumn id="4" xr3:uid="{C9996DB7-08C0-4107-AE75-B6E20064D5A1}" name="Arabic Total" totalsRowFunction="sum" dataDxfId="694" totalsRowDxfId="693"/>
    <tableColumn id="5" xr3:uid="{90DA33C4-141D-4B99-91EF-11A25A48E409}" name="Armenian Total" totalsRowFunction="sum" dataDxfId="692" totalsRowDxfId="691"/>
    <tableColumn id="22" xr3:uid="{18154CC8-3CBF-4191-AA48-E85B381D83AB}" name="Bengali Total" totalsRowFunction="sum" dataDxfId="690" totalsRowDxfId="689"/>
    <tableColumn id="18" xr3:uid="{90C9E0BF-535C-4084-B04D-B12980533972}" name="Chinese Total" totalsRowFunction="sum" dataDxfId="688" totalsRowDxfId="687"/>
    <tableColumn id="23" xr3:uid="{1D279E02-F60A-4F44-B69A-1515D46585AE}" name="Farsi (Persian) Total" totalsRowFunction="sum" dataDxfId="686" totalsRowDxfId="685"/>
    <tableColumn id="6" xr3:uid="{D1E08C2F-2641-45AD-BD57-E678C3230743}" name="French Total" totalsRowFunction="sum" dataDxfId="684" totalsRowDxfId="683"/>
    <tableColumn id="7" xr3:uid="{33F4AE9C-8556-415C-8882-5F3D7EC36C37}" name="German Total" totalsRowFunction="sum" dataDxfId="682" totalsRowDxfId="681"/>
    <tableColumn id="19" xr3:uid="{EF190E85-527F-42E2-9BD9-ACDD288CCDED}" name="Hebrew Total" totalsRowFunction="sum" dataDxfId="680" totalsRowDxfId="679"/>
    <tableColumn id="24" xr3:uid="{3C1C0E98-F23B-4F75-8777-FCD3A78AA430}" name="Hindi Total" totalsRowFunction="sum" dataDxfId="678" totalsRowDxfId="677"/>
    <tableColumn id="8" xr3:uid="{033E7B13-325D-4709-9B68-946599D9C54B}" name="Hmong Total" totalsRowFunction="sum" dataDxfId="676" totalsRowDxfId="675"/>
    <tableColumn id="9" xr3:uid="{D3B3E8FF-7246-41EE-B915-B8E87C426C49}" name="Italian Total" totalsRowFunction="sum" dataDxfId="674" totalsRowDxfId="673"/>
    <tableColumn id="10" xr3:uid="{082C9316-6C99-4A33-8CA7-3F235E15C4C6}" name="Japanese Total" totalsRowFunction="sum" dataDxfId="672" totalsRowDxfId="671"/>
    <tableColumn id="11" xr3:uid="{143CF8B1-CC92-4F5D-BBF6-548FA7A788E3}" name="Korean Total" totalsRowFunction="sum" dataDxfId="670" totalsRowDxfId="669"/>
    <tableColumn id="13" xr3:uid="{44E367E7-1CE0-43CC-8F53-95C99EB95C60}" name="Portuguese Total" totalsRowFunction="sum" dataDxfId="668" totalsRowDxfId="667"/>
    <tableColumn id="25" xr3:uid="{DC914B4B-13B8-4402-8A6A-7FA57A35B9E9}" name="Punjabi Total" totalsRowFunction="sum" dataDxfId="666" totalsRowDxfId="665"/>
    <tableColumn id="20" xr3:uid="{3B553FA9-6CE6-4ACA-962E-8525D209CF9E}" name="Russian Total" totalsRowFunction="sum" dataDxfId="664" totalsRowDxfId="663"/>
    <tableColumn id="14" xr3:uid="{182CD7ED-C642-4B55-BE98-3F7F0EA82362}" name="Spanish Total" totalsRowFunction="sum" dataDxfId="662" totalsRowDxfId="661"/>
    <tableColumn id="15" xr3:uid="{A5580846-75C6-4133-8959-CC0CEAFA3388}" name="Tagalog (Filipino) Total" totalsRowFunction="sum" dataDxfId="660" totalsRowDxfId="659"/>
    <tableColumn id="26" xr3:uid="{639573B1-57F3-44A9-A46A-0C95755BB90C}" name="Urdu Total" totalsRowFunction="sum" dataDxfId="658" totalsRowDxfId="657"/>
    <tableColumn id="16" xr3:uid="{11F31E84-C285-439D-9FC2-44C6AFCE8580}" name="Vietnamese Total" totalsRowFunction="sum" dataDxfId="656" totalsRowDxfId="655"/>
    <tableColumn id="17" xr3:uid="{ACAEF0ED-CE01-43A3-8382-E203D2685A84}" name="Other Total" totalsRowFunction="sum" dataDxfId="654" totalsRowDxfId="653"/>
    <tableColumn id="21" xr3:uid="{1D604675-79C8-49AF-B60B-C33AFD9104DF}" name="Total Seals per LEA" totalsRowFunction="sum" dataDxfId="652" totalsRowDxfId="651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Riverside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AED1D1E-BFF8-48CA-BB13-464EA4C98191}" name="Sacramento" displayName="Sacramento" ref="A2:AB6" totalsRowCount="1" headerRowDxfId="650" dataDxfId="649">
  <autoFilter ref="A2:AB5" xr:uid="{00000000-0009-0000-0100-00001C000000}"/>
  <tableColumns count="28">
    <tableColumn id="1" xr3:uid="{AC47114C-30B5-4E0E-A33B-1320B0FE1953}" name="Participating Districts" totalsRowLabel="Total: 3" dataDxfId="648"/>
    <tableColumn id="2" xr3:uid="{097EE7F6-F724-447B-8A74-EE9043FBA1A5}" name="Participating Schools" totalsRowLabel="6" dataDxfId="647" totalsRowDxfId="646"/>
    <tableColumn id="29" xr3:uid="{6FB39633-CA6D-4137-BFAA-B1C4B6A39F09}" name="Dual Language School(s)" totalsRowLabel="3" dataDxfId="645" totalsRowDxfId="644"/>
    <tableColumn id="28" xr3:uid="{3A18F491-A70B-4844-975B-4011875568FE}" name="Program Model(s) Offered" dataDxfId="643" totalsRowDxfId="642"/>
    <tableColumn id="27" xr3:uid="{FFAE03BF-393C-4AFC-BC59-1D46D016C19F}" name="Biliteracy Pathway Recognitions Offered" dataDxfId="641" totalsRowDxfId="640"/>
    <tableColumn id="3" xr3:uid="{F802752F-E592-4AD9-9E34-727D7B790393}" name="American Sign Language Total" totalsRowFunction="sum" dataDxfId="639" totalsRowDxfId="638"/>
    <tableColumn id="4" xr3:uid="{A87EC60C-7E8D-47D8-9988-1A3E5A0A64B3}" name="Arabic Total" totalsRowFunction="sum" dataDxfId="637" totalsRowDxfId="636"/>
    <tableColumn id="5" xr3:uid="{2F4B4761-C9DB-4ED3-8DA6-D9CE1559611A}" name="Armenian Total" totalsRowFunction="sum" dataDxfId="635" totalsRowDxfId="634"/>
    <tableColumn id="22" xr3:uid="{40681821-56DD-48A4-B0C4-056A26916499}" name="Bengali Total" totalsRowFunction="sum" dataDxfId="633" totalsRowDxfId="632"/>
    <tableColumn id="18" xr3:uid="{A284FB60-BBA9-49EF-AE0B-23497AB00F32}" name="Chinese Total" totalsRowFunction="sum" dataDxfId="631" totalsRowDxfId="630"/>
    <tableColumn id="23" xr3:uid="{3D2B7CD5-38F1-4F53-B171-3329E5AF7DAC}" name="Farsi (Persian) Total" totalsRowFunction="sum" dataDxfId="629" totalsRowDxfId="628"/>
    <tableColumn id="6" xr3:uid="{D421053F-6BD7-49AF-80FE-2AE5672D94B7}" name="French Total" totalsRowFunction="sum" dataDxfId="627" totalsRowDxfId="626"/>
    <tableColumn id="7" xr3:uid="{85BF34AD-BB27-430D-9958-CB217E5F2FEB}" name="German Total" totalsRowFunction="sum" dataDxfId="625" totalsRowDxfId="624"/>
    <tableColumn id="19" xr3:uid="{847ED280-B5B3-407A-A1FE-8411160818FD}" name="Hebrew Total" totalsRowFunction="sum" dataDxfId="623" totalsRowDxfId="622"/>
    <tableColumn id="24" xr3:uid="{E8D447F7-E6B7-4063-A962-7BC5FD06357F}" name="Hindi Total" totalsRowFunction="sum" dataDxfId="621" totalsRowDxfId="620"/>
    <tableColumn id="8" xr3:uid="{8B41B5F7-1B16-4C3B-BB36-8842F07E34FC}" name="Hmong Total" totalsRowFunction="sum" dataDxfId="619" totalsRowDxfId="618"/>
    <tableColumn id="9" xr3:uid="{CE396192-96B5-442A-A0D4-87814E0661E5}" name="Italian Total" totalsRowFunction="sum" dataDxfId="617" totalsRowDxfId="616"/>
    <tableColumn id="10" xr3:uid="{28284205-C4B0-407D-8622-6D84A91E6970}" name="Japanese Total" totalsRowFunction="sum" dataDxfId="615" totalsRowDxfId="614"/>
    <tableColumn id="11" xr3:uid="{F49DE8E9-7255-4503-B6AC-524137A086EB}" name="Korean Total" totalsRowFunction="sum" dataDxfId="613" totalsRowDxfId="612"/>
    <tableColumn id="13" xr3:uid="{C2CB4E37-A603-47E5-AB63-114649CAC4DA}" name="Portuguese Total" totalsRowFunction="sum" dataDxfId="611" totalsRowDxfId="610"/>
    <tableColumn id="25" xr3:uid="{8DE100AF-574B-4795-BC32-C236BF999E2C}" name="Punjabi Total" totalsRowFunction="sum" dataDxfId="609" totalsRowDxfId="608"/>
    <tableColumn id="20" xr3:uid="{90C8DEC8-5273-4033-BD15-A2C660956664}" name="Russian Total" totalsRowFunction="sum" dataDxfId="607" totalsRowDxfId="606"/>
    <tableColumn id="14" xr3:uid="{AB9141C3-8398-434E-BECA-AEB9777CC7EA}" name="Spanish Total" totalsRowFunction="sum" dataDxfId="605" totalsRowDxfId="604"/>
    <tableColumn id="15" xr3:uid="{86B504A7-8D45-42EC-8AC1-7F27E9686278}" name="Tagalog (Filipino) Total" totalsRowFunction="sum" dataDxfId="603" totalsRowDxfId="602"/>
    <tableColumn id="26" xr3:uid="{85D347EB-6349-4B11-A68B-E7730DD7ABCC}" name="Urdu Total" totalsRowFunction="sum" dataDxfId="601" totalsRowDxfId="600"/>
    <tableColumn id="16" xr3:uid="{353ED0EF-2B69-400F-A6AE-8D3D69598735}" name="Vietnamese Total" totalsRowFunction="sum" dataDxfId="599" totalsRowDxfId="598"/>
    <tableColumn id="17" xr3:uid="{0F6D5104-B0F7-483F-8C77-748A4BEE135C}" name="Other Total" totalsRowFunction="sum" dataDxfId="597" totalsRowDxfId="596"/>
    <tableColumn id="21" xr3:uid="{44740C32-A304-4E20-89FA-557ED033C542}" name="Total Seals per LEA" totalsRowFunction="sum" dataDxfId="595" totalsRowDxfId="594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cramento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56C8D0A-4471-47F7-9346-9E97B7C5E073}" name="SanBernardino" displayName="SanBernardino" ref="A2:AB7" totalsRowCount="1" headerRowDxfId="593" dataDxfId="592">
  <autoFilter ref="A2:AB6" xr:uid="{00000000-0009-0000-0100-00001C000000}"/>
  <tableColumns count="28">
    <tableColumn id="1" xr3:uid="{EC0A1EFA-786C-4E19-93A9-08870DEE1B0C}" name="Participating Districts" totalsRowLabel="Total: 4" dataDxfId="591"/>
    <tableColumn id="2" xr3:uid="{271FEC12-90FC-4C21-85F6-1D2CA6D5B86F}" name="Participating Schools" totalsRowLabel="26" dataDxfId="590" totalsRowDxfId="589"/>
    <tableColumn id="29" xr3:uid="{85A6629C-6E51-413E-BFC6-062B1BAE0C03}" name="Dual Language School(s)" totalsRowLabel="3" dataDxfId="588" totalsRowDxfId="587"/>
    <tableColumn id="28" xr3:uid="{96D05FC4-AA6A-4127-ACCF-313EA7D1DB50}" name="Program Model(s) Offered" dataDxfId="586" totalsRowDxfId="585"/>
    <tableColumn id="27" xr3:uid="{9D503C66-8DA5-4AA5-B9C1-8975C4464115}" name="Biliteracy Pathway Recognitions Offered" dataDxfId="584" totalsRowDxfId="583"/>
    <tableColumn id="3" xr3:uid="{E932DEB6-FD7C-45E6-B245-8CD590C46797}" name="American Sign Language Total" totalsRowFunction="sum" dataDxfId="582" totalsRowDxfId="581"/>
    <tableColumn id="4" xr3:uid="{275B9E7B-B9C8-4449-A290-00590A6C7D25}" name="Arabic Total" totalsRowFunction="sum" dataDxfId="580" totalsRowDxfId="579"/>
    <tableColumn id="5" xr3:uid="{31AA25CD-5E64-4989-BBA9-2D11525E3EA9}" name="Armenian Total" totalsRowFunction="sum" dataDxfId="578" totalsRowDxfId="577"/>
    <tableColumn id="22" xr3:uid="{E88CF52D-3680-417E-80A1-0B1910BD9CBD}" name="Bengali Total" totalsRowFunction="sum" dataDxfId="576" totalsRowDxfId="575"/>
    <tableColumn id="18" xr3:uid="{E368FADA-2BC0-4524-8E34-F953DA27C24E}" name="Chinese Total" totalsRowFunction="sum" dataDxfId="574" totalsRowDxfId="573"/>
    <tableColumn id="23" xr3:uid="{659F07D7-A4FC-4535-97C6-EE72C942A72B}" name="Farsi (Persian) Total" totalsRowFunction="sum" dataDxfId="572" totalsRowDxfId="571"/>
    <tableColumn id="6" xr3:uid="{C4A31468-B2BF-44B1-AD4E-09D177F7691E}" name="French Total" totalsRowFunction="sum" dataDxfId="570" totalsRowDxfId="569"/>
    <tableColumn id="7" xr3:uid="{0C5BFFD9-06CA-4D26-A548-31AF4A8E44F6}" name="German Total" totalsRowFunction="sum" dataDxfId="568" totalsRowDxfId="567"/>
    <tableColumn id="19" xr3:uid="{AB262A80-17A7-4E5E-9856-538AFCEA78F3}" name="Hebrew Total" totalsRowFunction="sum" dataDxfId="566" totalsRowDxfId="565"/>
    <tableColumn id="24" xr3:uid="{F93F660D-2B39-433C-B733-93A8929E8337}" name="Hindi Total" totalsRowFunction="sum" dataDxfId="564" totalsRowDxfId="563"/>
    <tableColumn id="8" xr3:uid="{5330CC2E-B645-44B9-BB26-F1109260A6A5}" name="Hmong Total" totalsRowFunction="sum" dataDxfId="562" totalsRowDxfId="561"/>
    <tableColumn id="9" xr3:uid="{FD8E51EC-AC6F-4FA1-A28D-98C1C6D9E38C}" name="Italian Total" totalsRowFunction="sum" dataDxfId="560" totalsRowDxfId="559"/>
    <tableColumn id="10" xr3:uid="{46AB8625-2D53-43CB-A010-248646EC007F}" name="Japanese Total" totalsRowFunction="sum" dataDxfId="558" totalsRowDxfId="557"/>
    <tableColumn id="11" xr3:uid="{86D28320-39DF-4BC3-B9F4-5A499EF32E58}" name="Korean Total" totalsRowFunction="sum" dataDxfId="556" totalsRowDxfId="555"/>
    <tableColumn id="13" xr3:uid="{5FFBA51C-B2AA-4290-AAC6-82D9097F7213}" name="Portuguese Total" totalsRowFunction="sum" dataDxfId="554" totalsRowDxfId="553"/>
    <tableColumn id="25" xr3:uid="{9C64A464-278F-4097-9856-D99C06313192}" name="Punjabi Total" totalsRowFunction="sum" dataDxfId="552" totalsRowDxfId="551"/>
    <tableColumn id="20" xr3:uid="{7C0CDB97-71B1-45A8-BC6E-4428CA8BCB62}" name="Russian Total" totalsRowFunction="sum" dataDxfId="550" totalsRowDxfId="549"/>
    <tableColumn id="14" xr3:uid="{BB082E0A-6424-4BA9-9460-299AB229EDCE}" name="Spanish Total" totalsRowFunction="sum" dataDxfId="548" totalsRowDxfId="547"/>
    <tableColumn id="15" xr3:uid="{0A8E6A3B-1A20-43D5-82DA-5AB2EAE67FCC}" name="Tagalog (Filipino) Total" totalsRowFunction="sum" dataDxfId="546" totalsRowDxfId="545"/>
    <tableColumn id="26" xr3:uid="{E320E86C-4F5E-4F98-B456-008E3E1F3351}" name="Urdu Total" totalsRowFunction="sum" dataDxfId="544" totalsRowDxfId="543"/>
    <tableColumn id="16" xr3:uid="{C2117221-1142-46B8-A75E-98226F0B5FBD}" name="Vietnamese Total" totalsRowFunction="sum" dataDxfId="542" totalsRowDxfId="541"/>
    <tableColumn id="17" xr3:uid="{5C2EC240-FCCD-4325-93ED-FD626289DE4B}" name="Other Total" totalsRowFunction="sum" dataDxfId="540" totalsRowDxfId="539"/>
    <tableColumn id="21" xr3:uid="{A661FEDC-6C02-4A5C-8BE9-E2D25E98347D}" name="Total Seals per LEA" totalsRowFunction="sum" dataDxfId="538" totalsRowDxfId="537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Bernardino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08E5206-A112-4A49-A5C0-85063BF4446C}" name="SanDiego" displayName="SanDiego" ref="A2:AB16" totalsRowCount="1" headerRowDxfId="536" dataDxfId="535">
  <autoFilter ref="A2:AB15" xr:uid="{00000000-0009-0000-0100-00001C000000}"/>
  <tableColumns count="28">
    <tableColumn id="1" xr3:uid="{B53C3ABD-5675-4F02-9D6B-ECE657F4B2F9}" name="Participating Districts" totalsRowLabel="Total: 13" dataDxfId="534"/>
    <tableColumn id="2" xr3:uid="{FE8E49E2-AE58-44A9-9506-96D90194FC65}" name="Participating Schools" totalsRowLabel="54" dataDxfId="533" totalsRowDxfId="532"/>
    <tableColumn id="29" xr3:uid="{565EFB10-C07C-484F-85B1-260C6DFAC47B}" name="Dual Language School(s)" totalsRowLabel="38" dataDxfId="531" totalsRowDxfId="530"/>
    <tableColumn id="28" xr3:uid="{8AD2AF22-5595-4AEF-9AA2-E0E56996F652}" name="Program Model(s) Offered" dataDxfId="529" totalsRowDxfId="528"/>
    <tableColumn id="27" xr3:uid="{2C83A7BD-FE8A-4399-9749-05B1BC766F49}" name="Biliteracy Pathway Recognitions Offered" dataDxfId="527" totalsRowDxfId="526"/>
    <tableColumn id="3" xr3:uid="{469B1051-69BA-44E5-90AA-8D4A6882805C}" name="American Sign Language Total" totalsRowFunction="sum" dataDxfId="525" totalsRowDxfId="524"/>
    <tableColumn id="4" xr3:uid="{3F7FB498-3416-44C2-878E-E8CCC8ECCD8C}" name="Arabic Total" totalsRowFunction="sum" dataDxfId="523" totalsRowDxfId="522"/>
    <tableColumn id="5" xr3:uid="{F0207417-8192-4AFC-B854-B8BFC91A16CB}" name="Armenian Total" totalsRowFunction="sum" dataDxfId="521" totalsRowDxfId="520"/>
    <tableColumn id="22" xr3:uid="{19D35645-0979-48C1-8960-A055F53FC58F}" name="Bengali Total" totalsRowFunction="sum" dataDxfId="519" totalsRowDxfId="518"/>
    <tableColumn id="18" xr3:uid="{4AB82019-D4A6-4BBB-BBCF-13090302B10C}" name="Chinese Total" totalsRowFunction="sum" dataDxfId="517" totalsRowDxfId="516"/>
    <tableColumn id="23" xr3:uid="{88A671AD-F120-4E02-91A3-7AA3108D56FE}" name="Farsi (Persian) Total" totalsRowFunction="sum" dataDxfId="515" totalsRowDxfId="514"/>
    <tableColumn id="6" xr3:uid="{A5D88989-3AB9-4CEB-B501-AA9DC2AA9038}" name="French Total" totalsRowFunction="sum" dataDxfId="513" totalsRowDxfId="512"/>
    <tableColumn id="7" xr3:uid="{4D1300F1-8AFE-43D5-8456-ECDF055FDBBE}" name="German Total" totalsRowFunction="sum" dataDxfId="511" totalsRowDxfId="510"/>
    <tableColumn id="19" xr3:uid="{DF959E2D-3029-45B1-B19E-5C75F63266BA}" name="Hebrew Total" totalsRowFunction="sum" dataDxfId="509" totalsRowDxfId="508"/>
    <tableColumn id="24" xr3:uid="{13B47C40-0778-4832-9F93-B3C4D25C233F}" name="Hindi Total" totalsRowFunction="sum" dataDxfId="507" totalsRowDxfId="506"/>
    <tableColumn id="8" xr3:uid="{EA797D0C-ECCA-466C-84A0-1305E6F349AD}" name="Hmong Total" totalsRowFunction="sum" dataDxfId="505" totalsRowDxfId="504"/>
    <tableColumn id="9" xr3:uid="{B476A425-A7C5-49C7-BBDC-543BC788F078}" name="Italian Total" totalsRowFunction="sum" dataDxfId="503" totalsRowDxfId="502"/>
    <tableColumn id="10" xr3:uid="{58F7DC5F-6295-41D1-9740-CF4395B5FCB7}" name="Japanese Total" totalsRowFunction="sum" dataDxfId="501" totalsRowDxfId="500"/>
    <tableColumn id="11" xr3:uid="{7F1BAE88-7BC5-4831-93C3-EE6937F320C3}" name="Korean Total" totalsRowFunction="sum" dataDxfId="499" totalsRowDxfId="498"/>
    <tableColumn id="13" xr3:uid="{FF491C42-9D42-4E93-AA42-BC3B4BFA8E3D}" name="Portuguese Total" totalsRowFunction="sum" dataDxfId="497" totalsRowDxfId="496"/>
    <tableColumn id="25" xr3:uid="{E822A16F-9AD3-4C4E-9598-E6F7B84E9C1B}" name="Punjabi Total" totalsRowFunction="sum" dataDxfId="495" totalsRowDxfId="494"/>
    <tableColumn id="20" xr3:uid="{64551468-F714-4E83-B388-7822B9DE6269}" name="Russian Total" totalsRowFunction="sum" dataDxfId="493" totalsRowDxfId="492"/>
    <tableColumn id="14" xr3:uid="{A3406822-74B9-49A8-AE99-64265E667736}" name="Spanish Total" totalsRowFunction="sum" dataDxfId="491" totalsRowDxfId="490"/>
    <tableColumn id="15" xr3:uid="{3114FB76-4632-439E-B5A3-C0C395D67D41}" name="Tagalog (Filipino) Total" totalsRowFunction="sum" dataDxfId="489" totalsRowDxfId="488"/>
    <tableColumn id="26" xr3:uid="{1E552390-569F-4ADA-95C2-CACB54B85E72}" name="Urdu Total" totalsRowFunction="sum" dataDxfId="487" totalsRowDxfId="486"/>
    <tableColumn id="16" xr3:uid="{42E53A3C-D681-4CFE-8B3B-D4B516D3AAB7}" name="Vietnamese Total" totalsRowFunction="sum" dataDxfId="485" totalsRowDxfId="484"/>
    <tableColumn id="17" xr3:uid="{E398B606-ECC6-4C31-9AC1-002329DB8EEE}" name="Other Total" totalsRowFunction="sum" dataDxfId="483" totalsRowDxfId="482"/>
    <tableColumn id="21" xr3:uid="{93CE64C2-FF49-4EC6-895A-521D4702C4DE}" name="Total Seals per LEA" totalsRowFunction="sum" dataDxfId="481" totalsRowDxfId="480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Diego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C8791AF-12C4-4BDE-A667-062382F03930}" name="SanBernardino9" displayName="SanBernardino9" ref="A2:AB6" totalsRowCount="1" headerRowDxfId="479" dataDxfId="478">
  <autoFilter ref="A2:AB5" xr:uid="{9C8791AF-12C4-4BDE-A667-062382F03930}"/>
  <tableColumns count="28">
    <tableColumn id="1" xr3:uid="{86E629B4-3D9B-4329-9039-0448C7EAF7B7}" name="Participating Districts" totalsRowLabel="Total: 3" dataDxfId="477"/>
    <tableColumn id="2" xr3:uid="{962D3621-E8E9-4B25-B6C8-B0675AD58138}" name="Participating Schools" totalsRowLabel="6" dataDxfId="476" totalsRowDxfId="475"/>
    <tableColumn id="29" xr3:uid="{A292B869-DABD-48A3-A2D2-DCF6F5DC6F84}" name="Dual Language School(s)" totalsRowLabel="1" dataDxfId="474" totalsRowDxfId="473"/>
    <tableColumn id="28" xr3:uid="{80C6991E-0302-4ABE-B95C-CB1113365268}" name="Program Model(s) Offered" dataDxfId="472" totalsRowDxfId="471"/>
    <tableColumn id="27" xr3:uid="{B128BA1C-072E-4A24-B20B-64A75F7E0385}" name="Biliteracy Pathway Recognitions Offered" dataDxfId="470" totalsRowDxfId="469"/>
    <tableColumn id="3" xr3:uid="{90275AA1-7C53-4533-998A-42073FEE3A2E}" name="American Sign Language Total" totalsRowFunction="sum" dataDxfId="468" totalsRowDxfId="467"/>
    <tableColumn id="4" xr3:uid="{1885E7D3-40E2-4C3E-B29B-4C71CF479A42}" name="Arabic Total" totalsRowFunction="sum" dataDxfId="466" totalsRowDxfId="465"/>
    <tableColumn id="5" xr3:uid="{29AD19D0-1C9C-4FE7-8CF2-1F6751ED54CF}" name="Armenian Total" totalsRowFunction="sum" dataDxfId="464" totalsRowDxfId="463"/>
    <tableColumn id="22" xr3:uid="{DAD3A297-59A8-494A-A7BA-D4D809B67564}" name="Bengali Total" totalsRowFunction="sum" dataDxfId="462" totalsRowDxfId="461"/>
    <tableColumn id="18" xr3:uid="{0771C4BB-E23C-4CDA-94CC-EE7CB2C4088D}" name="Chinese Total" totalsRowFunction="sum" dataDxfId="460" totalsRowDxfId="459"/>
    <tableColumn id="23" xr3:uid="{013B8E8B-4946-49FB-9CC9-D98EA622339D}" name="Farsi (Persian) Total" totalsRowFunction="sum" dataDxfId="458" totalsRowDxfId="457"/>
    <tableColumn id="6" xr3:uid="{08947A3A-AB2D-4CD6-BDD4-FC13E41E1D7E}" name="French Total" totalsRowFunction="sum" dataDxfId="456" totalsRowDxfId="455"/>
    <tableColumn id="7" xr3:uid="{FBCAFE70-3B50-4B18-9903-7F2CB9BD458B}" name="German Total" totalsRowFunction="sum" dataDxfId="454" totalsRowDxfId="453"/>
    <tableColumn id="19" xr3:uid="{2BDE512C-D145-4B3B-AE2C-75BED717BC62}" name="Hebrew Total" totalsRowFunction="sum" dataDxfId="452" totalsRowDxfId="451"/>
    <tableColumn id="24" xr3:uid="{E79527FF-03BA-46F5-802E-363798BF0842}" name="Hindi Total" totalsRowFunction="sum" dataDxfId="450" totalsRowDxfId="449"/>
    <tableColumn id="8" xr3:uid="{B04DB74B-646E-462D-8E68-EACB2ACF09EF}" name="Hmong Total" totalsRowFunction="sum" dataDxfId="448" totalsRowDxfId="447"/>
    <tableColumn id="9" xr3:uid="{83200C2E-7C07-4689-863A-20B14A6E83D4}" name="Italian Total" totalsRowFunction="sum" dataDxfId="446" totalsRowDxfId="445"/>
    <tableColumn id="10" xr3:uid="{58143058-B822-4D42-970F-C2339746DF09}" name="Japanese Total" totalsRowFunction="sum" dataDxfId="444" totalsRowDxfId="443"/>
    <tableColumn id="11" xr3:uid="{3656D3D6-3B8D-413D-B7D4-5643ADD87501}" name="Korean Total" totalsRowFunction="sum" dataDxfId="442" totalsRowDxfId="441"/>
    <tableColumn id="13" xr3:uid="{C1B74AAE-CD2F-474C-A401-AB136DF4A328}" name="Portuguese Total" totalsRowFunction="sum" dataDxfId="440" totalsRowDxfId="439"/>
    <tableColumn id="25" xr3:uid="{2857B4AC-3665-4B08-A4BC-694C7E141AA6}" name="Punjabi Total" totalsRowFunction="sum" dataDxfId="438" totalsRowDxfId="437"/>
    <tableColumn id="20" xr3:uid="{B0A9407D-BC41-454F-B37D-3947006ABA16}" name="Russian Total" totalsRowFunction="sum" dataDxfId="436" totalsRowDxfId="435"/>
    <tableColumn id="14" xr3:uid="{98AB7BB1-9844-44F1-B27F-493651DB2027}" name="Spanish Total" totalsRowFunction="sum" dataDxfId="434" totalsRowDxfId="433"/>
    <tableColumn id="15" xr3:uid="{540CF065-58B9-440D-9E26-F483A4433313}" name="Tagalog (Filipino) Total" totalsRowFunction="sum" dataDxfId="432" totalsRowDxfId="431"/>
    <tableColumn id="26" xr3:uid="{47501788-7D1D-42D4-B1C8-8400586CE29F}" name="Urdu Total" totalsRowFunction="sum" dataDxfId="430" totalsRowDxfId="429"/>
    <tableColumn id="16" xr3:uid="{FA3E567C-81AA-45F4-8C4B-853EE73F6F4F}" name="Vietnamese Total" totalsRowFunction="sum" dataDxfId="428" totalsRowDxfId="427"/>
    <tableColumn id="17" xr3:uid="{8D34360D-6B0E-4622-A583-25BACF685227}" name="Other Total" totalsRowFunction="sum" dataDxfId="426" totalsRowDxfId="425"/>
    <tableColumn id="21" xr3:uid="{E3A413DD-5715-41C0-A3F6-F7B6C0D54FD1}" name="Total Seals per LEA" totalsRowFunction="sum" dataDxfId="424" totalsRowDxfId="423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Joaquin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EB4918-10D7-4512-93C6-81EFD88F16F0}" name="SanBernardino910" displayName="SanBernardino910" ref="A2:AB6" totalsRowCount="1" headerRowDxfId="422" dataDxfId="421">
  <autoFilter ref="A2:AB5" xr:uid="{AEEB4918-10D7-4512-93C6-81EFD88F16F0}"/>
  <tableColumns count="28">
    <tableColumn id="1" xr3:uid="{35F18C91-B9D6-49AA-BB8B-A8DB80E00041}" name="Participating Districts" totalsRowLabel="Total: 3" dataDxfId="420"/>
    <tableColumn id="2" xr3:uid="{74EDAFB8-D019-4518-BCC3-FE38B513526E}" name="Participating Schools" totalsRowLabel="10" dataDxfId="419" totalsRowDxfId="418"/>
    <tableColumn id="29" xr3:uid="{E8B3F084-6513-43A3-A933-73D2CE649B5D}" name="Dual Language School(s)" totalsRowLabel="1" dataDxfId="417" totalsRowDxfId="416"/>
    <tableColumn id="28" xr3:uid="{9EE1CDF4-EB02-42E7-9145-89600EFA8858}" name="Program Model(s) Offered" dataDxfId="415" totalsRowDxfId="414"/>
    <tableColumn id="27" xr3:uid="{13F4B8FE-1D74-4934-ADCA-45FAE30BCEBC}" name="Biliteracy Pathway Recognitions Offered" dataDxfId="413" totalsRowDxfId="412"/>
    <tableColumn id="3" xr3:uid="{72A7D7C6-B42B-48E6-87DD-08E3B347D4F8}" name="American Sign Language Total" totalsRowFunction="sum" dataDxfId="411" totalsRowDxfId="410"/>
    <tableColumn id="4" xr3:uid="{1BC46B0C-EEAA-4422-B731-86C6FA81DD33}" name="Arabic Total" totalsRowFunction="sum" dataDxfId="409" totalsRowDxfId="408"/>
    <tableColumn id="5" xr3:uid="{62F43005-86C5-4458-9550-CC736F8561BB}" name="Armenian Total" totalsRowFunction="sum" dataDxfId="407" totalsRowDxfId="406"/>
    <tableColumn id="22" xr3:uid="{8323C4BC-4ABE-40D4-B940-A7D61EBC5270}" name="Bengali Total" totalsRowFunction="sum" dataDxfId="405" totalsRowDxfId="404"/>
    <tableColumn id="18" xr3:uid="{BD64483F-BB40-48B0-BEF4-AE5FA4EB3850}" name="Chinese Total" totalsRowFunction="sum" dataDxfId="403" totalsRowDxfId="402"/>
    <tableColumn id="23" xr3:uid="{CF459F1C-AB2A-4445-8221-EA610D45708F}" name="Farsi (Persian) Total" totalsRowFunction="sum" dataDxfId="401" totalsRowDxfId="400"/>
    <tableColumn id="6" xr3:uid="{FE0DAC0E-F8CF-44ED-BE2D-C2ADDBA1D91C}" name="French Total" totalsRowFunction="sum" dataDxfId="399" totalsRowDxfId="398"/>
    <tableColumn id="7" xr3:uid="{92A5B1E5-D245-4336-A349-1431AB02C6D0}" name="German Total" totalsRowFunction="sum" dataDxfId="397" totalsRowDxfId="396"/>
    <tableColumn id="19" xr3:uid="{949DC3CF-4376-428E-8A3F-CD8DC79FA84A}" name="Hebrew Total" totalsRowFunction="sum" dataDxfId="395" totalsRowDxfId="394"/>
    <tableColumn id="24" xr3:uid="{99CE21BA-7CE7-4E32-B4C9-67387CD630DB}" name="Hindi Total" totalsRowFunction="sum" dataDxfId="393" totalsRowDxfId="392"/>
    <tableColumn id="8" xr3:uid="{50EA462F-B054-474B-97DF-AF3BF6A886D1}" name="Hmong Total" totalsRowFunction="sum" dataDxfId="391" totalsRowDxfId="390"/>
    <tableColumn id="9" xr3:uid="{27127527-BF96-4831-B9DB-0A6973FA00EE}" name="Italian Total" totalsRowFunction="sum" dataDxfId="389" totalsRowDxfId="388"/>
    <tableColumn id="10" xr3:uid="{9AF0AB54-1552-44C6-B943-93026A809D52}" name="Japanese Total" totalsRowFunction="sum" dataDxfId="387" totalsRowDxfId="386"/>
    <tableColumn id="11" xr3:uid="{895A821E-EE24-42B5-9485-E1147BB9700E}" name="Korean Total" totalsRowFunction="sum" dataDxfId="385" totalsRowDxfId="384"/>
    <tableColumn id="13" xr3:uid="{36301BF9-60BE-4A3E-92B3-95E15A1266D9}" name="Portuguese Total" totalsRowFunction="sum" dataDxfId="383" totalsRowDxfId="382"/>
    <tableColumn id="25" xr3:uid="{59F68309-9CD0-4E44-AD6D-9C07A3C08CCA}" name="Punjabi Total" totalsRowFunction="sum" dataDxfId="381" totalsRowDxfId="380"/>
    <tableColumn id="20" xr3:uid="{8C029D34-D5E7-4F4C-89C6-8A17662DE1F5}" name="Russian Total" totalsRowFunction="sum" dataDxfId="379" totalsRowDxfId="378"/>
    <tableColumn id="14" xr3:uid="{5A9544EE-2FC2-46A3-9287-581A48FAFE48}" name="Spanish Total" totalsRowFunction="sum" dataDxfId="377" totalsRowDxfId="376"/>
    <tableColumn id="15" xr3:uid="{4C51136D-F5C6-43D5-B02C-C1A4563C1E33}" name="Tagalog (Filipino) Total" totalsRowFunction="sum" dataDxfId="375" totalsRowDxfId="374"/>
    <tableColumn id="26" xr3:uid="{89E294D6-C642-4026-80C0-E638C75B5FDE}" name="Urdu Total" totalsRowFunction="sum" dataDxfId="373" totalsRowDxfId="372"/>
    <tableColumn id="16" xr3:uid="{554DCA0C-FBCD-4B6A-BAB2-D5D7D630AD8F}" name="Vietnamese Total" totalsRowFunction="sum" dataDxfId="371" totalsRowDxfId="370"/>
    <tableColumn id="17" xr3:uid="{31EE095B-6DBC-485C-B08E-3158F7B3075B}" name="Other Total" totalsRowFunction="sum" dataDxfId="369" totalsRowDxfId="368"/>
    <tableColumn id="21" xr3:uid="{FB4DFE3E-63F2-4728-9C0E-3B899EDBB137}" name="Total Seals per LEA" totalsRowFunction="sum" dataDxfId="367" totalsRowDxfId="366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Mateo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0185B6D-B8AE-40F0-BA49-7D728F4B486E}" name="SantaBarbara" displayName="SantaBarbara" ref="A2:AB4" totalsRowCount="1" headerRowDxfId="365" dataDxfId="364">
  <autoFilter ref="A2:AB3" xr:uid="{00000000-0009-0000-0100-00001C000000}"/>
  <tableColumns count="28">
    <tableColumn id="1" xr3:uid="{F4EDC1C7-A411-45CA-8E8B-214C4A8717F3}" name="Participating Districts" totalsRowLabel="Total: 1" dataDxfId="363"/>
    <tableColumn id="2" xr3:uid="{9FB2FC70-8DE1-4CD1-8825-FCB1571ABF9F}" name="Participating Schools" totalsRowLabel="2" dataDxfId="362" totalsRowDxfId="361"/>
    <tableColumn id="29" xr3:uid="{BD83C14E-4955-43B9-8D53-3891FFDC5EEA}" name="Dual Language School(s)" totalsRowLabel="0" dataDxfId="360" totalsRowDxfId="359"/>
    <tableColumn id="28" xr3:uid="{1C8E1A6C-9F3F-4B00-9254-DB8C3E711814}" name="Program Model(s) Offered" dataDxfId="358" totalsRowDxfId="357"/>
    <tableColumn id="27" xr3:uid="{386F31B0-6874-41B4-9868-3CA29A789697}" name="Biliteracy Pathway Recognitions Offered" dataDxfId="356" totalsRowDxfId="355"/>
    <tableColumn id="3" xr3:uid="{AEBF3D7C-2073-4BA6-8BE2-E4148DC914C6}" name="American Sign Language Total" totalsRowFunction="sum" dataDxfId="354" totalsRowDxfId="353"/>
    <tableColumn id="4" xr3:uid="{C1C7984E-46B4-4740-A6C2-8783DB2B8649}" name="Arabic Total" totalsRowFunction="sum" dataDxfId="352" totalsRowDxfId="351"/>
    <tableColumn id="5" xr3:uid="{73753ACA-6B71-44B6-8DC8-905D00C3119B}" name="Armenian Total" totalsRowFunction="sum" dataDxfId="350" totalsRowDxfId="349"/>
    <tableColumn id="22" xr3:uid="{1429D8DA-8C2D-4705-B438-E0ED26C59779}" name="Bengali Total" totalsRowFunction="sum" dataDxfId="348" totalsRowDxfId="347"/>
    <tableColumn id="18" xr3:uid="{AB455F65-D88B-44DA-8450-F2CC04DCAD89}" name="Chinese Total" totalsRowFunction="sum" dataDxfId="346" totalsRowDxfId="345"/>
    <tableColumn id="23" xr3:uid="{ED530617-72CB-4BA8-BBA1-B7F290B66690}" name="Farsi (Persian) Total" totalsRowFunction="sum" dataDxfId="344" totalsRowDxfId="343"/>
    <tableColumn id="6" xr3:uid="{9BC79C88-20C7-40E7-8203-83EB2E97E2C5}" name="French Total" totalsRowFunction="sum" dataDxfId="342" totalsRowDxfId="341"/>
    <tableColumn id="7" xr3:uid="{723F922F-D03A-46FC-89C3-C9D0EF7D9259}" name="German Total" totalsRowFunction="sum" dataDxfId="340" totalsRowDxfId="339"/>
    <tableColumn id="19" xr3:uid="{DFEF1D92-E1D2-4AA9-8CCB-A18D94A8E120}" name="Hebrew Total" totalsRowFunction="sum" dataDxfId="338" totalsRowDxfId="337"/>
    <tableColumn id="24" xr3:uid="{22FE68E5-0EDF-4150-BCC0-2D358782753E}" name="Hindi Total" totalsRowFunction="sum" dataDxfId="336" totalsRowDxfId="335"/>
    <tableColumn id="8" xr3:uid="{177C9C35-2973-4BB3-A836-714C6A7A9349}" name="Hmong Total" totalsRowFunction="sum" dataDxfId="334" totalsRowDxfId="333"/>
    <tableColumn id="9" xr3:uid="{E801AEA5-49C4-46C7-8C99-F70CB51DF456}" name="Italian Total" totalsRowFunction="sum" dataDxfId="332" totalsRowDxfId="331"/>
    <tableColumn id="10" xr3:uid="{0CF9633E-481E-426F-8B24-48DA3F4886EC}" name="Japanese Total" totalsRowFunction="sum" dataDxfId="330" totalsRowDxfId="329"/>
    <tableColumn id="11" xr3:uid="{B1D76FFB-F897-4FB8-97DA-399D58ABCE79}" name="Korean Total" totalsRowFunction="sum" dataDxfId="328" totalsRowDxfId="327"/>
    <tableColumn id="13" xr3:uid="{A2BAA088-BA4E-4B39-A416-11ABA5E46527}" name="Portuguese Total" totalsRowFunction="sum" dataDxfId="326" totalsRowDxfId="325"/>
    <tableColumn id="25" xr3:uid="{E6EBC528-B6EF-4CFA-BEB7-6EAD7D5C9D7F}" name="Punjabi Total" totalsRowFunction="sum" dataDxfId="324" totalsRowDxfId="323"/>
    <tableColumn id="20" xr3:uid="{9E941260-C800-46F5-A112-15F4B0B44A00}" name="Russian Total" totalsRowFunction="sum" dataDxfId="322" totalsRowDxfId="321"/>
    <tableColumn id="14" xr3:uid="{EB1A2C4A-C086-4748-A80A-06CAFCB7AC58}" name="Spanish Total" totalsRowFunction="sum" dataDxfId="320" totalsRowDxfId="319"/>
    <tableColumn id="15" xr3:uid="{4185CC9F-8FE8-44B3-9358-7F131EEEA130}" name="Tagalog (Filipino) Total" totalsRowFunction="sum" dataDxfId="318" totalsRowDxfId="317"/>
    <tableColumn id="26" xr3:uid="{3928D766-F646-4D6A-8B06-3F9E3B8B9CD9}" name="Urdu Total" totalsRowFunction="sum" dataDxfId="316" totalsRowDxfId="315"/>
    <tableColumn id="16" xr3:uid="{2ED48DF0-C77F-4AD0-9DBD-DC134ED483F6}" name="Vietnamese Total" totalsRowFunction="sum" dataDxfId="314" totalsRowDxfId="313"/>
    <tableColumn id="17" xr3:uid="{B5470682-2031-40AD-8C92-270C9A8628B7}" name="Other Total" totalsRowFunction="sum" dataDxfId="312" totalsRowDxfId="311"/>
    <tableColumn id="21" xr3:uid="{6277B815-EFE8-430F-A4AC-EE8C3FF5B8EB}" name="Total Seals per LEA" totalsRowFunction="sum" dataDxfId="310" totalsRowDxfId="309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Barbara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C5477BE-B9B3-4202-A3B4-5FFAD85A8F16}" name="SantaClara" displayName="SantaClara" ref="A2:AB9" totalsRowCount="1" headerRowDxfId="308" dataDxfId="307">
  <autoFilter ref="A2:AB8" xr:uid="{00000000-0009-0000-0100-00001C000000}"/>
  <tableColumns count="28">
    <tableColumn id="1" xr3:uid="{6A35D1B6-113F-4BE4-AB12-613E05F3ED6A}" name="Participating Districts" totalsRowLabel="Total: 6" dataDxfId="306" totalsRowDxfId="305"/>
    <tableColumn id="2" xr3:uid="{32BA76DA-08D0-466D-A15C-C61AE5329859}" name="Participating Schools" totalsRowLabel="9" dataDxfId="304" totalsRowDxfId="303"/>
    <tableColumn id="29" xr3:uid="{42BA9456-0AB2-490A-BF70-7CDE91506BC2}" name="Dual Language School(s)" totalsRowLabel="9" dataDxfId="302" totalsRowDxfId="301"/>
    <tableColumn id="28" xr3:uid="{BBF3ED54-B630-4136-B293-2B5325DAA19D}" name="Program Model(s) Offered" dataDxfId="300" totalsRowDxfId="299"/>
    <tableColumn id="27" xr3:uid="{EE6878AA-190C-4444-B250-B07A34607DA8}" name="Biliteracy Pathway Recognitions Offered" dataDxfId="298" totalsRowDxfId="297"/>
    <tableColumn id="3" xr3:uid="{41640DEB-EEA1-402B-B942-F642585D9C7F}" name="American Sign Language Total" totalsRowFunction="sum" dataDxfId="296" totalsRowDxfId="295"/>
    <tableColumn id="4" xr3:uid="{8B650BD0-9F29-4BF8-922B-F0138D10DA5E}" name="Arabic Total" totalsRowFunction="sum" dataDxfId="294" totalsRowDxfId="293"/>
    <tableColumn id="5" xr3:uid="{7B4E8775-9AE1-4BF0-A583-6682F53B2741}" name="Armenian Total" totalsRowFunction="sum" dataDxfId="292" totalsRowDxfId="291"/>
    <tableColumn id="22" xr3:uid="{25AFC663-C436-4238-95BE-A708FD26184A}" name="Bengali Total" totalsRowFunction="sum" dataDxfId="290" totalsRowDxfId="289"/>
    <tableColumn id="18" xr3:uid="{935C5E24-2190-4EBD-ACC1-B81AA821CC7E}" name="Chinese Total" totalsRowFunction="sum" dataDxfId="288" totalsRowDxfId="287"/>
    <tableColumn id="23" xr3:uid="{E7B9F128-EA0C-4FFF-B670-E8C922ACABCA}" name="Farsi (Persian) Total" totalsRowFunction="sum" dataDxfId="286" totalsRowDxfId="285"/>
    <tableColumn id="6" xr3:uid="{FD204F37-5EA0-4D28-98B5-6B341512EB44}" name="French Total" totalsRowFunction="sum" dataDxfId="284" totalsRowDxfId="283"/>
    <tableColumn id="7" xr3:uid="{6A73990F-F73B-4C3B-93F3-974277895367}" name="German Total" totalsRowFunction="sum" dataDxfId="282" totalsRowDxfId="281"/>
    <tableColumn id="19" xr3:uid="{AC8FFF55-C84A-41C3-BECA-536645B72001}" name="Hebrew Total" totalsRowFunction="sum" dataDxfId="280" totalsRowDxfId="279"/>
    <tableColumn id="24" xr3:uid="{E53C238C-B858-4481-91DA-E5CC404105E3}" name="Hindi Total" totalsRowFunction="sum" dataDxfId="278" totalsRowDxfId="277"/>
    <tableColumn id="8" xr3:uid="{A36AD90D-FD0C-4E7E-A2FB-EED20535B649}" name="Hmong Total" totalsRowFunction="sum" dataDxfId="276" totalsRowDxfId="275"/>
    <tableColumn id="9" xr3:uid="{99883B74-C7D5-4688-AF34-AF14BD0CD5E9}" name="Italian Total" totalsRowFunction="sum" dataDxfId="274" totalsRowDxfId="273"/>
    <tableColumn id="10" xr3:uid="{1D475F42-FF09-4E96-B7D1-266572722EE1}" name="Japanese Total" totalsRowFunction="sum" dataDxfId="272" totalsRowDxfId="271"/>
    <tableColumn id="11" xr3:uid="{90F0B3F0-EE3B-495B-BC0F-D98553B1E01F}" name="Korean Total" totalsRowFunction="sum" dataDxfId="270" totalsRowDxfId="269"/>
    <tableColumn id="13" xr3:uid="{30EA8885-3175-4E67-8B19-2408B6DBCF1C}" name="Portuguese Total" totalsRowFunction="sum" dataDxfId="268" totalsRowDxfId="267"/>
    <tableColumn id="25" xr3:uid="{6CA9F5B0-BE08-44A9-A8C4-C3AD22F0022C}" name="Punjabi Total" totalsRowFunction="sum" dataDxfId="266" totalsRowDxfId="265"/>
    <tableColumn id="20" xr3:uid="{2ABED9AC-4B46-498F-AD2F-DAD00513E487}" name="Russian Total" totalsRowFunction="sum" dataDxfId="264" totalsRowDxfId="263"/>
    <tableColumn id="14" xr3:uid="{92AA0E9E-FAFE-436B-B5B0-D634B0D60B4D}" name="Spanish Total" totalsRowFunction="sum" dataDxfId="262" totalsRowDxfId="261"/>
    <tableColumn id="15" xr3:uid="{9404B2DF-078E-4263-AE79-C493C31F0537}" name="Tagalog (Filipino) Total" totalsRowFunction="sum" dataDxfId="260" totalsRowDxfId="259"/>
    <tableColumn id="26" xr3:uid="{CD705805-3281-4F52-A4DA-AF4521DFFE83}" name="Urdu Total" totalsRowFunction="sum" dataDxfId="258" totalsRowDxfId="257"/>
    <tableColumn id="16" xr3:uid="{AE5DFA2E-72D7-4A41-9E6E-9C6D242B0274}" name="Vietnamese Total" totalsRowFunction="sum" dataDxfId="256" totalsRowDxfId="255"/>
    <tableColumn id="17" xr3:uid="{96B6EDBC-2485-41A9-9614-0C828CC24F29}" name="Other Total" totalsRowFunction="sum" dataDxfId="254" totalsRowDxfId="253"/>
    <tableColumn id="21" xr3:uid="{B36CE047-A1DC-4DBF-AFFB-4D5AF0A159CA}" name="Total Seals per LEA" totalsRowFunction="sum" dataDxfId="252" totalsRowDxfId="251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lara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AB6" totalsRowCount="1" headerRowDxfId="1274" dataDxfId="1273">
  <autoFilter ref="A2:AB5" xr:uid="{00000000-0009-0000-0100-000002000000}"/>
  <tableColumns count="28">
    <tableColumn id="1" xr3:uid="{00000000-0010-0000-0100-000001000000}" name="Participating Districts" totalsRowLabel="Total: 3" dataDxfId="1272" totalsRowDxfId="1271"/>
    <tableColumn id="2" xr3:uid="{00000000-0010-0000-0100-000002000000}" name="Participating School(s)" totalsRowLabel="13" dataDxfId="1270" totalsRowDxfId="1269"/>
    <tableColumn id="29" xr3:uid="{6FC0C9AA-F1F8-45D4-9B76-825AD550C650}" name="Dual Language School(s)" totalsRowLabel="1" totalsRowDxfId="1268"/>
    <tableColumn id="31" xr3:uid="{F13622D4-CF31-4ECE-8BCF-EAFE29D39AC4}" name="Program Model(s) Offered" totalsRowDxfId="1267"/>
    <tableColumn id="32" xr3:uid="{73113E7D-C33E-4C51-A071-570DB9AF9D24}" name="Biliteracy Pathway Recognitions Offered" totalsRowDxfId="1266"/>
    <tableColumn id="18" xr3:uid="{00000000-0010-0000-0100-000012000000}" name="American Sign Language Total" totalsRowFunction="sum" dataDxfId="1265" totalsRowDxfId="1264"/>
    <tableColumn id="3" xr3:uid="{00000000-0010-0000-0100-000003000000}" name="Arabic Total" totalsRowFunction="sum" dataDxfId="1263" totalsRowDxfId="1262"/>
    <tableColumn id="4" xr3:uid="{FE2F6E01-73F4-424C-8ACE-4A11F3162658}" name="Armenian Total" totalsRowFunction="sum" dataDxfId="1261" totalsRowDxfId="1260"/>
    <tableColumn id="22" xr3:uid="{68588E7F-EAC1-4BD0-89C2-DBEB76379895}" name="Bengali Total" totalsRowFunction="sum" dataDxfId="1259" totalsRowDxfId="1258"/>
    <tableColumn id="5" xr3:uid="{00000000-0010-0000-0100-000005000000}" name="Chinese Total" totalsRowFunction="sum" dataDxfId="1257" totalsRowDxfId="1256"/>
    <tableColumn id="23" xr3:uid="{EC6BF2CA-0884-4BC9-B838-B5B7C4EAACF5}" name="Farsi (Persian) Total" totalsRowFunction="sum" dataDxfId="1255" totalsRowDxfId="1254"/>
    <tableColumn id="6" xr3:uid="{00000000-0010-0000-0100-000006000000}" name="French Total" totalsRowFunction="sum" dataDxfId="1253" totalsRowDxfId="1252"/>
    <tableColumn id="7" xr3:uid="{00000000-0010-0000-0100-000007000000}" name="German Total" totalsRowFunction="sum" dataDxfId="1251" totalsRowDxfId="1250"/>
    <tableColumn id="8" xr3:uid="{00000000-0010-0000-0100-000008000000}" name="Hebrew Total" totalsRowFunction="sum" dataDxfId="1249" totalsRowDxfId="1248"/>
    <tableColumn id="24" xr3:uid="{6D0987A4-A6BE-4FEE-ACC7-93A5B421239B}" name="Hindi Total" totalsRowFunction="sum" dataDxfId="1247" totalsRowDxfId="1246"/>
    <tableColumn id="9" xr3:uid="{00000000-0010-0000-0100-000009000000}" name="Hmong Total" totalsRowFunction="sum" dataDxfId="1245" totalsRowDxfId="1244"/>
    <tableColumn id="10" xr3:uid="{00000000-0010-0000-0100-00000A000000}" name="Italian Total" totalsRowFunction="sum" dataDxfId="1243" totalsRowDxfId="1242"/>
    <tableColumn id="11" xr3:uid="{00000000-0010-0000-0100-00000B000000}" name="Japanese Total" totalsRowFunction="sum" dataDxfId="1241" totalsRowDxfId="1240"/>
    <tableColumn id="12" xr3:uid="{00000000-0010-0000-0100-00000C000000}" name="Korean Total" totalsRowFunction="sum" dataDxfId="1239" totalsRowDxfId="1238"/>
    <tableColumn id="19" xr3:uid="{3AB27456-C8A0-4F84-97A2-9B65B872BC68}" name="Portuguese Total" totalsRowFunction="sum" dataDxfId="1237" totalsRowDxfId="1236"/>
    <tableColumn id="25" xr3:uid="{98535F64-6044-44E7-925F-B8435E4EE05B}" name="Punjabi Total" totalsRowFunction="sum" dataDxfId="1235" totalsRowDxfId="1234"/>
    <tableColumn id="20" xr3:uid="{27F38954-6CB6-40B8-8B8E-B9B11311D980}" name="Russian Total" totalsRowFunction="sum" dataDxfId="1233" totalsRowDxfId="1232"/>
    <tableColumn id="14" xr3:uid="{00000000-0010-0000-0100-00000E000000}" name="Spanish Total" totalsRowFunction="sum" dataDxfId="1231" totalsRowDxfId="1230"/>
    <tableColumn id="15" xr3:uid="{00000000-0010-0000-0100-00000F000000}" name="Tagalog (Filipino) Total" totalsRowFunction="sum" dataDxfId="1229" totalsRowDxfId="1228"/>
    <tableColumn id="26" xr3:uid="{11ABA669-2E24-49AF-9D10-D44A62B16904}" name="Urdu Total" totalsRowFunction="sum" dataDxfId="1227" totalsRowDxfId="1226"/>
    <tableColumn id="16" xr3:uid="{00000000-0010-0000-0100-000010000000}" name="Vietnamese Total" totalsRowFunction="sum" dataDxfId="1225" totalsRowDxfId="1224"/>
    <tableColumn id="17" xr3:uid="{00000000-0010-0000-0100-000011000000}" name="Other Total" totalsRowFunction="sum" dataDxfId="1223" totalsRowDxfId="1222"/>
    <tableColumn id="21" xr3:uid="{E2CFAE4C-C294-4BD4-A235-4C30B9097555}" name="Total Seals per LEA" totalsRowFunction="sum" dataDxfId="1221" totalsRowDxfId="1220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F7690E9-69B8-4086-B0FC-BCF5CE4324BA}" name="SanBernardino91011" displayName="SanBernardino91011" ref="A2:AB4" totalsRowCount="1" headerRowDxfId="250" dataDxfId="249">
  <autoFilter ref="A2:AB3" xr:uid="{1F7690E9-69B8-4086-B0FC-BCF5CE4324BA}"/>
  <tableColumns count="28">
    <tableColumn id="1" xr3:uid="{11DFF7D1-BBC9-4DBE-96ED-11DE2CA436C9}" name="Participating Districts" totalsRowLabel="Total: 1" dataDxfId="248"/>
    <tableColumn id="2" xr3:uid="{BBA37ABE-E983-4AC5-8A35-08B1DC5ED2E6}" name="Participating Schools" totalsRowLabel="2" dataDxfId="247" totalsRowDxfId="246"/>
    <tableColumn id="29" xr3:uid="{0D026446-2026-4999-B8F8-EA80C211DAA0}" name="Dual Language School(s)" totalsRowLabel="1" dataDxfId="245" totalsRowDxfId="244"/>
    <tableColumn id="28" xr3:uid="{D873D2DE-09EC-4E3F-9C2B-3D8778C0547D}" name="Program Model(s) Offered" dataDxfId="243" totalsRowDxfId="242"/>
    <tableColumn id="27" xr3:uid="{99832616-92A0-4087-9710-EAFB55A530FC}" name="Biliteracy Pathway Recognitions Offered" dataDxfId="241" totalsRowDxfId="240"/>
    <tableColumn id="3" xr3:uid="{FF0C40F2-622C-4C63-8B30-779C9100F6A5}" name="American Sign Language Total" totalsRowFunction="sum" dataDxfId="239" totalsRowDxfId="238"/>
    <tableColumn id="4" xr3:uid="{3F6A2D6E-D7E6-4A94-86E6-E37A2AEAC46D}" name="Arabic Total" totalsRowFunction="sum" dataDxfId="237" totalsRowDxfId="236"/>
    <tableColumn id="5" xr3:uid="{F2E93E2C-CDA6-4362-9759-17673FA63B90}" name="Armenian Total" totalsRowFunction="sum" dataDxfId="235" totalsRowDxfId="234"/>
    <tableColumn id="22" xr3:uid="{871A9BEF-CEB0-4159-9E9C-4761CE02A880}" name="Bengali Total" totalsRowFunction="sum" dataDxfId="233" totalsRowDxfId="232"/>
    <tableColumn id="18" xr3:uid="{491BCCD8-8475-4629-8B8C-28EE83F64B31}" name="Chinese Total" totalsRowFunction="sum" dataDxfId="231" totalsRowDxfId="230"/>
    <tableColumn id="23" xr3:uid="{BB55411E-4871-41E2-B104-4A92D1584423}" name="Farsi (Persian) Total" totalsRowFunction="sum" dataDxfId="229" totalsRowDxfId="228"/>
    <tableColumn id="6" xr3:uid="{43B303D6-C8C6-4F2C-8DDE-1BE64A41537D}" name="French Total" totalsRowFunction="sum" dataDxfId="227" totalsRowDxfId="226"/>
    <tableColumn id="7" xr3:uid="{C198BCC2-A1B0-4BF3-99A4-BD8AAF412AFA}" name="German Total" totalsRowFunction="sum" dataDxfId="225" totalsRowDxfId="224"/>
    <tableColumn id="19" xr3:uid="{15BB8787-59AE-4DDB-8DC2-E066212A165B}" name="Hebrew Total" totalsRowFunction="sum" dataDxfId="223" totalsRowDxfId="222"/>
    <tableColumn id="24" xr3:uid="{0026EE5D-D36C-4859-9E35-36DDC515F1E5}" name="Hindi Total" totalsRowFunction="sum" dataDxfId="221" totalsRowDxfId="220"/>
    <tableColumn id="8" xr3:uid="{B0EEAE40-0B66-4E16-B943-9AB0793EC970}" name="Hmong Total" totalsRowFunction="sum" dataDxfId="219" totalsRowDxfId="218"/>
    <tableColumn id="9" xr3:uid="{49D97916-A2E4-489B-8956-317A5DACF0D1}" name="Italian Total" totalsRowFunction="sum" dataDxfId="217" totalsRowDxfId="216"/>
    <tableColumn id="10" xr3:uid="{DC657E75-B98F-40EB-BCD2-727BC0B020A5}" name="Japanese Total" totalsRowFunction="sum" dataDxfId="215" totalsRowDxfId="214"/>
    <tableColumn id="11" xr3:uid="{38E3953C-AEEC-47A2-97AD-FCCF19F40F02}" name="Korean Total" totalsRowFunction="sum" dataDxfId="213" totalsRowDxfId="212"/>
    <tableColumn id="13" xr3:uid="{D654FFCE-2D20-49C8-BF4D-54FF04422277}" name="Portuguese Total" totalsRowFunction="sum" dataDxfId="211" totalsRowDxfId="210"/>
    <tableColumn id="25" xr3:uid="{088A7405-8D4A-4BDB-AF4F-EF4799908B93}" name="Punjabi Total" totalsRowFunction="sum" dataDxfId="209" totalsRowDxfId="208"/>
    <tableColumn id="20" xr3:uid="{4AF6588A-BBB3-4616-9DF9-299C4577EC85}" name="Russian Total" totalsRowFunction="sum" dataDxfId="207" totalsRowDxfId="206"/>
    <tableColumn id="14" xr3:uid="{34A32A19-55D1-4440-8D97-94CD0EC4921A}" name="Spanish Total" totalsRowFunction="sum" dataDxfId="205" totalsRowDxfId="204"/>
    <tableColumn id="15" xr3:uid="{F740FAE2-998B-41FD-8D69-F7E0AC9278A0}" name="Tagalog (Filipino) Total" totalsRowFunction="sum" dataDxfId="203" totalsRowDxfId="202"/>
    <tableColumn id="26" xr3:uid="{8D2AFDDF-42DC-4C0C-B1B1-2E30CA155D51}" name="Urdu Total" totalsRowFunction="sum" dataDxfId="201" totalsRowDxfId="200"/>
    <tableColumn id="16" xr3:uid="{3E9DD29D-F943-42E7-BFD5-ED1F99C26525}" name="Vietnamese Total" totalsRowFunction="sum" dataDxfId="199" totalsRowDxfId="198"/>
    <tableColumn id="17" xr3:uid="{1990D2A6-3ACC-479A-812E-89145FB43EAC}" name="Other Total" totalsRowFunction="sum" dataDxfId="197" totalsRowDxfId="196"/>
    <tableColumn id="21" xr3:uid="{B4906ECE-07D1-4399-B9CD-5DD46D1DEE1C}" name="Total Seals per LEA" totalsRowFunction="sum" dataDxfId="195" totalsRowDxfId="194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ruz county and also includes language tota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3A1947-6445-4387-A311-3E196059091D}" name="SanBernardino9101112" displayName="SanBernardino9101112" ref="A2:AB4" totalsRowCount="1" headerRowDxfId="193" dataDxfId="192">
  <autoFilter ref="A2:AB3" xr:uid="{953A1947-6445-4387-A311-3E196059091D}"/>
  <tableColumns count="28">
    <tableColumn id="1" xr3:uid="{CE134430-80B5-4BB5-9E6B-8AD143FFA68E}" name="Participating Districts" totalsRowLabel="Total: 1" dataDxfId="191"/>
    <tableColumn id="2" xr3:uid="{F8773ECF-95B5-4623-808F-3C12D50C705E}" name="Participating Schools" totalsRowLabel="1" dataDxfId="190" totalsRowDxfId="189"/>
    <tableColumn id="29" xr3:uid="{8FC5D56A-D98E-45BE-B93D-1B184D81AD85}" name="Dual Language School(s)" totalsRowLabel="1" dataDxfId="188" totalsRowDxfId="187"/>
    <tableColumn id="28" xr3:uid="{477894DD-54FA-4BBB-B017-A2EAA03FCAB5}" name="Program Model(s) Offered" dataDxfId="186" totalsRowDxfId="185"/>
    <tableColumn id="27" xr3:uid="{0D552BC6-DDD1-47A2-AAF6-706C18F2122A}" name="Biliteracy Pathway Recognitions Offered" dataDxfId="184" totalsRowDxfId="183"/>
    <tableColumn id="3" xr3:uid="{FCA38470-2B25-4D2E-A762-34B01C522E95}" name="American Sign Language Total" totalsRowFunction="sum" dataDxfId="182" totalsRowDxfId="181"/>
    <tableColumn id="4" xr3:uid="{C52F177C-60D4-4211-AF28-A0E0C4E272B6}" name="Arabic Total" totalsRowFunction="sum" dataDxfId="180" totalsRowDxfId="179"/>
    <tableColumn id="5" xr3:uid="{4DD73FCA-D684-4FB5-8BA0-4DA47E41B7A4}" name="Armenian Total" totalsRowFunction="sum" dataDxfId="178" totalsRowDxfId="177"/>
    <tableColumn id="22" xr3:uid="{48869D58-07F0-4B28-8D97-96606309540D}" name="Bengali Total" totalsRowFunction="sum" dataDxfId="176" totalsRowDxfId="175"/>
    <tableColumn id="18" xr3:uid="{64BB09F1-56B8-4A37-81B0-5F25CECB850D}" name="Chinese Total" totalsRowFunction="sum" dataDxfId="174" totalsRowDxfId="173"/>
    <tableColumn id="23" xr3:uid="{A0C96124-D270-4D1D-BD9E-7BDA6FAC475D}" name="Farsi (Persian) Total" totalsRowFunction="sum" dataDxfId="172" totalsRowDxfId="171"/>
    <tableColumn id="6" xr3:uid="{CDBC0822-398D-466B-8AE9-0A91E62F2CC5}" name="French Total" totalsRowFunction="sum" dataDxfId="170" totalsRowDxfId="169"/>
    <tableColumn id="7" xr3:uid="{A1B23FFC-A8EA-4E87-9F3E-7CB631318124}" name="German Total" totalsRowFunction="sum" dataDxfId="168" totalsRowDxfId="167"/>
    <tableColumn id="19" xr3:uid="{0993598E-EC39-4EF2-BF8D-39E235C33F14}" name="Hebrew Total" totalsRowFunction="sum" dataDxfId="166" totalsRowDxfId="165"/>
    <tableColumn id="24" xr3:uid="{468DDE01-2C29-4E0B-8F5F-5E952CF79C9B}" name="Hindi Total" totalsRowFunction="sum" dataDxfId="164" totalsRowDxfId="163"/>
    <tableColumn id="8" xr3:uid="{796827E5-334D-432C-A604-CFF01D9863BD}" name="Hmong Total" totalsRowFunction="sum" dataDxfId="162" totalsRowDxfId="161"/>
    <tableColumn id="9" xr3:uid="{55DF55CB-17CA-41BE-8550-6496CE3949BF}" name="Italian Total" totalsRowFunction="sum" dataDxfId="160" totalsRowDxfId="159"/>
    <tableColumn id="10" xr3:uid="{9F529DEC-B236-4079-A843-C36B1B98A44D}" name="Japanese Total" totalsRowFunction="sum" dataDxfId="158" totalsRowDxfId="157"/>
    <tableColumn id="11" xr3:uid="{934E3E29-46DD-403B-9329-648D941FADAD}" name="Korean Total" totalsRowFunction="sum" dataDxfId="156" totalsRowDxfId="155"/>
    <tableColumn id="13" xr3:uid="{B6B1DB01-9A39-41DC-9BEE-710DC5E80C0B}" name="Portuguese Total" totalsRowFunction="sum" dataDxfId="154" totalsRowDxfId="153"/>
    <tableColumn id="25" xr3:uid="{04131BEC-4FC9-4AB1-9B62-7BC39FE36ABA}" name="Punjabi Total" totalsRowFunction="sum" dataDxfId="152" totalsRowDxfId="151"/>
    <tableColumn id="20" xr3:uid="{D5CFA0A2-BDE2-472B-BC0E-0624A1CB00EC}" name="Russian Total" totalsRowFunction="sum" dataDxfId="150" totalsRowDxfId="149"/>
    <tableColumn id="14" xr3:uid="{5972FF08-4A93-4A3E-9255-D597467C077F}" name="Spanish Total" totalsRowFunction="sum" dataDxfId="148" totalsRowDxfId="147"/>
    <tableColumn id="15" xr3:uid="{E0F5AE3A-E140-4B9B-A1A0-957EEB0125C9}" name="Tagalog (Filipino) Total" totalsRowFunction="sum" dataDxfId="146" totalsRowDxfId="145"/>
    <tableColumn id="26" xr3:uid="{1D53C499-DD29-4A6A-92F1-1FCB6EEE1F8D}" name="Urdu Total" totalsRowFunction="sum" dataDxfId="144" totalsRowDxfId="143"/>
    <tableColumn id="16" xr3:uid="{AB623329-C236-4AC2-A7DF-D45FE6DBF013}" name="Vietnamese Total" totalsRowFunction="sum" dataDxfId="142" totalsRowDxfId="141"/>
    <tableColumn id="17" xr3:uid="{8F278610-AFD0-4781-9A6D-AEAECB947C0D}" name="Other Total" totalsRowFunction="sum" dataDxfId="140" totalsRowDxfId="139"/>
    <tableColumn id="21" xr3:uid="{A38F7792-6C39-4CB6-B740-85F3FE6079EB}" name="Total Seals per LEA" totalsRowFunction="sum" dataDxfId="138" totalsRowDxfId="137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hasta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47172F-B46E-489E-8D50-649715829000}" name="Ventura" displayName="Ventura" ref="A2:AB4" totalsRowCount="1" headerRowDxfId="136" dataDxfId="135">
  <autoFilter ref="A2:AB3" xr:uid="{00000000-0009-0000-0100-00001C000000}"/>
  <tableColumns count="28">
    <tableColumn id="1" xr3:uid="{C3ED2A30-BCE3-4574-A7CF-D52C29A2C593}" name="Participating Districts" totalsRowLabel="Total: 1" dataDxfId="134" totalsRowDxfId="133"/>
    <tableColumn id="2" xr3:uid="{6EBA7F5D-B4CF-4B54-A9B2-1440352272DC}" name="Participating Schools" totalsRowLabel="1" dataDxfId="132" totalsRowDxfId="131"/>
    <tableColumn id="28" xr3:uid="{A102AED0-47DB-40C0-93E1-90973DC6A7AF}" name="Dual Language School(s)" totalsRowLabel="1" dataDxfId="130" totalsRowDxfId="129"/>
    <tableColumn id="27" xr3:uid="{75C17832-3B2C-4691-9334-256E9F208702}" name="Program Model(s) Offered" dataDxfId="128" totalsRowDxfId="127"/>
    <tableColumn id="11" xr3:uid="{79EFBB05-F184-4C9E-A243-E8051CEB7262}" name="Biliteracy Pathway Recognitions Offered" dataDxfId="126" totalsRowDxfId="125"/>
    <tableColumn id="3" xr3:uid="{F6FBE704-CD7E-47F7-952A-85DCDAD3BED4}" name="American Sign Language Total" totalsRowFunction="sum" dataDxfId="124" totalsRowDxfId="123"/>
    <tableColumn id="4" xr3:uid="{FA89C0F9-BAFA-4261-B48B-910666951E8F}" name="Arabic Total" totalsRowFunction="sum" dataDxfId="122" totalsRowDxfId="121"/>
    <tableColumn id="5" xr3:uid="{36A35CEF-B059-4BEE-A450-490C0B605B6E}" name="Armenian Total" totalsRowFunction="sum" dataDxfId="120" totalsRowDxfId="119"/>
    <tableColumn id="22" xr3:uid="{2172661B-33EF-4A9B-8FA3-2AB84D3A6347}" name="Bengali Total" totalsRowFunction="sum" dataDxfId="118" totalsRowDxfId="117"/>
    <tableColumn id="18" xr3:uid="{4340DAEA-EDCA-4BCA-ABA1-A5D14BD7F1B1}" name="Chinese Total" totalsRowFunction="sum" dataDxfId="116" totalsRowDxfId="115"/>
    <tableColumn id="23" xr3:uid="{56F7B148-A075-4F3D-B55A-554EA7B84387}" name="Farsi (Persian) Total" totalsRowFunction="sum" dataDxfId="114" totalsRowDxfId="113"/>
    <tableColumn id="6" xr3:uid="{261D14F2-34B3-4FA9-A023-3C19A244991D}" name="French Total" totalsRowFunction="sum" dataDxfId="112" totalsRowDxfId="111"/>
    <tableColumn id="7" xr3:uid="{FE083937-6A86-4A1A-AED0-9EF820AC38D7}" name="German Total" totalsRowFunction="sum" dataDxfId="110" totalsRowDxfId="109"/>
    <tableColumn id="19" xr3:uid="{5CD51624-37E6-432C-9172-87A229D76477}" name="Hebrew Total" totalsRowFunction="sum" dataDxfId="108" totalsRowDxfId="107"/>
    <tableColumn id="24" xr3:uid="{F9C32A92-ABB8-48B3-86CC-1C1CB16BEA16}" name="Hindi Total" totalsRowFunction="sum" dataDxfId="106" totalsRowDxfId="105"/>
    <tableColumn id="8" xr3:uid="{5C38E511-A75D-445B-8102-DC0D5A1575B7}" name="Hmong Total" totalsRowFunction="sum" dataDxfId="104" totalsRowDxfId="103"/>
    <tableColumn id="9" xr3:uid="{0149F03F-05B9-45FD-8A46-598532E5F4BB}" name="Italian Total" totalsRowFunction="sum" dataDxfId="102" totalsRowDxfId="101"/>
    <tableColumn id="10" xr3:uid="{00FAF3E2-1AE6-41E6-8DD5-F94149DCA558}" name="Japanese Total" totalsRowFunction="sum" dataDxfId="100" totalsRowDxfId="99"/>
    <tableColumn id="29" xr3:uid="{093C15D4-BC0E-4FA2-8F43-75C3CC187059}" name="Korean Total" totalsRowLabel="0" dataDxfId="98" totalsRowDxfId="97"/>
    <tableColumn id="13" xr3:uid="{0B3B0EF5-9C64-44DF-925E-3BD12DE6DE9F}" name="Portuguese Total" totalsRowFunction="sum" dataDxfId="96" totalsRowDxfId="95"/>
    <tableColumn id="25" xr3:uid="{39AD92FA-3F96-42FF-942E-886E6AFD6BD6}" name="Punjabi Total" totalsRowFunction="sum" dataDxfId="94" totalsRowDxfId="93"/>
    <tableColumn id="20" xr3:uid="{369C0951-25E9-436D-B8C5-1DA402171CA4}" name="Russian Total" totalsRowFunction="sum" dataDxfId="92" totalsRowDxfId="91"/>
    <tableColumn id="14" xr3:uid="{BF9E4002-09CF-4B27-A8E7-C11232242922}" name="Spanish Total" totalsRowFunction="sum" dataDxfId="90" totalsRowDxfId="89"/>
    <tableColumn id="15" xr3:uid="{45D1432A-74E1-452E-96DC-A548919804B8}" name="Tagalog (Filipino) Total" totalsRowFunction="sum" dataDxfId="88" totalsRowDxfId="87"/>
    <tableColumn id="26" xr3:uid="{73C5AE86-BB0F-474B-80C0-AEFF16E6E8EF}" name="Urdu Total" totalsRowFunction="sum" dataDxfId="86" totalsRowDxfId="85"/>
    <tableColumn id="16" xr3:uid="{35A70EFD-F941-43CD-BE7B-BCBD2C512837}" name="Vietnamese Total" totalsRowFunction="sum" dataDxfId="84" totalsRowDxfId="83"/>
    <tableColumn id="17" xr3:uid="{A6ABC912-070F-429B-BA14-74E53BB9D009}" name="Other Total" totalsRowFunction="sum" dataDxfId="82" totalsRowDxfId="81"/>
    <tableColumn id="21" xr3:uid="{FF5EDBBB-11A3-4744-AEEA-5FBC1C5FBC89}" name="Total Seals per LEA" totalsRowFunction="sum" dataDxfId="80" totalsRowDxfId="79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Ventura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CB60F16-39B5-4F00-801A-87AB78A2541B}" name="Yolo" displayName="Yolo" ref="A2:AB5" totalsRowCount="1" headerRowDxfId="78" dataDxfId="77">
  <autoFilter ref="A2:AB4" xr:uid="{00000000-0009-0000-0100-00001C000000}"/>
  <tableColumns count="28">
    <tableColumn id="1" xr3:uid="{52EA91B0-FB81-49ED-AE35-696D4346FFBD}" name="Participating Districts" totalsRowLabel="Total: 2" dataDxfId="76" totalsRowDxfId="75"/>
    <tableColumn id="2" xr3:uid="{63E42A5D-19B7-45AB-801B-E44C53E58FA4}" name="Participating Schools" totalsRowLabel="8" dataDxfId="74" totalsRowDxfId="73"/>
    <tableColumn id="29" xr3:uid="{355C6800-A035-4BAE-85E2-C77DAA540158}" name="Dual Language School(s)" totalsRowLabel="4" dataDxfId="72" totalsRowDxfId="71"/>
    <tableColumn id="28" xr3:uid="{E2DEDFFB-391A-4F4B-9DC7-B2C1528C9284}" name="Program Model(s) Offered" dataDxfId="70" totalsRowDxfId="69"/>
    <tableColumn id="27" xr3:uid="{3C1AD896-C743-47CB-8707-D30C72B3045F}" name="Biliteracy Pathway Recognitions Offered" dataDxfId="68" totalsRowDxfId="67"/>
    <tableColumn id="3" xr3:uid="{E4EED2DF-3306-42F1-8DD5-DD688FAA0CEA}" name="American Sign Language Total" totalsRowFunction="sum" dataDxfId="66" totalsRowDxfId="65"/>
    <tableColumn id="4" xr3:uid="{E7267657-0D30-4A8F-8112-E49701F9C386}" name="Arabic Total" totalsRowFunction="sum" dataDxfId="64" totalsRowDxfId="63"/>
    <tableColumn id="5" xr3:uid="{752ECC47-3EFF-41DC-AC81-FF77BDDE278F}" name="Armenian Total" totalsRowFunction="sum" dataDxfId="62" totalsRowDxfId="61"/>
    <tableColumn id="22" xr3:uid="{EB5E603E-2D05-4B6F-A168-EFE4ABC63639}" name="Bengali Total" totalsRowFunction="sum" dataDxfId="60" totalsRowDxfId="59"/>
    <tableColumn id="18" xr3:uid="{4989D4F3-2685-4D91-99CE-0DEFB24EC736}" name="Chinese Total" totalsRowFunction="sum" dataDxfId="58" totalsRowDxfId="57"/>
    <tableColumn id="23" xr3:uid="{10EE861F-8327-416C-87FE-37226363160E}" name="Farsi (Persian) Total" totalsRowFunction="sum" dataDxfId="56" totalsRowDxfId="55"/>
    <tableColumn id="6" xr3:uid="{A6733111-57B4-4283-8A2F-5ED20F6F636F}" name="French Total" totalsRowFunction="sum" dataDxfId="54" totalsRowDxfId="53"/>
    <tableColumn id="7" xr3:uid="{DCEB8AEF-9FBD-4169-87C1-47A2F1A67DCD}" name="German Total" totalsRowFunction="sum" dataDxfId="52" totalsRowDxfId="51"/>
    <tableColumn id="19" xr3:uid="{9CA3F46C-5FDD-4EA8-8DEB-C4852AEF03D5}" name="Hebrew Total" totalsRowFunction="sum" dataDxfId="50" totalsRowDxfId="49"/>
    <tableColumn id="24" xr3:uid="{70B619CF-3E01-421E-A799-3C765E64309D}" name="Hindi Total" totalsRowFunction="sum" dataDxfId="48" totalsRowDxfId="47"/>
    <tableColumn id="8" xr3:uid="{9878D90A-7794-458D-9DA4-BCA040C4293D}" name="Hmong Total" totalsRowFunction="sum" dataDxfId="46" totalsRowDxfId="45"/>
    <tableColumn id="9" xr3:uid="{66A763D4-6B65-4B27-A89C-26D18199FD4D}" name="Italian Total" totalsRowFunction="sum" dataDxfId="44" totalsRowDxfId="43"/>
    <tableColumn id="10" xr3:uid="{55929FC5-BF90-4478-91B7-C5882781AE5C}" name="Japanese Total" totalsRowFunction="sum" dataDxfId="42" totalsRowDxfId="41"/>
    <tableColumn id="11" xr3:uid="{5504786E-A63B-4C22-B150-7E248FA045CF}" name="Korean Total" totalsRowFunction="sum" dataDxfId="40" totalsRowDxfId="39"/>
    <tableColumn id="13" xr3:uid="{4F1ADDA1-C72A-4321-A32E-83AE671C2170}" name="Portuguese Total" totalsRowFunction="sum" dataDxfId="38" totalsRowDxfId="37"/>
    <tableColumn id="25" xr3:uid="{46B13BFE-031E-457C-B32F-5B08C63AB1F2}" name="Punjabi Total" totalsRowFunction="sum" dataDxfId="36" totalsRowDxfId="35"/>
    <tableColumn id="20" xr3:uid="{8BCBC6B9-2F04-46A5-81C8-F590F894D362}" name="Russian Total" totalsRowFunction="sum" dataDxfId="34" totalsRowDxfId="33"/>
    <tableColumn id="14" xr3:uid="{BCCD15F7-5965-4BF9-B32A-CC7EFEC2C472}" name="Spanish Total" totalsRowFunction="sum" dataDxfId="32" totalsRowDxfId="31"/>
    <tableColumn id="15" xr3:uid="{FDA18131-CCB8-4DBE-928A-049EA4B9BED8}" name="Tagalog (Filipino) Total" totalsRowFunction="sum" dataDxfId="30" totalsRowDxfId="29"/>
    <tableColumn id="26" xr3:uid="{D56F970F-3D6C-4D04-A97A-85488FDB6C84}" name="Urdu Total" totalsRowFunction="sum" dataDxfId="28" totalsRowDxfId="27"/>
    <tableColumn id="16" xr3:uid="{C1352CF3-9CE5-40A7-8C1B-AFFE55FC431E}" name="Vietnamese Total" totalsRowFunction="sum" dataDxfId="26" totalsRowDxfId="25"/>
    <tableColumn id="17" xr3:uid="{F45EC713-7F58-43D2-9518-624A73D73B54}" name="Other Total" totalsRowFunction="sum" dataDxfId="24" totalsRowDxfId="23"/>
    <tableColumn id="21" xr3:uid="{3FBFDC2C-663C-4EA4-B81B-2C5FD695B5B5}" name="Total Seals per LEA" totalsRowFunction="sum" dataDxfId="22" totalsRowDxfId="21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Yolo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496336-8320-414A-8754-1BEC2A4146B1}" name="Table26" displayName="Table26" ref="A2:AB6" totalsRowCount="1" headerRowDxfId="1219" dataDxfId="1218">
  <autoFilter ref="A2:AB5" xr:uid="{00000000-0009-0000-0100-000002000000}"/>
  <tableColumns count="28">
    <tableColumn id="1" xr3:uid="{9C417C16-A0EC-40AA-9B16-15A975D690EB}" name="Participating Districts" totalsRowLabel="Total: 3" dataDxfId="1217" totalsRowDxfId="1216"/>
    <tableColumn id="2" xr3:uid="{16FFD617-1E11-4381-9D4C-6A57EDA14E01}" name="Participating School(s)" totalsRowLabel="7" dataDxfId="1215" totalsRowDxfId="1214"/>
    <tableColumn id="29" xr3:uid="{22920DA7-D141-4033-96A7-912422EA1B7E}" name="Dual Language School(s)" totalsRowLabel="7" dataDxfId="1213" totalsRowDxfId="1212"/>
    <tableColumn id="31" xr3:uid="{A72AE898-F52D-471C-B8FF-62965D4BEF25}" name="Program Model(s) Offered" dataDxfId="1211" totalsRowDxfId="1210"/>
    <tableColumn id="32" xr3:uid="{56AFBDB3-4569-4549-84C2-FA8262C200A3}" name="Biliteracy Pathway Recognitions Offered" dataDxfId="1209" totalsRowDxfId="1208"/>
    <tableColumn id="18" xr3:uid="{69089AC6-2966-4FE5-A591-B835F15DF580}" name="American Sign Language Total" totalsRowFunction="sum" dataDxfId="1207" totalsRowDxfId="1206"/>
    <tableColumn id="3" xr3:uid="{2B04E146-661B-47DE-A908-C8D467C6F8EF}" name="Arabic Total" totalsRowFunction="sum" dataDxfId="1205" totalsRowDxfId="1204"/>
    <tableColumn id="4" xr3:uid="{C0D985DB-648B-4518-B600-DFDDF312F75A}" name="Armenian Total" totalsRowFunction="sum" dataDxfId="1203" totalsRowDxfId="1202"/>
    <tableColumn id="22" xr3:uid="{F9338060-48FC-40AF-B01B-997B1C2ED29F}" name="Bengali Total" totalsRowFunction="sum" dataDxfId="1201" totalsRowDxfId="1200"/>
    <tableColumn id="5" xr3:uid="{3ED666CB-C311-4933-927C-4EAB8F74773C}" name="Chinese Total" totalsRowFunction="sum" dataDxfId="1199" totalsRowDxfId="1198"/>
    <tableColumn id="23" xr3:uid="{9B472A27-7E47-44AA-8A58-B914AB435334}" name="Farsi (Persian) Total" totalsRowFunction="sum" dataDxfId="1197" totalsRowDxfId="1196"/>
    <tableColumn id="6" xr3:uid="{B98D9703-4060-454C-AC27-F9CF4A0BFBBB}" name="French Total" totalsRowFunction="sum" dataDxfId="1195" totalsRowDxfId="1194"/>
    <tableColumn id="7" xr3:uid="{6ECB70E7-4450-44BE-A4F8-7905D1136BDD}" name="German Total" totalsRowFunction="sum" dataDxfId="1193" totalsRowDxfId="1192"/>
    <tableColumn id="8" xr3:uid="{F1399840-F2B9-454B-ABD2-90ACC98691C0}" name="Hebrew Total" totalsRowFunction="sum" dataDxfId="1191" totalsRowDxfId="1190"/>
    <tableColumn id="24" xr3:uid="{7E500A3D-2704-4865-9921-F3EA2DD1318C}" name="Hindi Total" totalsRowFunction="sum" dataDxfId="1189" totalsRowDxfId="1188"/>
    <tableColumn id="9" xr3:uid="{E1FBC5B4-3320-4D84-85FC-405D0BD47506}" name="Hmong Total" totalsRowFunction="sum" dataDxfId="1187" totalsRowDxfId="1186"/>
    <tableColumn id="10" xr3:uid="{23CF1B56-04A1-47F6-AF98-B4A45DC9156C}" name="Italian Total" totalsRowFunction="sum" dataDxfId="1185" totalsRowDxfId="1184"/>
    <tableColumn id="11" xr3:uid="{2E7AA1C3-D42E-4540-8A51-46EBF2F60F3C}" name="Japanese Total" totalsRowFunction="sum" dataDxfId="1183" totalsRowDxfId="1182"/>
    <tableColumn id="12" xr3:uid="{6664AAE4-1C22-4E13-947E-E7E58461F9D8}" name="Korean Total" totalsRowFunction="sum" dataDxfId="1181" totalsRowDxfId="1180"/>
    <tableColumn id="19" xr3:uid="{935F11D0-EA22-4466-AA77-2AD86CA4C323}" name="Portuguese Total" totalsRowFunction="sum" dataDxfId="1179" totalsRowDxfId="1178"/>
    <tableColumn id="25" xr3:uid="{75F4C847-D684-4570-ABA4-D7A3AEAED2F5}" name="Punjabi Total" totalsRowFunction="sum" dataDxfId="1177" totalsRowDxfId="1176"/>
    <tableColumn id="20" xr3:uid="{B8DC910C-AA1B-4A15-9663-0D14F2784E8F}" name="Russian Total" totalsRowFunction="sum" dataDxfId="1175" totalsRowDxfId="1174"/>
    <tableColumn id="14" xr3:uid="{D8F7F9FD-2068-4D92-8F55-F096FEA10CA7}" name="Spanish Total" totalsRowFunction="sum" dataDxfId="1173" totalsRowDxfId="1172"/>
    <tableColumn id="15" xr3:uid="{B10D9F98-1073-4C77-A9A5-1482F4B31D1D}" name="Tagalog (Filipino) Total" totalsRowFunction="sum" dataDxfId="1171" totalsRowDxfId="1170"/>
    <tableColumn id="26" xr3:uid="{83CFFCA9-6D35-4224-A68C-90C89BA87894}" name="Urdu Total" totalsRowFunction="sum" dataDxfId="1169" totalsRowDxfId="1168"/>
    <tableColumn id="16" xr3:uid="{EDC7E013-2DC8-49E7-BB6E-EA3E31D8D3E2}" name="Vietnamese Total" totalsRowFunction="sum" dataDxfId="1167" totalsRowDxfId="1166"/>
    <tableColumn id="17" xr3:uid="{A9409236-93DB-4186-B4FF-1B3FF7F3A98A}" name="Other Total" totalsRowFunction="sum" dataDxfId="1165" totalsRowDxfId="1164"/>
    <tableColumn id="21" xr3:uid="{0D933BF6-B9B5-49A2-9680-BFF59FF7AD3B}" name="Total Seals per LEA" totalsRowFunction="sum" dataDxfId="1163" totalsRowDxfId="1162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ontra Costa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50E004-50F3-4D40-A26C-42994B291DAB}" name="Fresno2" displayName="Fresno2" ref="A2:AB4" totalsRowCount="1" headerRowDxfId="1161" dataDxfId="1160">
  <autoFilter ref="A2:AB3" xr:uid="{E750E004-50F3-4D40-A26C-42994B291DAB}"/>
  <tableColumns count="28">
    <tableColumn id="1" xr3:uid="{A0438175-DFE6-4839-9687-E52FD8057767}" name="Participating Districts" totalsRowLabel="Total: 1" dataDxfId="1159"/>
    <tableColumn id="2" xr3:uid="{DAF82380-F27A-46B1-96CB-215331E1B6CC}" name="Participating Schools" totalsRowLabel="1" dataDxfId="1158" totalsRowDxfId="1157"/>
    <tableColumn id="29" xr3:uid="{66C5514B-896E-47BF-8A3C-FDC4F7371BD4}" name="Dual Language School(s)" totalsRowLabel="1" dataDxfId="1156" totalsRowDxfId="1155"/>
    <tableColumn id="28" xr3:uid="{C8198C22-A867-4315-AF01-F73AAF084238}" name="Program Model(s) Offered" dataDxfId="1154" totalsRowDxfId="1153"/>
    <tableColumn id="27" xr3:uid="{889825FA-5D5A-4B8C-9C9E-4549F11751D5}" name="Biliteracy Pathway Recognitions Offered" dataDxfId="1152" totalsRowDxfId="1151"/>
    <tableColumn id="3" xr3:uid="{7A4327FD-0661-43BA-A02F-90CA807E7D93}" name="American Sign Language Total" totalsRowFunction="sum" dataDxfId="1150" totalsRowDxfId="1149"/>
    <tableColumn id="4" xr3:uid="{85FE9C12-0543-4FCB-AE23-67ECDCA4F9FA}" name="Arabic Total" totalsRowFunction="sum" dataDxfId="1148" totalsRowDxfId="1147"/>
    <tableColumn id="5" xr3:uid="{175E7498-39F5-43A4-8EE7-FC2D5241BF47}" name="Armenian Total" totalsRowFunction="sum" dataDxfId="1146" totalsRowDxfId="1145"/>
    <tableColumn id="22" xr3:uid="{87E45AF7-CED7-4EA8-84D3-E2D4C092C677}" name="Bengali Total" totalsRowFunction="sum" dataDxfId="1144" totalsRowDxfId="1143"/>
    <tableColumn id="18" xr3:uid="{06FECFA9-A38E-473F-8A00-3B7A7592891D}" name="Chinese Total" totalsRowFunction="sum" dataDxfId="1142" totalsRowDxfId="1141"/>
    <tableColumn id="23" xr3:uid="{DC7F0903-6EB7-441B-BB1B-3A86B4BDAD87}" name="Farsi (Persian) Total" totalsRowFunction="sum" dataDxfId="1140" totalsRowDxfId="1139"/>
    <tableColumn id="6" xr3:uid="{377B8C96-7B6B-4925-B682-3015DEDEF696}" name="French Total" totalsRowFunction="sum" dataDxfId="1138" totalsRowDxfId="1137"/>
    <tableColumn id="7" xr3:uid="{EF022691-7479-432A-989B-BB98DA386DBD}" name="German Total" totalsRowFunction="sum" dataDxfId="1136" totalsRowDxfId="1135"/>
    <tableColumn id="19" xr3:uid="{C22823E8-B4B1-41E6-9AA4-88A839A4A442}" name="Hebrew Total" totalsRowFunction="sum" dataDxfId="1134" totalsRowDxfId="1133"/>
    <tableColumn id="24" xr3:uid="{153040D4-8992-462B-994B-40C351BE0674}" name="Hindi Total" totalsRowFunction="sum" dataDxfId="1132" totalsRowDxfId="1131"/>
    <tableColumn id="8" xr3:uid="{D740AA78-CCF2-4793-95E9-5715E6D7FDFE}" name="Hmong Total" totalsRowFunction="sum" dataDxfId="1130" totalsRowDxfId="1129"/>
    <tableColumn id="9" xr3:uid="{6FBCD4B2-D26A-49F5-8027-37C26B885B27}" name="Italian Total" totalsRowFunction="sum" dataDxfId="1128" totalsRowDxfId="1127"/>
    <tableColumn id="10" xr3:uid="{C04B1DCE-249C-46D6-A6A5-F8C1858A3ACD}" name="Japanese Total" totalsRowFunction="sum" dataDxfId="1126" totalsRowDxfId="1125"/>
    <tableColumn id="11" xr3:uid="{BFA91706-A13F-41F4-ADD9-2AA3C10768D3}" name="Korean Total" totalsRowFunction="sum" dataDxfId="1124" totalsRowDxfId="1123"/>
    <tableColumn id="13" xr3:uid="{48B996C4-8265-4F0A-B038-8C4A0F81D33E}" name="Portuguese Total" totalsRowFunction="sum" dataDxfId="1122" totalsRowDxfId="1121"/>
    <tableColumn id="25" xr3:uid="{FF019A71-1CE5-4DD6-B26C-27C3227A4A6F}" name="Punjabi Total" totalsRowFunction="sum" dataDxfId="1120" totalsRowDxfId="1119"/>
    <tableColumn id="20" xr3:uid="{022B1CD8-596A-4225-909A-35CA1A31C0D6}" name="Russian Total" totalsRowFunction="sum" dataDxfId="1118" totalsRowDxfId="1117"/>
    <tableColumn id="14" xr3:uid="{82831AC2-D763-4AA1-97F0-C9DFC1603562}" name="Spanish Total" totalsRowFunction="sum" dataDxfId="1116" totalsRowDxfId="1115"/>
    <tableColumn id="15" xr3:uid="{D41E5CCE-9B2E-4CAD-A5D7-1887FFB6FC83}" name="Tagalog (Filipino) Total" totalsRowFunction="sum" dataDxfId="1114" totalsRowDxfId="1113"/>
    <tableColumn id="26" xr3:uid="{526982B6-BCB9-48DC-9418-7562B8C3B5C3}" name="Urdu Total" totalsRowFunction="sum" dataDxfId="1112" totalsRowDxfId="1111"/>
    <tableColumn id="16" xr3:uid="{1A3CE980-1F41-4EE1-8960-9DB6B9C8171C}" name="Vietnamese Total" totalsRowFunction="sum" dataDxfId="1110" totalsRowDxfId="1109"/>
    <tableColumn id="17" xr3:uid="{E213ED71-4AB5-4D03-83DA-268672C5C09D}" name="Other Total" totalsRowFunction="sum" dataDxfId="1108" totalsRowDxfId="1107"/>
    <tableColumn id="21" xr3:uid="{482B58E6-A577-49E6-8D9D-57387014F3B5}" name="Total Seals per LEA" totalsRowFunction="sum" dataDxfId="1106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Glenn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B6F3A1-B6BB-4C47-82A6-6C1BEFE91B6A}" name="Fresno25" displayName="Fresno25" ref="A2:AB4" totalsRowCount="1" headerRowDxfId="1105" dataDxfId="1104">
  <autoFilter ref="A2:AB3" xr:uid="{69B6F3A1-B6BB-4C47-82A6-6C1BEFE91B6A}"/>
  <tableColumns count="28">
    <tableColumn id="1" xr3:uid="{959B49EE-FA15-4794-9C70-3C95937684B5}" name="Participating Districts" totalsRowLabel="Total: 1" dataDxfId="1103"/>
    <tableColumn id="2" xr3:uid="{7E9AA370-DE45-4ECC-B713-14AC509D0BA5}" name="Participating Schools" totalsRowLabel="1" dataDxfId="1102" totalsRowDxfId="1101"/>
    <tableColumn id="29" xr3:uid="{942A07B8-FF50-45C1-A7FF-313FB42A8DE3}" name="Dual Language School(s)" totalsRowLabel="0" dataDxfId="1100" totalsRowDxfId="1099"/>
    <tableColumn id="28" xr3:uid="{58C48ACF-3030-4C06-9876-FED6E963006B}" name="Program Model(s) Offered" dataDxfId="1098" totalsRowDxfId="1097"/>
    <tableColumn id="27" xr3:uid="{AE7D9946-9802-4368-979F-4FC74A5FBEC2}" name="Biliteracy Pathway Recognitions Offered" dataDxfId="1096" totalsRowDxfId="1095"/>
    <tableColumn id="3" xr3:uid="{26BBFACD-A155-44C7-BCD9-F82E745BF764}" name="American Sign Language Total" totalsRowFunction="sum" dataDxfId="1094" totalsRowDxfId="1093"/>
    <tableColumn id="4" xr3:uid="{22F37C24-FAFD-487E-91D7-1FB7F286EF11}" name="Arabic Total" totalsRowFunction="sum" dataDxfId="1092" totalsRowDxfId="1091"/>
    <tableColumn id="5" xr3:uid="{2D5F16C2-542F-4743-A8F3-6C141E2599D0}" name="Armenian Total" totalsRowFunction="sum" dataDxfId="1090" totalsRowDxfId="1089"/>
    <tableColumn id="22" xr3:uid="{BF8F660C-FBB2-4E0F-9DD6-5B3D568FE7B5}" name="Bengali Total" totalsRowFunction="sum" dataDxfId="1088" totalsRowDxfId="1087"/>
    <tableColumn id="18" xr3:uid="{D0AB4ADE-3BAB-4F4A-A27F-4607AAF447BD}" name="Chinese Total" totalsRowFunction="sum" dataDxfId="1086" totalsRowDxfId="1085"/>
    <tableColumn id="23" xr3:uid="{9D237F16-0876-4341-B75A-B22E0AFD891C}" name="Farsi (Persian) Total" totalsRowFunction="sum" dataDxfId="1084" totalsRowDxfId="1083"/>
    <tableColumn id="6" xr3:uid="{6AC39031-3E86-448B-ACDF-DCCC96E7064A}" name="French Total" totalsRowFunction="sum" dataDxfId="1082" totalsRowDxfId="1081"/>
    <tableColumn id="7" xr3:uid="{8ACA9373-B2A7-473B-BD77-A6FC170AACA4}" name="German Total" totalsRowFunction="sum" dataDxfId="1080" totalsRowDxfId="1079"/>
    <tableColumn id="19" xr3:uid="{8FA8CAED-3337-4E43-A85E-5F0730E7C1EC}" name="Hebrew Total" totalsRowFunction="sum" dataDxfId="1078" totalsRowDxfId="1077"/>
    <tableColumn id="24" xr3:uid="{213D3938-A144-485F-AD05-344839F1D76E}" name="Hindi Total" totalsRowFunction="sum" dataDxfId="1076" totalsRowDxfId="1075"/>
    <tableColumn id="8" xr3:uid="{B280725B-F463-42E1-A26F-3D7488FC367B}" name="Hmong Total" totalsRowFunction="sum" dataDxfId="1074" totalsRowDxfId="1073"/>
    <tableColumn id="9" xr3:uid="{824B12D4-3FC3-46B6-AC11-EA938584EBF5}" name="Italian Total" totalsRowFunction="sum" dataDxfId="1072" totalsRowDxfId="1071"/>
    <tableColumn id="10" xr3:uid="{D8ED4030-0230-401E-ADF4-81185BA27823}" name="Japanese Total" totalsRowFunction="sum" dataDxfId="1070" totalsRowDxfId="1069"/>
    <tableColumn id="11" xr3:uid="{AE567C79-CCFD-462F-BA5D-D3EB03EE987E}" name="Korean Total" totalsRowFunction="sum" dataDxfId="1068" totalsRowDxfId="1067"/>
    <tableColumn id="13" xr3:uid="{5AB4D276-15E8-42E2-9ACB-21E0CA2E947B}" name="Portuguese Total" totalsRowFunction="sum" dataDxfId="1066" totalsRowDxfId="1065"/>
    <tableColumn id="25" xr3:uid="{61249A49-1FB4-4077-A17B-A24A84D806AF}" name="Punjabi Total" totalsRowFunction="sum" dataDxfId="1064" totalsRowDxfId="1063"/>
    <tableColumn id="20" xr3:uid="{592C8F29-7C8F-4D15-AE85-3753A84FD29A}" name="Russian Total" totalsRowFunction="sum" dataDxfId="1062" totalsRowDxfId="1061"/>
    <tableColumn id="14" xr3:uid="{54892794-8C42-4679-BFA6-802C8F397C67}" name="Spanish Total" totalsRowFunction="sum" dataDxfId="1060" totalsRowDxfId="1059"/>
    <tableColumn id="15" xr3:uid="{B2D9AF25-8804-43BF-BE70-04A23E30CF9F}" name="Tagalog (Filipino) Total" totalsRowFunction="sum" dataDxfId="1058" totalsRowDxfId="1057"/>
    <tableColumn id="26" xr3:uid="{6CC6C310-596A-4074-A27C-C13872663055}" name="Urdu Total" totalsRowFunction="sum" dataDxfId="1056" totalsRowDxfId="1055"/>
    <tableColumn id="16" xr3:uid="{9FE8CC5C-359E-4039-9F29-35FA695306B0}" name="Vietnamese Total" totalsRowFunction="sum" dataDxfId="1054" totalsRowDxfId="1053"/>
    <tableColumn id="17" xr3:uid="{794FD09A-B50D-46D9-8291-2217400AA7C7}" name="Other Total" totalsRowFunction="sum" dataDxfId="1052" totalsRowDxfId="1051"/>
    <tableColumn id="21" xr3:uid="{4E8157B6-9209-444F-86A6-8B9D64678124}" name="Total Seals per LEA" totalsRowFunction="sum" dataDxfId="1050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Imperial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Kern" displayName="Kern" ref="A2:AB4" totalsRowCount="1" headerRowDxfId="1049" dataDxfId="1048">
  <autoFilter ref="A2:AB3" xr:uid="{00000000-0009-0000-0100-00000F000000}"/>
  <tableColumns count="28">
    <tableColumn id="1" xr3:uid="{00000000-0010-0000-0D00-000001000000}" name="Participating Districts" totalsRowLabel="Total: 1" dataDxfId="1047"/>
    <tableColumn id="2" xr3:uid="{00000000-0010-0000-0D00-000002000000}" name="Participating Schools" totalsRowLabel="3" dataDxfId="1046" totalsRowDxfId="1045"/>
    <tableColumn id="29" xr3:uid="{567D5E3A-854F-40BC-8804-3B3DE0B70A2A}" name="Dual Language School(s)" totalsRowLabel="3" dataDxfId="1044" totalsRowDxfId="1043"/>
    <tableColumn id="28" xr3:uid="{BB792147-3013-48C3-8B50-C573260C8908}" name="Program Model(s) Offered" dataDxfId="1042" totalsRowDxfId="1041"/>
    <tableColumn id="27" xr3:uid="{FAA27A40-C9D8-4EEE-A506-BBAAE3CA1D0F}" name="Biliteracy Pathway Recognitions Offered" dataDxfId="1040" totalsRowDxfId="1039"/>
    <tableColumn id="3" xr3:uid="{00000000-0010-0000-0D00-000003000000}" name="American Sign Language Total" totalsRowFunction="sum" dataDxfId="1038" totalsRowDxfId="1037"/>
    <tableColumn id="4" xr3:uid="{00000000-0010-0000-0D00-000004000000}" name="Arabic Total" totalsRowFunction="sum" dataDxfId="1036" totalsRowDxfId="1035"/>
    <tableColumn id="5" xr3:uid="{00000000-0010-0000-0D00-000005000000}" name="Armenian Total" totalsRowFunction="sum" dataDxfId="1034" totalsRowDxfId="1033"/>
    <tableColumn id="22" xr3:uid="{7F1B5E66-AFFE-48F9-A8F1-08DFCCEC177A}" name="Bengali Total" totalsRowFunction="sum" dataDxfId="1032" totalsRowDxfId="1031"/>
    <tableColumn id="18" xr3:uid="{F49FC476-B928-450E-ADA3-53D93EF825F8}" name="Chinese Total" totalsRowFunction="sum" dataDxfId="1030" totalsRowDxfId="1029"/>
    <tableColumn id="23" xr3:uid="{EAE3468F-0127-4DBA-BF81-D922C37D8E79}" name="Farsi (Persian) Total" totalsRowFunction="sum" dataDxfId="1028" totalsRowDxfId="1027"/>
    <tableColumn id="6" xr3:uid="{00000000-0010-0000-0D00-000006000000}" name="French Total" totalsRowFunction="sum" dataDxfId="1026" totalsRowDxfId="1025"/>
    <tableColumn id="7" xr3:uid="{00000000-0010-0000-0D00-000007000000}" name="German Total" totalsRowFunction="sum" dataDxfId="1024" totalsRowDxfId="1023"/>
    <tableColumn id="19" xr3:uid="{186FAFF0-790C-4597-9C7F-D90BCBAAC645}" name="Hebrew Total" totalsRowFunction="sum" dataDxfId="1022" totalsRowDxfId="1021"/>
    <tableColumn id="24" xr3:uid="{0FD9030B-A817-4166-8CF6-CB21B107E85E}" name="Hindi Total" totalsRowFunction="sum" dataDxfId="1020" totalsRowDxfId="1019"/>
    <tableColumn id="8" xr3:uid="{00000000-0010-0000-0D00-000008000000}" name="Hmong Total" totalsRowFunction="sum" dataDxfId="1018" totalsRowDxfId="1017"/>
    <tableColumn id="9" xr3:uid="{00000000-0010-0000-0D00-000009000000}" name="Italian Total" totalsRowFunction="sum" dataDxfId="1016" totalsRowDxfId="1015"/>
    <tableColumn id="10" xr3:uid="{00000000-0010-0000-0D00-00000A000000}" name="Japanese Total" totalsRowFunction="sum" dataDxfId="1014" totalsRowDxfId="1013"/>
    <tableColumn id="11" xr3:uid="{00000000-0010-0000-0D00-00000B000000}" name="Korean Total" totalsRowFunction="sum" dataDxfId="1012" totalsRowDxfId="1011"/>
    <tableColumn id="13" xr3:uid="{00000000-0010-0000-0D00-00000D000000}" name="Portuguese Total" totalsRowFunction="sum" dataDxfId="1010" totalsRowDxfId="1009"/>
    <tableColumn id="25" xr3:uid="{30B52E7E-ECBE-45BD-A1AC-4938A8AC55D3}" name="Punjabi Total" totalsRowFunction="sum" dataDxfId="1008" totalsRowDxfId="1007"/>
    <tableColumn id="20" xr3:uid="{6EBF68AC-BFCD-4478-B2CB-698E4D4AD692}" name="Russian Total" totalsRowFunction="sum" dataDxfId="1006" totalsRowDxfId="1005"/>
    <tableColumn id="14" xr3:uid="{00000000-0010-0000-0D00-00000E000000}" name="Spanish Total" totalsRowFunction="sum" dataDxfId="1004" totalsRowDxfId="1003"/>
    <tableColumn id="15" xr3:uid="{00000000-0010-0000-0D00-00000F000000}" name="Tagalog (Filipino) Total" totalsRowFunction="sum" dataDxfId="1002" totalsRowDxfId="1001"/>
    <tableColumn id="26" xr3:uid="{86DF0F6B-2CEC-402F-8CC0-2D5BD763380B}" name="Urdu Total" totalsRowFunction="sum" dataDxfId="1000" totalsRowDxfId="999"/>
    <tableColumn id="16" xr3:uid="{00000000-0010-0000-0D00-000010000000}" name="Vietnamese Total" totalsRowFunction="sum" dataDxfId="998" totalsRowDxfId="997"/>
    <tableColumn id="17" xr3:uid="{00000000-0010-0000-0D00-000011000000}" name="Other Total" totalsRowFunction="sum" dataDxfId="996" totalsRowDxfId="995"/>
    <tableColumn id="21" xr3:uid="{3CBF2BA1-F178-4015-81D8-A5C9F1400523}" name="Total Seals per LEA" totalsRowFunction="sum" dataDxfId="994" totalsRowDxfId="993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Kern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56F5050-6C1A-4C2C-9ADB-D3A9DB810236}" name="Kern7" displayName="Kern7" ref="A2:AB4" totalsRowCount="1" headerRowDxfId="992" dataDxfId="991">
  <autoFilter ref="A2:AB3" xr:uid="{756F5050-6C1A-4C2C-9ADB-D3A9DB810236}"/>
  <tableColumns count="28">
    <tableColumn id="1" xr3:uid="{C39A6B90-F1D4-4C79-AE26-95BEBD7D0010}" name="Participating Districts" totalsRowLabel="Total: 1" dataDxfId="990"/>
    <tableColumn id="2" xr3:uid="{4C3BA6E6-EDF6-443D-BA9C-60A637C7EFED}" name="Participating Schools" totalsRowLabel="4" dataDxfId="989" totalsRowDxfId="988"/>
    <tableColumn id="29" xr3:uid="{19F12149-4EAD-4949-80F4-018E183948D7}" name="Dual Language School(s)" totalsRowLabel="0" dataDxfId="987" totalsRowDxfId="986"/>
    <tableColumn id="28" xr3:uid="{A8F7730C-78EE-4229-9934-6C6206DF9733}" name="Program Model(s) Offered" dataDxfId="985" totalsRowDxfId="984"/>
    <tableColumn id="27" xr3:uid="{B752884E-D797-4473-9F93-A343E0F9AB8A}" name="Biliteracy Pathway Recognitions Offered" dataDxfId="983" totalsRowDxfId="982"/>
    <tableColumn id="3" xr3:uid="{360502CB-CE92-4CD9-912B-6DFBD2A5E8FF}" name="American Sign Language Total" totalsRowFunction="sum" dataDxfId="981" totalsRowDxfId="980"/>
    <tableColumn id="4" xr3:uid="{F6188708-CF6C-4404-B53D-48681416AC35}" name="Arabic Total" totalsRowFunction="sum" dataDxfId="979" totalsRowDxfId="978"/>
    <tableColumn id="5" xr3:uid="{3B006171-1BC4-484B-862B-9BB32CD3FEFC}" name="Armenian Total" totalsRowFunction="sum" dataDxfId="977" totalsRowDxfId="976"/>
    <tableColumn id="22" xr3:uid="{4BBB1EE8-683D-47E4-9D96-C5A97E0A8B77}" name="Bengali Total" totalsRowFunction="sum" dataDxfId="975" totalsRowDxfId="974"/>
    <tableColumn id="18" xr3:uid="{1D726593-857A-4F70-9386-D082C336CAE5}" name="Chinese Total" totalsRowFunction="sum" dataDxfId="973" totalsRowDxfId="972"/>
    <tableColumn id="23" xr3:uid="{0BBF5131-2FA7-47BB-A5E0-3407DEEC6709}" name="Farsi (Persian) Total" totalsRowFunction="sum" dataDxfId="971" totalsRowDxfId="970"/>
    <tableColumn id="6" xr3:uid="{74A6D08A-6D9A-4F88-A653-5A619F89B46D}" name="French Total" totalsRowFunction="sum" dataDxfId="969" totalsRowDxfId="968"/>
    <tableColumn id="7" xr3:uid="{37245479-5600-42F0-96CF-62D2063A817C}" name="German Total" totalsRowFunction="sum" dataDxfId="967" totalsRowDxfId="966"/>
    <tableColumn id="19" xr3:uid="{3697D070-0ADA-476D-89EF-68EBE10C1392}" name="Hebrew Total" totalsRowFunction="sum" dataDxfId="965" totalsRowDxfId="964"/>
    <tableColumn id="24" xr3:uid="{574C5B76-948F-44ED-A362-51DA7F521C71}" name="Hindi Total" totalsRowFunction="sum" dataDxfId="963" totalsRowDxfId="962"/>
    <tableColumn id="8" xr3:uid="{12C85206-F909-4491-AB4E-CCC6A4910E8D}" name="Hmong Total" totalsRowFunction="sum" dataDxfId="961" totalsRowDxfId="960"/>
    <tableColumn id="9" xr3:uid="{B215A0C8-0CBD-403A-BFD1-107F9FEF2856}" name="Italian Total" totalsRowFunction="sum" dataDxfId="959" totalsRowDxfId="958"/>
    <tableColumn id="10" xr3:uid="{07C9C081-0DCC-4ED0-87B1-7AC9D9595262}" name="Japanese Total" totalsRowFunction="sum" dataDxfId="957" totalsRowDxfId="956"/>
    <tableColumn id="11" xr3:uid="{C21972B1-58BF-48F3-AFD5-C8026715825E}" name="Korean Total" totalsRowFunction="sum" dataDxfId="955" totalsRowDxfId="954"/>
    <tableColumn id="13" xr3:uid="{BD2138C4-74D7-4A85-85D9-E109CD309CA2}" name="Portuguese Total" totalsRowFunction="sum" dataDxfId="953" totalsRowDxfId="952"/>
    <tableColumn id="25" xr3:uid="{20DBC60F-A79E-4143-8B86-606A137F8781}" name="Punjabi Total" totalsRowFunction="sum" dataDxfId="951" totalsRowDxfId="950"/>
    <tableColumn id="20" xr3:uid="{98A0C436-8B5C-40C3-B419-84A1CB6466CF}" name="Russian Total" totalsRowFunction="sum" dataDxfId="949" totalsRowDxfId="948"/>
    <tableColumn id="14" xr3:uid="{C7392267-E578-4481-99AC-4F7779638ADB}" name="Spanish Total" totalsRowFunction="sum" dataDxfId="947" totalsRowDxfId="946"/>
    <tableColumn id="15" xr3:uid="{9FEF04EC-F709-4359-95A4-C82BB3BC4DFB}" name="Tagalog (Filipino) Total" totalsRowFunction="sum" dataDxfId="945" totalsRowDxfId="944"/>
    <tableColumn id="26" xr3:uid="{9D446164-9987-4DB6-ABB4-E8BB632205C6}" name="Urdu Total" totalsRowFunction="sum" dataDxfId="943" totalsRowDxfId="942"/>
    <tableColumn id="16" xr3:uid="{73E854A0-28CA-444C-A086-5F2AB2D89F41}" name="Vietnamese Total" totalsRowFunction="sum" dataDxfId="941" totalsRowDxfId="940"/>
    <tableColumn id="17" xr3:uid="{C5529D5B-BFF7-4F91-83E6-5E58FD55AB6A}" name="Other Total" totalsRowFunction="sum" dataDxfId="939" totalsRowDxfId="938"/>
    <tableColumn id="21" xr3:uid="{CCE03AA0-5E55-45EC-B08A-D92B3F57A74D}" name="Total Seals per LEA" totalsRowFunction="sum" dataDxfId="937" totalsRowDxfId="936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ake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LosAngeles" displayName="LosAngeles" ref="A2:AB13" totalsRowCount="1" headerRowDxfId="935">
  <autoFilter ref="A2:AB12" xr:uid="{00000000-0009-0000-0100-000013000000}"/>
  <tableColumns count="28">
    <tableColumn id="1" xr3:uid="{00000000-0010-0000-1100-000001000000}" name="Participating Districts" totalsRowLabel="Total: 10" dataDxfId="934" totalsRowDxfId="933"/>
    <tableColumn id="2" xr3:uid="{00000000-0010-0000-1100-000002000000}" name="Participating Schools" totalsRowLabel="418" dataDxfId="932" totalsRowDxfId="931"/>
    <tableColumn id="29" xr3:uid="{72938B78-EAA6-4299-B9A5-EE21C1F9D920}" name="Dual Language School(s)" totalsRowLabel="13" dataDxfId="930" totalsRowDxfId="929"/>
    <tableColumn id="28" xr3:uid="{4113B101-E52E-4E3F-8206-1CDB0DEC5C9E}" name="Program Model(s) Offered" dataDxfId="928" totalsRowDxfId="927"/>
    <tableColumn id="27" xr3:uid="{BE1910F4-474F-47B3-B526-8F99198400C1}" name="Biliteracy Pathway Recognitions Offered" dataDxfId="926" totalsRowDxfId="925"/>
    <tableColumn id="3" xr3:uid="{00000000-0010-0000-1100-000003000000}" name="American Sign Language Total" totalsRowFunction="sum" dataDxfId="924" totalsRowDxfId="923"/>
    <tableColumn id="4" xr3:uid="{00000000-0010-0000-1100-000004000000}" name="Arabic Total" totalsRowFunction="sum" dataDxfId="922" totalsRowDxfId="921"/>
    <tableColumn id="5" xr3:uid="{00000000-0010-0000-1100-000005000000}" name="Armenian Total" totalsRowFunction="sum" dataDxfId="920" totalsRowDxfId="919"/>
    <tableColumn id="22" xr3:uid="{2AECE8AD-C972-4E50-975F-423621D5E0B1}" name="Bengali Total" totalsRowFunction="sum" dataDxfId="918" totalsRowDxfId="917"/>
    <tableColumn id="18" xr3:uid="{BA3AE528-3E2D-4F34-A558-CC296FFD1212}" name="Chinese Total" totalsRowFunction="sum" dataDxfId="916" totalsRowDxfId="915"/>
    <tableColumn id="23" xr3:uid="{6AAF18F1-415D-4164-87E4-D52ABCC852F5}" name="Farsi (Persian) Total" totalsRowFunction="sum" dataDxfId="914" totalsRowDxfId="913"/>
    <tableColumn id="6" xr3:uid="{00000000-0010-0000-1100-000006000000}" name="French Total" totalsRowFunction="sum" dataDxfId="912" totalsRowDxfId="911"/>
    <tableColumn id="7" xr3:uid="{00000000-0010-0000-1100-000007000000}" name="German Total" totalsRowFunction="sum" dataDxfId="910" totalsRowDxfId="909"/>
    <tableColumn id="19" xr3:uid="{CEF23F97-838D-45FE-B656-7F218BE668F9}" name="Hebrew Total" totalsRowFunction="sum" dataDxfId="908" totalsRowDxfId="907"/>
    <tableColumn id="24" xr3:uid="{AC0A1816-0ED4-401F-8547-E9322837A970}" name="Hindi Total" totalsRowFunction="sum" dataDxfId="906" totalsRowDxfId="905"/>
    <tableColumn id="8" xr3:uid="{00000000-0010-0000-1100-000008000000}" name="Hmong Total" totalsRowFunction="sum" dataDxfId="904" totalsRowDxfId="903"/>
    <tableColumn id="9" xr3:uid="{00000000-0010-0000-1100-000009000000}" name="Italian Total" totalsRowFunction="sum" dataDxfId="902" totalsRowDxfId="901"/>
    <tableColumn id="10" xr3:uid="{00000000-0010-0000-1100-00000A000000}" name="Japanese Total" totalsRowFunction="sum" dataDxfId="900" totalsRowDxfId="899"/>
    <tableColumn id="11" xr3:uid="{00000000-0010-0000-1100-00000B000000}" name="Korean Total" totalsRowFunction="sum" dataDxfId="898" totalsRowDxfId="897"/>
    <tableColumn id="13" xr3:uid="{00000000-0010-0000-1100-00000D000000}" name="Portuguese Total" totalsRowFunction="sum" dataDxfId="896" totalsRowDxfId="895"/>
    <tableColumn id="25" xr3:uid="{0B28417E-F333-4161-82A3-C5333E04C2A5}" name="Punjabi Total" totalsRowFunction="sum" dataDxfId="894" totalsRowDxfId="893"/>
    <tableColumn id="20" xr3:uid="{3FCA8658-5464-45F2-83ED-A5A7F78CB169}" name="Russian Total" totalsRowFunction="sum" dataDxfId="892" totalsRowDxfId="891"/>
    <tableColumn id="14" xr3:uid="{00000000-0010-0000-1100-00000E000000}" name="Spanish Total" totalsRowFunction="sum" dataDxfId="890" totalsRowDxfId="889"/>
    <tableColumn id="15" xr3:uid="{00000000-0010-0000-1100-00000F000000}" name="Tagalog (Filipino) Total" totalsRowFunction="sum" dataDxfId="888" totalsRowDxfId="887"/>
    <tableColumn id="26" xr3:uid="{96353DB5-2BA4-43D0-9751-6F1696FE4634}" name="Urdu Total" totalsRowFunction="sum" dataDxfId="886" totalsRowDxfId="885"/>
    <tableColumn id="16" xr3:uid="{00000000-0010-0000-1100-000010000000}" name="Vietnamese Total" totalsRowFunction="sum" dataDxfId="884" totalsRowDxfId="883"/>
    <tableColumn id="17" xr3:uid="{00000000-0010-0000-1100-000011000000}" name="Other Total" totalsRowFunction="sum" dataDxfId="882" totalsRowDxfId="881"/>
    <tableColumn id="21" xr3:uid="{E41DABD1-9048-45CF-BA4A-85053EE0F7AC}" name="Total Seals per LEA" totalsRowFunction="sum" dataDxfId="880" totalsRowDxfId="879">
      <calculatedColumnFormula>SUM(F3:AA3)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os Angeles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Monterey" displayName="Monterey" ref="A2:AC4" totalsRowCount="1" headerRowDxfId="878" dataDxfId="877">
  <autoFilter ref="A2:AC3" xr:uid="{00000000-0009-0000-0100-000019000000}"/>
  <tableColumns count="29">
    <tableColumn id="1" xr3:uid="{00000000-0010-0000-1700-000001000000}" name="Participating Districts" totalsRowLabel="Total: 1" dataDxfId="876" totalsRowDxfId="875"/>
    <tableColumn id="2" xr3:uid="{00000000-0010-0000-1700-000002000000}" name="Participating Schools" totalsRowLabel="3" dataDxfId="874" totalsRowDxfId="873"/>
    <tableColumn id="29" xr3:uid="{A1109AE7-B152-4BA6-A156-26636BD33F0F}" name="Dual Language School(s)" totalsRowLabel="3" dataDxfId="872" totalsRowDxfId="871"/>
    <tableColumn id="28" xr3:uid="{606E264D-07C4-46AF-92AF-852E0E0B2793}" name="Program Model(s) Offered" dataDxfId="870" totalsRowDxfId="869"/>
    <tableColumn id="27" xr3:uid="{60DA08B2-37A8-4237-9A46-8595DC6F6DA9}" name="Biliteracy Pathway Recognitions Offered" dataDxfId="868" totalsRowDxfId="867"/>
    <tableColumn id="3" xr3:uid="{00000000-0010-0000-1700-000003000000}" name="American Sign Language Total" totalsRowFunction="sum" dataDxfId="866" totalsRowDxfId="865"/>
    <tableColumn id="4" xr3:uid="{00000000-0010-0000-1700-000004000000}" name="Arabic Total" totalsRowFunction="sum" dataDxfId="864" totalsRowDxfId="863"/>
    <tableColumn id="5" xr3:uid="{00000000-0010-0000-1700-000005000000}" name="Armenian Total" totalsRowFunction="sum" dataDxfId="862" totalsRowDxfId="861"/>
    <tableColumn id="22" xr3:uid="{E77E44D9-DD4C-48AF-B5D4-7D4F6F129EED}" name="Bengali Total" totalsRowFunction="sum" dataDxfId="860" totalsRowDxfId="859"/>
    <tableColumn id="18" xr3:uid="{825CD97A-E00E-45B0-9D6F-27158B99AC11}" name="Chinese Total" totalsRowFunction="sum" dataDxfId="858" totalsRowDxfId="857"/>
    <tableColumn id="23" xr3:uid="{8D58C892-D31B-48F3-9555-BBD8B34C6E86}" name="Farsi (Persian) Total" totalsRowFunction="sum" dataDxfId="856" totalsRowDxfId="855"/>
    <tableColumn id="6" xr3:uid="{00000000-0010-0000-1700-000006000000}" name="French Total" totalsRowFunction="sum" dataDxfId="854" totalsRowDxfId="853"/>
    <tableColumn id="7" xr3:uid="{00000000-0010-0000-1700-000007000000}" name="German Total" totalsRowFunction="sum" dataDxfId="852" totalsRowDxfId="851"/>
    <tableColumn id="19" xr3:uid="{230D5063-C6A9-47A0-8263-27947442D1D7}" name="Hebrew Total" totalsRowFunction="sum" dataDxfId="850" totalsRowDxfId="849"/>
    <tableColumn id="24" xr3:uid="{C0EF974B-C6BA-45D3-8C9E-B5231D113109}" name="Hindi Total" totalsRowFunction="sum" dataDxfId="848" totalsRowDxfId="847"/>
    <tableColumn id="8" xr3:uid="{00000000-0010-0000-1700-000008000000}" name="Hmong Total" totalsRowFunction="sum" dataDxfId="846" totalsRowDxfId="845"/>
    <tableColumn id="9" xr3:uid="{00000000-0010-0000-1700-000009000000}" name="Italian Total" totalsRowFunction="sum" dataDxfId="844" totalsRowDxfId="843"/>
    <tableColumn id="10" xr3:uid="{00000000-0010-0000-1700-00000A000000}" name="Japanese Total" totalsRowFunction="sum" dataDxfId="842" totalsRowDxfId="841"/>
    <tableColumn id="11" xr3:uid="{00000000-0010-0000-1700-00000B000000}" name="Korean Total" totalsRowFunction="sum" dataDxfId="840" totalsRowDxfId="839"/>
    <tableColumn id="12" xr3:uid="{00000000-0010-0000-1700-00000C000000}" name="Latin Total" totalsRowFunction="sum" dataDxfId="838" totalsRowDxfId="837"/>
    <tableColumn id="13" xr3:uid="{00000000-0010-0000-1700-00000D000000}" name="Portuguese Total" totalsRowFunction="sum" dataDxfId="836" totalsRowDxfId="835"/>
    <tableColumn id="25" xr3:uid="{7A0F814A-8EEB-43EE-9F1D-443BAE0B4355}" name="Punjabi Total" totalsRowFunction="sum" dataDxfId="834" totalsRowDxfId="833"/>
    <tableColumn id="20" xr3:uid="{77FDF20E-565D-4280-BB24-0B65C3AB90B9}" name="Russian Total" totalsRowFunction="sum" dataDxfId="832" totalsRowDxfId="831"/>
    <tableColumn id="14" xr3:uid="{00000000-0010-0000-1700-00000E000000}" name="Spanish Total" totalsRowFunction="sum" dataDxfId="830" totalsRowDxfId="829"/>
    <tableColumn id="15" xr3:uid="{00000000-0010-0000-1700-00000F000000}" name="Tagalog (Filipino) Total" totalsRowFunction="sum" dataDxfId="828" totalsRowDxfId="827"/>
    <tableColumn id="26" xr3:uid="{A4580293-10C8-4D68-9912-FA5E9FBF48C1}" name="Urdu Total" totalsRowFunction="sum" dataDxfId="826" totalsRowDxfId="825"/>
    <tableColumn id="16" xr3:uid="{00000000-0010-0000-1700-000010000000}" name="Vietnamese Total" totalsRowFunction="sum" dataDxfId="824" totalsRowDxfId="823"/>
    <tableColumn id="17" xr3:uid="{00000000-0010-0000-1700-000011000000}" name="Other Total" totalsRowFunction="sum" dataDxfId="822" totalsRowDxfId="821"/>
    <tableColumn id="21" xr3:uid="{56501934-9474-492A-A18F-FC2B4433DAAF}" name="Total Seals per LEA" totalsRowFunction="sum" dataDxfId="820" totalsRowDxfId="819">
      <calculatedColumnFormula>SUM(F3:AB3)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adera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.5" x14ac:dyDescent="0.35"/>
  <cols>
    <col min="1" max="1" width="28.3046875" customWidth="1"/>
    <col min="2" max="2" width="12.07421875" customWidth="1"/>
    <col min="3" max="3" width="12.3046875" customWidth="1"/>
    <col min="4" max="4" width="15.765625" customWidth="1"/>
    <col min="5" max="5" width="8.4609375" bestFit="1" customWidth="1"/>
    <col min="6" max="6" width="9.3046875" customWidth="1"/>
    <col min="7" max="7" width="9.4609375" bestFit="1" customWidth="1"/>
    <col min="8" max="8" width="9.84375" bestFit="1" customWidth="1"/>
    <col min="9" max="9" width="10.69140625" bestFit="1" customWidth="1"/>
    <col min="10" max="11" width="8.84375" bestFit="1" customWidth="1"/>
    <col min="12" max="12" width="9.3046875" bestFit="1" customWidth="1"/>
    <col min="13" max="13" width="7.4609375" bestFit="1" customWidth="1"/>
    <col min="14" max="14" width="9.07421875" bestFit="1" customWidth="1"/>
    <col min="15" max="15" width="8.07421875" bestFit="1" customWidth="1"/>
    <col min="16" max="16" width="11.69140625" bestFit="1" customWidth="1"/>
    <col min="17" max="17" width="9.07421875" bestFit="1" customWidth="1"/>
    <col min="18" max="18" width="11.07421875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4609375" customWidth="1"/>
    <col min="25" max="25" width="7.69140625" customWidth="1"/>
    <col min="26" max="26" width="13.53515625" customWidth="1"/>
  </cols>
  <sheetData>
    <row r="1" spans="1:26" ht="23" x14ac:dyDescent="0.5">
      <c r="A1" s="1" t="s">
        <v>103</v>
      </c>
      <c r="B1" s="1"/>
    </row>
    <row r="2" spans="1:26" x14ac:dyDescent="0.35">
      <c r="A2" t="s">
        <v>16</v>
      </c>
    </row>
    <row r="3" spans="1:26" x14ac:dyDescent="0.35">
      <c r="A3" s="25">
        <v>45139</v>
      </c>
    </row>
    <row r="4" spans="1:26" ht="48" customHeight="1" x14ac:dyDescent="0.35">
      <c r="A4" s="2" t="s">
        <v>17</v>
      </c>
      <c r="B4" s="2" t="s">
        <v>29</v>
      </c>
      <c r="C4" s="2" t="s">
        <v>18</v>
      </c>
      <c r="D4" s="2" t="s">
        <v>19</v>
      </c>
      <c r="E4" s="2" t="s">
        <v>30</v>
      </c>
      <c r="F4" s="2" t="s">
        <v>49</v>
      </c>
      <c r="G4" s="2" t="s">
        <v>53</v>
      </c>
      <c r="H4" s="2" t="s">
        <v>47</v>
      </c>
      <c r="I4" s="2" t="s">
        <v>54</v>
      </c>
      <c r="J4" s="2" t="s">
        <v>20</v>
      </c>
      <c r="K4" s="2" t="s">
        <v>21</v>
      </c>
      <c r="L4" s="2" t="s">
        <v>48</v>
      </c>
      <c r="M4" s="2" t="s">
        <v>55</v>
      </c>
      <c r="N4" s="2" t="s">
        <v>36</v>
      </c>
      <c r="O4" s="2" t="s">
        <v>31</v>
      </c>
      <c r="P4" s="2" t="s">
        <v>22</v>
      </c>
      <c r="Q4" s="2" t="s">
        <v>23</v>
      </c>
      <c r="R4" s="2" t="s">
        <v>50</v>
      </c>
      <c r="S4" s="2" t="s">
        <v>56</v>
      </c>
      <c r="T4" s="2" t="s">
        <v>51</v>
      </c>
      <c r="U4" s="2" t="s">
        <v>25</v>
      </c>
      <c r="V4" s="2" t="s">
        <v>46</v>
      </c>
      <c r="W4" s="2" t="s">
        <v>57</v>
      </c>
      <c r="X4" s="2" t="s">
        <v>26</v>
      </c>
      <c r="Y4" s="2" t="s">
        <v>27</v>
      </c>
      <c r="Z4" s="3" t="s">
        <v>267</v>
      </c>
    </row>
    <row r="5" spans="1:26" x14ac:dyDescent="0.35">
      <c r="A5" t="s">
        <v>2</v>
      </c>
      <c r="B5" s="4">
        <v>3</v>
      </c>
      <c r="C5" s="10">
        <v>13</v>
      </c>
      <c r="D5" s="4">
        <f>Table2[[#Totals],[American Sign Language Total]]</f>
        <v>0</v>
      </c>
      <c r="E5" s="4">
        <f>Table2[[#Totals],[Arabic Total]]</f>
        <v>0</v>
      </c>
      <c r="F5" s="4">
        <f>Table2[[#Totals],[Armenian Total]]</f>
        <v>0</v>
      </c>
      <c r="G5" s="4">
        <f>Table2[[#Totals],[Bengali Total]]</f>
        <v>0</v>
      </c>
      <c r="H5" s="4">
        <f>Table2[[#Totals],[Chinese Total]]</f>
        <v>25</v>
      </c>
      <c r="I5" s="4">
        <f>Table2[[#Totals],[Farsi (Persian) Total]]</f>
        <v>1</v>
      </c>
      <c r="J5" s="4">
        <f>Table2[[#Totals],[French Total]]</f>
        <v>0</v>
      </c>
      <c r="K5" s="4">
        <f>Table2[[#Totals],[German Total]]</f>
        <v>0</v>
      </c>
      <c r="L5" s="4">
        <f>Table2[[#Totals],[Hebrew Total]]</f>
        <v>0</v>
      </c>
      <c r="M5" s="4">
        <f>Table2[[#Totals],[Hindi Total]]</f>
        <v>0</v>
      </c>
      <c r="N5" s="4">
        <f>Table2[[#Totals],[Hmong Total]]</f>
        <v>0</v>
      </c>
      <c r="O5" s="4">
        <f>Table2[[#Totals],[Italian Total]]</f>
        <v>0</v>
      </c>
      <c r="P5" s="4">
        <f>Table2[[#Totals],[Japanese Total]]</f>
        <v>0</v>
      </c>
      <c r="Q5" s="4">
        <f>Table2[[#Totals],[Korean Total]]</f>
        <v>1</v>
      </c>
      <c r="R5" s="4">
        <f>Table2[[#Totals],[Portuguese Total]]</f>
        <v>0</v>
      </c>
      <c r="S5" s="4">
        <f>Table2[[#Totals],[Punjabi Total]]</f>
        <v>0</v>
      </c>
      <c r="T5" s="4">
        <f>Table2[[#Totals],[Russian Total]]</f>
        <v>1</v>
      </c>
      <c r="U5" s="4">
        <f>Table2[[#Totals],[Spanish Total]]</f>
        <v>397</v>
      </c>
      <c r="V5" s="4">
        <f>Table2[[#Totals],[Tagalog (Filipino) Total]]</f>
        <v>3</v>
      </c>
      <c r="W5" s="4">
        <f>Table2[[#Totals],[Urdu Total]]</f>
        <v>0</v>
      </c>
      <c r="X5" s="4">
        <f>Table2[[#Totals],[Vietnamese Total]]</f>
        <v>3</v>
      </c>
      <c r="Y5" s="4">
        <f>Table2[[#Totals],[Other Total]]</f>
        <v>1</v>
      </c>
      <c r="Z5" s="4">
        <f>SUM(Table30[[#This Row],[American Sign Language Total]:[Other Total]])</f>
        <v>432</v>
      </c>
    </row>
    <row r="6" spans="1:26" x14ac:dyDescent="0.35">
      <c r="A6" t="s">
        <v>108</v>
      </c>
      <c r="B6" s="4">
        <v>3</v>
      </c>
      <c r="C6" s="24">
        <v>7</v>
      </c>
      <c r="D6" s="4">
        <f>'Contra Costa'!F6</f>
        <v>0</v>
      </c>
      <c r="E6" s="4">
        <f>'Contra Costa'!G6</f>
        <v>0</v>
      </c>
      <c r="F6" s="4">
        <f>'Contra Costa'!H6</f>
        <v>0</v>
      </c>
      <c r="G6" s="4">
        <f>'Contra Costa'!I6</f>
        <v>0</v>
      </c>
      <c r="H6" s="4">
        <f>'Contra Costa'!J6</f>
        <v>0</v>
      </c>
      <c r="I6" s="4">
        <f>'Contra Costa'!K6</f>
        <v>0</v>
      </c>
      <c r="J6" s="4">
        <f>'Contra Costa'!L6</f>
        <v>0</v>
      </c>
      <c r="K6" s="4">
        <f>'Contra Costa'!M6</f>
        <v>0</v>
      </c>
      <c r="L6" s="4">
        <f>'Contra Costa'!N6</f>
        <v>0</v>
      </c>
      <c r="M6" s="4">
        <f>'Contra Costa'!O6</f>
        <v>0</v>
      </c>
      <c r="N6" s="4">
        <f>'Contra Costa'!P6</f>
        <v>0</v>
      </c>
      <c r="O6" s="4">
        <f>'Contra Costa'!Q6</f>
        <v>0</v>
      </c>
      <c r="P6" s="4">
        <f>'Contra Costa'!R6</f>
        <v>0</v>
      </c>
      <c r="Q6" s="4">
        <f>'Contra Costa'!S6</f>
        <v>0</v>
      </c>
      <c r="R6" s="4">
        <f>'Contra Costa'!T6</f>
        <v>0</v>
      </c>
      <c r="S6" s="4">
        <f>'Contra Costa'!U6</f>
        <v>0</v>
      </c>
      <c r="T6" s="4">
        <f>'Contra Costa'!V6</f>
        <v>0</v>
      </c>
      <c r="U6" s="4">
        <f>'Contra Costa'!W6</f>
        <v>1425</v>
      </c>
      <c r="V6" s="4">
        <f>'Contra Costa'!X6</f>
        <v>0</v>
      </c>
      <c r="W6" s="4">
        <f>'Contra Costa'!Y6</f>
        <v>0</v>
      </c>
      <c r="X6" s="4">
        <f>'Contra Costa'!Z6</f>
        <v>0</v>
      </c>
      <c r="Y6" s="4">
        <f>'Contra Costa'!AA6</f>
        <v>0</v>
      </c>
      <c r="Z6" s="5">
        <f>SUM(Table30[[#This Row],[American Sign Language Total]:[Other Total]])</f>
        <v>1425</v>
      </c>
    </row>
    <row r="7" spans="1:26" x14ac:dyDescent="0.35">
      <c r="A7" t="s">
        <v>117</v>
      </c>
      <c r="B7" s="4">
        <v>1</v>
      </c>
      <c r="C7" s="24">
        <v>1</v>
      </c>
      <c r="D7" s="4">
        <f>Glenn!F4</f>
        <v>0</v>
      </c>
      <c r="E7" s="4">
        <f>Glenn!G4</f>
        <v>0</v>
      </c>
      <c r="F7" s="4">
        <f>Glenn!H4</f>
        <v>0</v>
      </c>
      <c r="G7" s="4">
        <f>Glenn!I4</f>
        <v>0</v>
      </c>
      <c r="H7" s="4">
        <f>Glenn!J4</f>
        <v>0</v>
      </c>
      <c r="I7" s="4">
        <f>Glenn!K4</f>
        <v>0</v>
      </c>
      <c r="J7" s="4">
        <f>Glenn!L4</f>
        <v>0</v>
      </c>
      <c r="K7" s="4">
        <f>Glenn!M4</f>
        <v>0</v>
      </c>
      <c r="L7" s="4">
        <f>Glenn!N4</f>
        <v>0</v>
      </c>
      <c r="M7" s="4">
        <f>Glenn!O4</f>
        <v>0</v>
      </c>
      <c r="N7" s="4">
        <f>Glenn!P4</f>
        <v>0</v>
      </c>
      <c r="O7" s="4">
        <f>Glenn!Q4</f>
        <v>0</v>
      </c>
      <c r="P7" s="4">
        <f>Glenn!R4</f>
        <v>0</v>
      </c>
      <c r="Q7" s="4">
        <f>Glenn!S4</f>
        <v>0</v>
      </c>
      <c r="R7" s="4">
        <f>Glenn!T4</f>
        <v>0</v>
      </c>
      <c r="S7" s="4">
        <f>Glenn!U4</f>
        <v>0</v>
      </c>
      <c r="T7" s="4">
        <f>Glenn!V4</f>
        <v>0</v>
      </c>
      <c r="U7" s="4">
        <f>Glenn!W4</f>
        <v>60</v>
      </c>
      <c r="V7" s="4">
        <f>Glenn!X4</f>
        <v>0</v>
      </c>
      <c r="W7" s="4">
        <f>Glenn!Y4</f>
        <v>0</v>
      </c>
      <c r="X7" s="4">
        <f>Glenn!Z4</f>
        <v>0</v>
      </c>
      <c r="Y7" s="4">
        <f>Glenn!AA4</f>
        <v>0</v>
      </c>
      <c r="Z7" s="5">
        <f>SUM(Table30[[#This Row],[American Sign Language Total]:[Other Total]])</f>
        <v>60</v>
      </c>
    </row>
    <row r="8" spans="1:26" x14ac:dyDescent="0.35">
      <c r="A8" t="s">
        <v>121</v>
      </c>
      <c r="B8" s="4">
        <v>1</v>
      </c>
      <c r="C8" s="10">
        <v>1</v>
      </c>
      <c r="D8" s="4">
        <f>Imperial!F4</f>
        <v>0</v>
      </c>
      <c r="E8" s="4">
        <f>Imperial!G4</f>
        <v>0</v>
      </c>
      <c r="F8" s="4">
        <f>Imperial!H4</f>
        <v>0</v>
      </c>
      <c r="G8" s="4">
        <f>Imperial!I4</f>
        <v>0</v>
      </c>
      <c r="H8" s="4">
        <f>Imperial!J4</f>
        <v>0</v>
      </c>
      <c r="I8" s="4">
        <f>Imperial!K4</f>
        <v>0</v>
      </c>
      <c r="J8" s="4">
        <f>Imperial!L4</f>
        <v>0</v>
      </c>
      <c r="K8" s="4">
        <f>Imperial!M4</f>
        <v>0</v>
      </c>
      <c r="L8" s="4">
        <f>Imperial!N4</f>
        <v>0</v>
      </c>
      <c r="M8" s="4">
        <f>Imperial!O4</f>
        <v>0</v>
      </c>
      <c r="N8" s="4">
        <f>Imperial!P4</f>
        <v>0</v>
      </c>
      <c r="O8" s="4">
        <f>Imperial!Q4</f>
        <v>0</v>
      </c>
      <c r="P8" s="4">
        <f>Imperial!R4</f>
        <v>0</v>
      </c>
      <c r="Q8" s="4">
        <f>Imperial!S4</f>
        <v>0</v>
      </c>
      <c r="R8" s="4">
        <f>Imperial!T4</f>
        <v>0</v>
      </c>
      <c r="S8" s="4">
        <f>Imperial!U4</f>
        <v>0</v>
      </c>
      <c r="T8" s="4">
        <f>Imperial!V4</f>
        <v>0</v>
      </c>
      <c r="U8" s="4">
        <f>Imperial!W4</f>
        <v>75</v>
      </c>
      <c r="V8" s="4">
        <f>Imperial!X4</f>
        <v>0</v>
      </c>
      <c r="W8" s="4">
        <f>Imperial!Y4</f>
        <v>0</v>
      </c>
      <c r="X8" s="4">
        <f>Imperial!Z4</f>
        <v>0</v>
      </c>
      <c r="Y8" s="4">
        <f>Imperial!AA4</f>
        <v>0</v>
      </c>
      <c r="Z8" s="5">
        <f>SUM(Table30[[#This Row],[American Sign Language Total]:[Other Total]])</f>
        <v>75</v>
      </c>
    </row>
    <row r="9" spans="1:26" ht="16.5" customHeight="1" x14ac:dyDescent="0.35">
      <c r="A9" t="s">
        <v>8</v>
      </c>
      <c r="B9" s="4">
        <v>1</v>
      </c>
      <c r="C9" s="10">
        <v>3</v>
      </c>
      <c r="D9" s="4">
        <f>Kern[[#Totals],[American Sign Language Total]]</f>
        <v>0</v>
      </c>
      <c r="E9" s="4">
        <f>Kern[[#Totals],[Arabic Total]]</f>
        <v>0</v>
      </c>
      <c r="F9" s="4">
        <f>Kern[[#Totals],[Armenian Total]]</f>
        <v>0</v>
      </c>
      <c r="G9" s="4">
        <f>Kern[[#Totals],[Bengali Total]]</f>
        <v>0</v>
      </c>
      <c r="H9" s="4">
        <f>Kern[[#Totals],[Chinese Total]]</f>
        <v>0</v>
      </c>
      <c r="I9" s="4">
        <f>Kern[[#Totals],[Farsi (Persian) Total]]</f>
        <v>0</v>
      </c>
      <c r="J9" s="4">
        <f>Kern[[#Totals],[French Total]]</f>
        <v>0</v>
      </c>
      <c r="K9" s="4">
        <f>Kern[[#Totals],[German Total]]</f>
        <v>0</v>
      </c>
      <c r="L9" s="4">
        <f>Kern[[#Totals],[Hebrew Total]]</f>
        <v>0</v>
      </c>
      <c r="M9" s="4">
        <f>Kern[[#Totals],[Hindi Total]]</f>
        <v>0</v>
      </c>
      <c r="N9" s="4">
        <f>Kern[[#Totals],[Hmong Total]]</f>
        <v>0</v>
      </c>
      <c r="O9" s="4">
        <f>Kern[[#Totals],[Italian Total]]</f>
        <v>0</v>
      </c>
      <c r="P9" s="4">
        <f>Kern[[#Totals],[Japanese Total]]</f>
        <v>0</v>
      </c>
      <c r="Q9" s="4">
        <f>Kern[[#Totals],[Korean Total]]</f>
        <v>0</v>
      </c>
      <c r="R9" s="4">
        <f>Kern[[#Totals],[Portuguese Total]]</f>
        <v>0</v>
      </c>
      <c r="S9" s="4">
        <f>Kern[[#Totals],[Punjabi Total]]</f>
        <v>0</v>
      </c>
      <c r="T9" s="4">
        <f>Kern[[#Totals],[Russian Total]]</f>
        <v>0</v>
      </c>
      <c r="U9" s="4">
        <f>Kern[[#Totals],[Spanish Total]]</f>
        <v>0</v>
      </c>
      <c r="V9" s="4">
        <f>Kern[[#Totals],[Tagalog (Filipino) Total]]</f>
        <v>175</v>
      </c>
      <c r="W9" s="4">
        <f>Kern[[#Totals],[Urdu Total]]</f>
        <v>0</v>
      </c>
      <c r="X9" s="4">
        <f>Kern[[#Totals],[Vietnamese Total]]</f>
        <v>0</v>
      </c>
      <c r="Y9" s="4">
        <f>Kern[[#Totals],[Other Total]]</f>
        <v>0</v>
      </c>
      <c r="Z9" s="4">
        <f>SUM(Table30[[#This Row],[American Sign Language Total]:[Other Total]])</f>
        <v>175</v>
      </c>
    </row>
    <row r="10" spans="1:26" ht="16.5" customHeight="1" x14ac:dyDescent="0.35">
      <c r="A10" t="s">
        <v>127</v>
      </c>
      <c r="B10" s="4">
        <v>1</v>
      </c>
      <c r="C10" s="24">
        <v>4</v>
      </c>
      <c r="D10" s="4">
        <f>Lake!F4</f>
        <v>0</v>
      </c>
      <c r="E10" s="4">
        <f>Lake!G4</f>
        <v>0</v>
      </c>
      <c r="F10" s="4">
        <f>Lake!H4</f>
        <v>0</v>
      </c>
      <c r="G10" s="4">
        <f>Lake!I4</f>
        <v>0</v>
      </c>
      <c r="H10" s="4">
        <f>Lake!J4</f>
        <v>0</v>
      </c>
      <c r="I10" s="4">
        <f>Lake!K4</f>
        <v>0</v>
      </c>
      <c r="J10" s="4">
        <f>Lake!L4</f>
        <v>0</v>
      </c>
      <c r="K10" s="4">
        <f>Lake!M4</f>
        <v>0</v>
      </c>
      <c r="L10" s="4">
        <f>Lake!N4</f>
        <v>0</v>
      </c>
      <c r="M10" s="4">
        <f>Lake!O4</f>
        <v>0</v>
      </c>
      <c r="N10" s="4">
        <f>Lake!P4</f>
        <v>0</v>
      </c>
      <c r="O10" s="4">
        <f>Lake!Q4</f>
        <v>0</v>
      </c>
      <c r="P10" s="4">
        <f>Lake!R4</f>
        <v>0</v>
      </c>
      <c r="Q10" s="4">
        <f>Lake!S4</f>
        <v>1</v>
      </c>
      <c r="R10" s="4">
        <f>Lake!T4</f>
        <v>0</v>
      </c>
      <c r="S10" s="4">
        <f>Lake!U4</f>
        <v>1</v>
      </c>
      <c r="T10" s="4">
        <f>Lake!V4</f>
        <v>1</v>
      </c>
      <c r="U10" s="4">
        <f>Lake!W4</f>
        <v>65</v>
      </c>
      <c r="V10" s="4">
        <f>Lake!X4</f>
        <v>1</v>
      </c>
      <c r="W10" s="4">
        <f>Lake!Y4</f>
        <v>0</v>
      </c>
      <c r="X10" s="4">
        <f>Lake!Z4</f>
        <v>1</v>
      </c>
      <c r="Y10" s="4">
        <f>Lake!AA4</f>
        <v>0</v>
      </c>
      <c r="Z10" s="4">
        <f>SUM(Table30[[#This Row],[American Sign Language Total]:[Other Total]])</f>
        <v>70</v>
      </c>
    </row>
    <row r="11" spans="1:26" x14ac:dyDescent="0.35">
      <c r="A11" t="s">
        <v>1</v>
      </c>
      <c r="B11" s="4">
        <v>10</v>
      </c>
      <c r="C11" s="10">
        <v>418</v>
      </c>
      <c r="D11" s="4">
        <f>LosAngeles[[#Totals],[American Sign Language Total]]</f>
        <v>2</v>
      </c>
      <c r="E11" s="4">
        <f>LosAngeles[[#Totals],[Arabic Total]]</f>
        <v>20</v>
      </c>
      <c r="F11" s="4">
        <f>LosAngeles[[#Totals],[Armenian Total]]</f>
        <v>154</v>
      </c>
      <c r="G11" s="4">
        <f>LosAngeles[[#Totals],[Bengali Total]]</f>
        <v>3</v>
      </c>
      <c r="H11" s="4">
        <f>LosAngeles[[#Totals],[Chinese Total]]</f>
        <v>633</v>
      </c>
      <c r="I11" s="4">
        <f>LosAngeles[[#Totals],[Farsi (Persian) Total]]</f>
        <v>8</v>
      </c>
      <c r="J11" s="4">
        <f>LosAngeles[[#Totals],[French Total]]</f>
        <v>193</v>
      </c>
      <c r="K11" s="4">
        <f>LosAngeles[[#Totals],[German Total]]</f>
        <v>2</v>
      </c>
      <c r="L11" s="4">
        <f>LosAngeles[[#Totals],[Hebrew Total]]</f>
        <v>10</v>
      </c>
      <c r="M11" s="4">
        <f>LosAngeles[[#Totals],[Hindi Total]]</f>
        <v>4</v>
      </c>
      <c r="N11" s="4">
        <f>LosAngeles[[#Totals],[Hmong Total]]</f>
        <v>0</v>
      </c>
      <c r="O11" s="4">
        <f>LosAngeles[[#Totals],[Italian Total]]</f>
        <v>1</v>
      </c>
      <c r="P11" s="4">
        <f>LosAngeles[[#Totals],[Japanese Total]]</f>
        <v>23</v>
      </c>
      <c r="Q11" s="4">
        <f>LosAngeles[[#Totals],[Korean Total]]</f>
        <v>215</v>
      </c>
      <c r="R11" s="4">
        <f>LosAngeles[[#Totals],[Portuguese Total]]</f>
        <v>6</v>
      </c>
      <c r="S11" s="4">
        <f>LosAngeles[[#Totals],[Punjabi Total]]</f>
        <v>4</v>
      </c>
      <c r="T11" s="4">
        <f>LosAngeles[[#Totals],[Russian Total]]</f>
        <v>21</v>
      </c>
      <c r="U11" s="4">
        <f>LosAngeles[[#Totals],[Spanish Total]]</f>
        <v>6842</v>
      </c>
      <c r="V11" s="4">
        <f>LosAngeles[[#Totals],[Tagalog (Filipino) Total]]</f>
        <v>10</v>
      </c>
      <c r="W11" s="4">
        <f>LosAngeles[[#Totals],[Urdu Total]]</f>
        <v>1</v>
      </c>
      <c r="X11" s="4">
        <f>LosAngeles[[#Totals],[Vietnamese Total]]</f>
        <v>3</v>
      </c>
      <c r="Y11" s="4">
        <f>LosAngeles[[#Totals],[Other Total]]</f>
        <v>22</v>
      </c>
      <c r="Z11" s="4">
        <f>SUM(Table30[[#This Row],[American Sign Language Total]:[Other Total]])</f>
        <v>8177</v>
      </c>
    </row>
    <row r="12" spans="1:26" x14ac:dyDescent="0.35">
      <c r="A12" t="s">
        <v>146</v>
      </c>
      <c r="B12" s="4">
        <v>1</v>
      </c>
      <c r="C12" s="10">
        <v>3</v>
      </c>
      <c r="D12" s="4">
        <f>Monterey[[#Totals],[American Sign Language Total]]</f>
        <v>0</v>
      </c>
      <c r="E12" s="4">
        <f>Monterey[[#Totals],[Arabic Total]]</f>
        <v>0</v>
      </c>
      <c r="F12" s="4">
        <f>Monterey[[#Totals],[Armenian Total]]</f>
        <v>0</v>
      </c>
      <c r="G12" s="4">
        <f>Monterey[[#Totals],[Bengali Total]]</f>
        <v>0</v>
      </c>
      <c r="H12" s="4">
        <f>Monterey[[#Totals],[Chinese Total]]</f>
        <v>0</v>
      </c>
      <c r="I12" s="4">
        <f>Monterey[[#Totals],[Farsi (Persian) Total]]</f>
        <v>0</v>
      </c>
      <c r="J12" s="4">
        <f>Monterey[[#Totals],[French Total]]</f>
        <v>0</v>
      </c>
      <c r="K12" s="4">
        <f>Monterey[[#Totals],[German Total]]</f>
        <v>0</v>
      </c>
      <c r="L12" s="4">
        <f>Monterey[[#Totals],[Hebrew Total]]</f>
        <v>0</v>
      </c>
      <c r="M12" s="4">
        <f>Monterey[[#Totals],[Hindi Total]]</f>
        <v>0</v>
      </c>
      <c r="N12" s="4">
        <f>Monterey[[#Totals],[Hmong Total]]</f>
        <v>0</v>
      </c>
      <c r="O12" s="4">
        <f>Monterey[[#Totals],[Italian Total]]</f>
        <v>0</v>
      </c>
      <c r="P12" s="4">
        <f>Monterey[[#Totals],[Japanese Total]]</f>
        <v>0</v>
      </c>
      <c r="Q12" s="4">
        <f>Monterey[[#Totals],[Korean Total]]</f>
        <v>0</v>
      </c>
      <c r="R12" s="4">
        <f>Monterey[[#Totals],[Portuguese Total]]</f>
        <v>0</v>
      </c>
      <c r="S12" s="4">
        <f>Monterey[[#Totals],[Punjabi Total]]</f>
        <v>0</v>
      </c>
      <c r="T12" s="4">
        <f>Monterey[[#Totals],[Russian Total]]</f>
        <v>0</v>
      </c>
      <c r="U12" s="4">
        <f>Monterey[[#Totals],[Spanish Total]]</f>
        <v>229</v>
      </c>
      <c r="V12" s="4">
        <f>Monterey[[#Totals],[Tagalog (Filipino) Total]]</f>
        <v>0</v>
      </c>
      <c r="W12" s="4">
        <f>Monterey[[#Totals],[Urdu Total]]</f>
        <v>0</v>
      </c>
      <c r="X12" s="4">
        <f>Monterey[[#Totals],[Vietnamese Total]]</f>
        <v>0</v>
      </c>
      <c r="Y12" s="4">
        <f>Monterey[[#Totals],[Other Total]]</f>
        <v>0</v>
      </c>
      <c r="Z12" s="4">
        <f>SUM(Table30[[#This Row],[American Sign Language Total]:[Other Total]])</f>
        <v>229</v>
      </c>
    </row>
    <row r="13" spans="1:26" x14ac:dyDescent="0.35">
      <c r="A13" t="s">
        <v>3</v>
      </c>
      <c r="B13" s="4">
        <v>9</v>
      </c>
      <c r="C13" s="10">
        <v>21</v>
      </c>
      <c r="D13" s="4">
        <f>Orange[[#Totals],[American Sign Language Total]]</f>
        <v>0</v>
      </c>
      <c r="E13" s="4">
        <f>Orange[[#Totals],[Arabic Total]]</f>
        <v>6</v>
      </c>
      <c r="F13" s="4">
        <f>Orange[[#Totals],[Armenian Total]]</f>
        <v>0</v>
      </c>
      <c r="G13" s="4">
        <f>Orange[[#Totals],[Bengali Total]]</f>
        <v>0</v>
      </c>
      <c r="H13" s="4">
        <f>Orange[[#Totals],[Chinese Total]]</f>
        <v>299</v>
      </c>
      <c r="I13" s="4">
        <f>Orange[[#Totals],[Farsi (Persian) Total]]</f>
        <v>1</v>
      </c>
      <c r="J13" s="4">
        <f>Orange[[#Totals],[French Total]]</f>
        <v>0</v>
      </c>
      <c r="K13" s="4">
        <f>Orange[[#Totals],[German Total]]</f>
        <v>0</v>
      </c>
      <c r="L13" s="4">
        <f>Orange[[#Totals],[Hebrew Total]]</f>
        <v>0</v>
      </c>
      <c r="M13" s="4">
        <f>Orange[[#Totals],[Hindi Total]]</f>
        <v>1</v>
      </c>
      <c r="N13" s="4">
        <f>Orange[[#Totals],[Hmong Total]]</f>
        <v>0</v>
      </c>
      <c r="O13" s="4">
        <f>Orange[[#Totals],[Italian Total]]</f>
        <v>0</v>
      </c>
      <c r="P13" s="4">
        <f>Orange[[#Totals],[Japanese Total]]</f>
        <v>3</v>
      </c>
      <c r="Q13" s="4">
        <f>Orange[[#Totals],[Korean Total]]</f>
        <v>79</v>
      </c>
      <c r="R13" s="4">
        <f>Orange[[#Totals],[Portuguese Total]]</f>
        <v>0</v>
      </c>
      <c r="S13" s="4">
        <f>Orange[[#Totals],[Punjabi Total]]</f>
        <v>0</v>
      </c>
      <c r="T13" s="4">
        <f>Orange[[#Totals],[Russian Total]]</f>
        <v>1</v>
      </c>
      <c r="U13" s="4">
        <f>Orange[[#Totals],[Spanish Total]]</f>
        <v>2646</v>
      </c>
      <c r="V13" s="4">
        <f>Orange[[#Totals],[Tagalog (Filipino) Total]]</f>
        <v>4</v>
      </c>
      <c r="W13" s="4">
        <f>Orange[[#Totals],[Urdu Total]]</f>
        <v>0</v>
      </c>
      <c r="X13" s="4">
        <f>Orange[[#Totals],[Vietnamese Total]]</f>
        <v>38</v>
      </c>
      <c r="Y13" s="4">
        <f>Orange[[#Totals],[Other Total]]</f>
        <v>4</v>
      </c>
      <c r="Z13" s="4">
        <f>SUM(Table30[[#This Row],[American Sign Language Total]:[Other Total]])</f>
        <v>3082</v>
      </c>
    </row>
    <row r="14" spans="1:26" x14ac:dyDescent="0.35">
      <c r="A14" t="s">
        <v>165</v>
      </c>
      <c r="B14" s="4">
        <v>1</v>
      </c>
      <c r="C14" s="24">
        <v>2</v>
      </c>
      <c r="D14" s="4">
        <f>Placer!F4</f>
        <v>0</v>
      </c>
      <c r="E14" s="4">
        <f>Placer!G4</f>
        <v>0</v>
      </c>
      <c r="F14" s="4">
        <f>Placer!H4</f>
        <v>0</v>
      </c>
      <c r="G14" s="4">
        <f>Placer!I4</f>
        <v>0</v>
      </c>
      <c r="H14" s="4">
        <f>Placer!J4</f>
        <v>0</v>
      </c>
      <c r="I14" s="4">
        <f>Placer!K4</f>
        <v>0</v>
      </c>
      <c r="J14" s="4">
        <f>Placer!L4</f>
        <v>0</v>
      </c>
      <c r="K14" s="4">
        <f>Placer!M4</f>
        <v>0</v>
      </c>
      <c r="L14" s="4">
        <f>Placer!N4</f>
        <v>0</v>
      </c>
      <c r="M14" s="4">
        <f>Placer!O4</f>
        <v>0</v>
      </c>
      <c r="N14" s="4">
        <f>Placer!P4</f>
        <v>0</v>
      </c>
      <c r="O14" s="4">
        <f>Placer!Q4</f>
        <v>0</v>
      </c>
      <c r="P14" s="4">
        <f>Placer!R4</f>
        <v>0</v>
      </c>
      <c r="Q14" s="4">
        <f>Placer!S4</f>
        <v>0</v>
      </c>
      <c r="R14" s="4">
        <f>Placer!T4</f>
        <v>0</v>
      </c>
      <c r="S14" s="4">
        <f>Placer!U4</f>
        <v>0</v>
      </c>
      <c r="T14" s="4">
        <f>Placer!V4</f>
        <v>0</v>
      </c>
      <c r="U14" s="4">
        <f>Placer!W4</f>
        <v>50</v>
      </c>
      <c r="V14" s="4">
        <f>Placer!X4</f>
        <v>0</v>
      </c>
      <c r="W14" s="4">
        <f>Placer!Y4</f>
        <v>0</v>
      </c>
      <c r="X14" s="4">
        <f>Placer!Z4</f>
        <v>0</v>
      </c>
      <c r="Y14" s="4">
        <f>Placer!AA4</f>
        <v>0</v>
      </c>
      <c r="Z14" s="5">
        <f>SUM(Table30[[#This Row],[American Sign Language Total]:[Other Total]])</f>
        <v>50</v>
      </c>
    </row>
    <row r="15" spans="1:26" x14ac:dyDescent="0.35">
      <c r="A15" t="s">
        <v>0</v>
      </c>
      <c r="B15" s="4">
        <v>2</v>
      </c>
      <c r="C15" s="10">
        <v>39</v>
      </c>
      <c r="D15" s="4">
        <f>Riverside[[#Totals],[American Sign Language Total]]</f>
        <v>1</v>
      </c>
      <c r="E15" s="4">
        <f>Riverside[[#Totals],[Arabic Total]]</f>
        <v>13</v>
      </c>
      <c r="F15" s="4">
        <f>Riverside[[#Totals],[Armenian Total]]</f>
        <v>0</v>
      </c>
      <c r="G15" s="4">
        <f>Riverside[[#Totals],[Bengali Total]]</f>
        <v>0</v>
      </c>
      <c r="H15" s="4">
        <f>Riverside[[#Totals],[Chinese Total]]</f>
        <v>1</v>
      </c>
      <c r="I15" s="4">
        <f>Riverside[[#Totals],[Farsi (Persian) Total]]</f>
        <v>0</v>
      </c>
      <c r="J15" s="4">
        <f>Riverside[[#Totals],[French Total]]</f>
        <v>0</v>
      </c>
      <c r="K15" s="4">
        <f>Riverside[[#Totals],[German Total]]</f>
        <v>0</v>
      </c>
      <c r="L15" s="4">
        <f>Riverside[[#Totals],[Hebrew Total]]</f>
        <v>0</v>
      </c>
      <c r="M15" s="4">
        <f>Riverside[[#Totals],[Hindi Total]]</f>
        <v>0</v>
      </c>
      <c r="N15" s="4">
        <f>Riverside[[#Totals],[Hmong Total]]</f>
        <v>2</v>
      </c>
      <c r="O15" s="4">
        <f>Riverside[[#Totals],[Italian Total]]</f>
        <v>0</v>
      </c>
      <c r="P15" s="4">
        <f>Riverside[[#Totals],[Japanese Total]]</f>
        <v>0</v>
      </c>
      <c r="Q15" s="4">
        <f>Riverside[[#Totals],[Korean Total]]</f>
        <v>0</v>
      </c>
      <c r="R15" s="4">
        <f>Riverside[[#Totals],[Portuguese Total]]</f>
        <v>0</v>
      </c>
      <c r="S15" s="4">
        <f>Riverside[[#Totals],[Punjabi Total]]</f>
        <v>0</v>
      </c>
      <c r="T15" s="4">
        <f>Riverside[[#Totals],[Russian Total]]</f>
        <v>1</v>
      </c>
      <c r="U15" s="4">
        <f>Riverside[[#Totals],[Spanish Total]]</f>
        <v>2153</v>
      </c>
      <c r="V15" s="4">
        <f>Riverside[[#Totals],[Tagalog (Filipino) Total]]</f>
        <v>4</v>
      </c>
      <c r="W15" s="4">
        <f>Riverside[[#Totals],[Urdu Total]]</f>
        <v>0</v>
      </c>
      <c r="X15" s="4">
        <f>Riverside[[#Totals],[Vietnamese Total]]</f>
        <v>1</v>
      </c>
      <c r="Y15" s="4">
        <f>Riverside[[#Totals],[Other Total]]</f>
        <v>4</v>
      </c>
      <c r="Z15" s="4">
        <f>SUM(Table30[[#This Row],[American Sign Language Total]:[Other Total]])</f>
        <v>2180</v>
      </c>
    </row>
    <row r="16" spans="1:26" x14ac:dyDescent="0.35">
      <c r="A16" t="s">
        <v>28</v>
      </c>
      <c r="B16" s="4">
        <v>3</v>
      </c>
      <c r="C16" s="10">
        <v>6</v>
      </c>
      <c r="D16" s="4">
        <f>Sacramento[[#Totals],[American Sign Language Total]]</f>
        <v>0</v>
      </c>
      <c r="E16" s="4">
        <f>Sacramento[[#Totals],[Arabic Total]]</f>
        <v>0</v>
      </c>
      <c r="F16" s="4">
        <f>Sacramento[[#Totals],[Armenian Total]]</f>
        <v>0</v>
      </c>
      <c r="G16" s="4">
        <f>Sacramento[[#Totals],[Bengali Total]]</f>
        <v>0</v>
      </c>
      <c r="H16" s="4">
        <f>Sacramento[[#Totals],[Chinese Total]]</f>
        <v>0</v>
      </c>
      <c r="I16" s="4">
        <f>Sacramento[[#Totals],[Farsi (Persian) Total]]</f>
        <v>0</v>
      </c>
      <c r="J16" s="4">
        <f>Sacramento[[#Totals],[French Total]]</f>
        <v>0</v>
      </c>
      <c r="K16" s="4">
        <f>Sacramento[[#Totals],[German Total]]</f>
        <v>0</v>
      </c>
      <c r="L16" s="4">
        <f>Sacramento[[#Totals],[Hebrew Total]]</f>
        <v>0</v>
      </c>
      <c r="M16" s="4">
        <f>Sacramento[[#Totals],[Hindi Total]]</f>
        <v>0</v>
      </c>
      <c r="N16" s="4">
        <f>Sacramento[[#Totals],[Hmong Total]]</f>
        <v>0</v>
      </c>
      <c r="O16" s="4">
        <f>Sacramento[[#Totals],[Italian Total]]</f>
        <v>0</v>
      </c>
      <c r="P16" s="4">
        <f>Sacramento[[#Totals],[Japanese Total]]</f>
        <v>0</v>
      </c>
      <c r="Q16" s="4">
        <f>Sacramento[[#Totals],[Korean Total]]</f>
        <v>0</v>
      </c>
      <c r="R16" s="4">
        <f>Sacramento[[#Totals],[Portuguese Total]]</f>
        <v>0</v>
      </c>
      <c r="S16" s="4">
        <f>Sacramento[[#Totals],[Punjabi Total]]</f>
        <v>0</v>
      </c>
      <c r="T16" s="4">
        <f>Sacramento[[#Totals],[Russian Total]]</f>
        <v>0</v>
      </c>
      <c r="U16" s="4">
        <f>Sacramento[[#Totals],[Spanish Total]]</f>
        <v>412</v>
      </c>
      <c r="V16" s="4">
        <f>Sacramento[[#Totals],[Tagalog (Filipino) Total]]</f>
        <v>0</v>
      </c>
      <c r="W16" s="4">
        <f>Sacramento[[#Totals],[Urdu Total]]</f>
        <v>0</v>
      </c>
      <c r="X16" s="4">
        <f>Sacramento[[#Totals],[Vietnamese Total]]</f>
        <v>0</v>
      </c>
      <c r="Y16" s="4">
        <f>Sacramento[[#Totals],[Other Total]]</f>
        <v>0</v>
      </c>
      <c r="Z16" s="4">
        <f>SUM(Table30[[#This Row],[American Sign Language Total]:[Other Total]])</f>
        <v>412</v>
      </c>
    </row>
    <row r="17" spans="1:26" x14ac:dyDescent="0.35">
      <c r="A17" t="s">
        <v>5</v>
      </c>
      <c r="B17" s="4">
        <v>4</v>
      </c>
      <c r="C17" s="10">
        <v>26</v>
      </c>
      <c r="D17" s="4">
        <f>SanBernardino[[#Totals],[American Sign Language Total]]</f>
        <v>0</v>
      </c>
      <c r="E17" s="4">
        <f>SanBernardino[[#Totals],[Arabic Total]]</f>
        <v>1</v>
      </c>
      <c r="F17" s="4">
        <f>SanBernardino[[#Totals],[Armenian Total]]</f>
        <v>0</v>
      </c>
      <c r="G17" s="4">
        <f>SanBernardino[[#Totals],[Bengali Total]]</f>
        <v>0</v>
      </c>
      <c r="H17" s="4">
        <f>SanBernardino[[#Totals],[Chinese Total]]</f>
        <v>3</v>
      </c>
      <c r="I17" s="4">
        <f>SanBernardino[[#Totals],[Farsi (Persian) Total]]</f>
        <v>0</v>
      </c>
      <c r="J17" s="4">
        <f>SanBernardino[[#Totals],[French Total]]</f>
        <v>0</v>
      </c>
      <c r="K17" s="4">
        <f>SanBernardino[[#Totals],[German Total]]</f>
        <v>0</v>
      </c>
      <c r="L17" s="4">
        <f>SanBernardino[[#Totals],[Hebrew Total]]</f>
        <v>0</v>
      </c>
      <c r="M17" s="4">
        <f>SanBernardino[[#Totals],[Hindi Total]]</f>
        <v>0</v>
      </c>
      <c r="N17" s="4">
        <f>SanBernardino[[#Totals],[Hmong Total]]</f>
        <v>0</v>
      </c>
      <c r="O17" s="4">
        <f>SanBernardino[[#Totals],[Italian Total]]</f>
        <v>0</v>
      </c>
      <c r="P17" s="4">
        <f>SanBernardino[[#Totals],[Japanese Total]]</f>
        <v>2</v>
      </c>
      <c r="Q17" s="4">
        <f>SanBernardino[[#Totals],[Korean Total]]</f>
        <v>0</v>
      </c>
      <c r="R17" s="4">
        <f>SanBernardino[[#Totals],[Portuguese Total]]</f>
        <v>0</v>
      </c>
      <c r="S17" s="4">
        <f>SanBernardino[[#Totals],[Punjabi Total]]</f>
        <v>1</v>
      </c>
      <c r="T17" s="4">
        <f>SanBernardino[[#Totals],[Russian Total]]</f>
        <v>0</v>
      </c>
      <c r="U17" s="4">
        <f>SanBernardino[[#Totals],[Spanish Total]]</f>
        <v>1060</v>
      </c>
      <c r="V17" s="4">
        <f>SanBernardino[[#Totals],[Tagalog (Filipino) Total]]</f>
        <v>0</v>
      </c>
      <c r="W17" s="4">
        <f>SanBernardino[[#Totals],[Urdu Total]]</f>
        <v>0</v>
      </c>
      <c r="X17" s="4">
        <f>SanBernardino[[#Totals],[Vietnamese Total]]</f>
        <v>0</v>
      </c>
      <c r="Y17" s="4">
        <f>SanBernardino[[#Totals],[Other Total]]</f>
        <v>2</v>
      </c>
      <c r="Z17" s="4">
        <f>SUM(Table30[[#This Row],[American Sign Language Total]:[Other Total]])</f>
        <v>1069</v>
      </c>
    </row>
    <row r="18" spans="1:26" x14ac:dyDescent="0.35">
      <c r="A18" t="s">
        <v>7</v>
      </c>
      <c r="B18" s="4">
        <v>13</v>
      </c>
      <c r="C18" s="10">
        <v>54</v>
      </c>
      <c r="D18" s="4">
        <f>SanDiego[[#Totals],[American Sign Language Total]]</f>
        <v>3</v>
      </c>
      <c r="E18" s="4">
        <f>SanDiego[[#Totals],[Arabic Total]]</f>
        <v>3</v>
      </c>
      <c r="F18" s="4">
        <f>SanDiego[[#Totals],[Armenian Total]]</f>
        <v>0</v>
      </c>
      <c r="G18" s="4">
        <f>SanDiego[[#Totals],[Bengali Total]]</f>
        <v>0</v>
      </c>
      <c r="H18" s="4">
        <f>SanDiego[[#Totals],[Chinese Total]]</f>
        <v>938</v>
      </c>
      <c r="I18" s="4">
        <f>SanDiego[[#Totals],[Farsi (Persian) Total]]</f>
        <v>0</v>
      </c>
      <c r="J18" s="4">
        <f>SanDiego[[#Totals],[French Total]]</f>
        <v>357</v>
      </c>
      <c r="K18" s="4">
        <f>SanDiego[[#Totals],[German Total]]</f>
        <v>3</v>
      </c>
      <c r="L18" s="4">
        <f>SanDiego[[#Totals],[Hebrew Total]]</f>
        <v>1</v>
      </c>
      <c r="M18" s="4">
        <f>SanDiego[[#Totals],[Hindi Total]]</f>
        <v>0</v>
      </c>
      <c r="N18" s="4">
        <f>SanDiego[[#Totals],[Hmong Total]]</f>
        <v>0</v>
      </c>
      <c r="O18" s="4">
        <f>SanDiego[[#Totals],[Italian Total]]</f>
        <v>2</v>
      </c>
      <c r="P18" s="4">
        <f>SanDiego[[#Totals],[Japanese Total]]</f>
        <v>2</v>
      </c>
      <c r="Q18" s="4">
        <f>SanDiego[[#Totals],[Korean Total]]</f>
        <v>4</v>
      </c>
      <c r="R18" s="4">
        <f>SanDiego[[#Totals],[Portuguese Total]]</f>
        <v>0</v>
      </c>
      <c r="S18" s="4">
        <f>SanDiego[[#Totals],[Punjabi Total]]</f>
        <v>0</v>
      </c>
      <c r="T18" s="4">
        <f>SanDiego[[#Totals],[Russian Total]]</f>
        <v>1</v>
      </c>
      <c r="U18" s="4">
        <f>SanDiego[[#Totals],[Spanish Total]]</f>
        <v>10726</v>
      </c>
      <c r="V18" s="4">
        <f>SanDiego[[#Totals],[Tagalog (Filipino) Total]]</f>
        <v>0</v>
      </c>
      <c r="W18" s="4">
        <f>SanDiego[[#Totals],[Urdu Total]]</f>
        <v>0</v>
      </c>
      <c r="X18" s="4">
        <f>SanDiego[[#Totals],[Vietnamese Total]]</f>
        <v>0</v>
      </c>
      <c r="Y18" s="4">
        <f>SanDiego[[#Totals],[Other Total]]</f>
        <v>4</v>
      </c>
      <c r="Z18" s="4">
        <f>SUM(Table30[[#This Row],[American Sign Language Total]:[Other Total]])</f>
        <v>12044</v>
      </c>
    </row>
    <row r="19" spans="1:26" x14ac:dyDescent="0.35">
      <c r="A19" t="s">
        <v>212</v>
      </c>
      <c r="B19" s="4">
        <v>3</v>
      </c>
      <c r="C19" s="10">
        <v>6</v>
      </c>
      <c r="D19" s="4">
        <f>'San Joaquin'!F6</f>
        <v>0</v>
      </c>
      <c r="E19" s="4">
        <f>'San Joaquin'!G6</f>
        <v>0</v>
      </c>
      <c r="F19" s="4">
        <f>'San Joaquin'!H6</f>
        <v>0</v>
      </c>
      <c r="G19" s="4">
        <f>'San Joaquin'!I6</f>
        <v>0</v>
      </c>
      <c r="H19" s="4">
        <f>'San Joaquin'!J6</f>
        <v>0</v>
      </c>
      <c r="I19" s="4">
        <f>'San Joaquin'!K6</f>
        <v>0</v>
      </c>
      <c r="J19" s="4">
        <f>'San Joaquin'!L6</f>
        <v>0</v>
      </c>
      <c r="K19" s="4">
        <f>'San Joaquin'!M6</f>
        <v>0</v>
      </c>
      <c r="L19" s="4">
        <f>'San Joaquin'!N6</f>
        <v>0</v>
      </c>
      <c r="M19" s="4">
        <f>'San Joaquin'!O6</f>
        <v>0</v>
      </c>
      <c r="N19" s="4">
        <f>'San Joaquin'!P6</f>
        <v>0</v>
      </c>
      <c r="O19" s="4">
        <f>'San Joaquin'!Q6</f>
        <v>0</v>
      </c>
      <c r="P19" s="4">
        <f>'San Joaquin'!R6</f>
        <v>0</v>
      </c>
      <c r="Q19" s="4">
        <f>'San Joaquin'!S6</f>
        <v>0</v>
      </c>
      <c r="R19" s="4">
        <f>'San Joaquin'!T6</f>
        <v>0</v>
      </c>
      <c r="S19" s="4">
        <f>'San Joaquin'!U6</f>
        <v>6</v>
      </c>
      <c r="T19" s="4">
        <f>'San Joaquin'!V6</f>
        <v>0</v>
      </c>
      <c r="U19" s="4">
        <f>'San Joaquin'!W6</f>
        <v>364</v>
      </c>
      <c r="V19" s="4">
        <f>'San Joaquin'!X6</f>
        <v>0</v>
      </c>
      <c r="W19" s="4">
        <f>'San Joaquin'!Y6</f>
        <v>0</v>
      </c>
      <c r="X19" s="4">
        <f>'San Joaquin'!Z6</f>
        <v>1</v>
      </c>
      <c r="Y19" s="4">
        <f>'San Joaquin'!AA6</f>
        <v>0</v>
      </c>
      <c r="Z19" s="4">
        <f>SUM(Table30[[#This Row],[American Sign Language Total]:[Other Total]])</f>
        <v>371</v>
      </c>
    </row>
    <row r="20" spans="1:26" x14ac:dyDescent="0.35">
      <c r="A20" t="s">
        <v>222</v>
      </c>
      <c r="B20" s="4">
        <v>3</v>
      </c>
      <c r="C20" s="10">
        <v>10</v>
      </c>
      <c r="D20" s="4">
        <f>'San Mateo'!F6</f>
        <v>0</v>
      </c>
      <c r="E20" s="4">
        <f>'San Mateo'!G6</f>
        <v>0</v>
      </c>
      <c r="F20" s="4">
        <f>'San Mateo'!H6</f>
        <v>0</v>
      </c>
      <c r="G20" s="4">
        <f>'San Mateo'!I6</f>
        <v>0</v>
      </c>
      <c r="H20" s="4">
        <f>'San Mateo'!J6</f>
        <v>8</v>
      </c>
      <c r="I20" s="4">
        <f>'San Mateo'!K6</f>
        <v>0</v>
      </c>
      <c r="J20" s="4">
        <f>'San Mateo'!L6</f>
        <v>0</v>
      </c>
      <c r="K20" s="4">
        <f>'San Mateo'!M6</f>
        <v>0</v>
      </c>
      <c r="L20" s="4">
        <f>'San Mateo'!N6</f>
        <v>0</v>
      </c>
      <c r="M20" s="4">
        <f>'San Mateo'!O6</f>
        <v>2</v>
      </c>
      <c r="N20" s="4">
        <f>'San Mateo'!P6</f>
        <v>0</v>
      </c>
      <c r="O20" s="4">
        <f>'San Mateo'!Q6</f>
        <v>0</v>
      </c>
      <c r="P20" s="4">
        <f>'San Mateo'!R6</f>
        <v>3</v>
      </c>
      <c r="Q20" s="4">
        <f>'San Mateo'!S6</f>
        <v>0</v>
      </c>
      <c r="R20" s="4">
        <f>'San Mateo'!T6</f>
        <v>0</v>
      </c>
      <c r="S20" s="4">
        <f>'San Mateo'!U6</f>
        <v>0</v>
      </c>
      <c r="T20" s="4">
        <f>'San Mateo'!V6</f>
        <v>0</v>
      </c>
      <c r="U20" s="4">
        <f>'San Mateo'!W6</f>
        <v>23</v>
      </c>
      <c r="V20" s="4">
        <f>'San Mateo'!X6</f>
        <v>5</v>
      </c>
      <c r="W20" s="4">
        <f>'San Mateo'!Y6</f>
        <v>0</v>
      </c>
      <c r="X20" s="4">
        <f>'San Mateo'!Z6</f>
        <v>1</v>
      </c>
      <c r="Y20" s="4">
        <f>'San Mateo'!AA6</f>
        <v>0</v>
      </c>
      <c r="Z20" s="4">
        <f>SUM(Table30[[#This Row],[American Sign Language Total]:[Other Total]])</f>
        <v>42</v>
      </c>
    </row>
    <row r="21" spans="1:26" x14ac:dyDescent="0.35">
      <c r="A21" t="s">
        <v>11</v>
      </c>
      <c r="B21" s="4">
        <v>1</v>
      </c>
      <c r="C21" s="10">
        <v>2</v>
      </c>
      <c r="D21" s="4">
        <f>SantaBarbara[[#Totals],[American Sign Language Total]]</f>
        <v>0</v>
      </c>
      <c r="E21" s="4">
        <f>SantaBarbara[[#Totals],[Arabic Total]]</f>
        <v>0</v>
      </c>
      <c r="F21" s="4">
        <f>SantaBarbara[[#Totals],[Armenian Total]]</f>
        <v>0</v>
      </c>
      <c r="G21" s="4">
        <f>SantaBarbara[[#Totals],[Bengali Total]]</f>
        <v>0</v>
      </c>
      <c r="H21" s="4">
        <f>SantaBarbara[[#Totals],[Chinese Total]]</f>
        <v>0</v>
      </c>
      <c r="I21" s="4">
        <f>SantaBarbara[[#Totals],[Farsi (Persian) Total]]</f>
        <v>0</v>
      </c>
      <c r="J21" s="4">
        <f>SantaBarbara[[#Totals],[French Total]]</f>
        <v>0</v>
      </c>
      <c r="K21" s="4">
        <f>SantaBarbara[[#Totals],[German Total]]</f>
        <v>0</v>
      </c>
      <c r="L21" s="4">
        <f>SantaBarbara[[#Totals],[Hebrew Total]]</f>
        <v>0</v>
      </c>
      <c r="M21" s="4">
        <f>SantaBarbara[[#Totals],[Hindi Total]]</f>
        <v>0</v>
      </c>
      <c r="N21" s="4">
        <f>SantaBarbara[[#Totals],[Hmong Total]]</f>
        <v>0</v>
      </c>
      <c r="O21" s="4">
        <f>SantaBarbara[[#Totals],[Italian Total]]</f>
        <v>0</v>
      </c>
      <c r="P21" s="4">
        <f>SantaBarbara[[#Totals],[Japanese Total]]</f>
        <v>0</v>
      </c>
      <c r="Q21" s="4">
        <f>SantaBarbara[[#Totals],[Korean Total]]</f>
        <v>0</v>
      </c>
      <c r="R21" s="4">
        <f>SantaBarbara[[#Totals],[Portuguese Total]]</f>
        <v>0</v>
      </c>
      <c r="S21" s="4">
        <f>SantaBarbara[[#Totals],[Punjabi Total]]</f>
        <v>0</v>
      </c>
      <c r="T21" s="4">
        <f>SantaBarbara[[#Totals],[Russian Total]]</f>
        <v>0</v>
      </c>
      <c r="U21" s="4">
        <f>SantaBarbara[[#Totals],[Spanish Total]]</f>
        <v>308</v>
      </c>
      <c r="V21" s="4">
        <f>SantaBarbara[[#Totals],[Tagalog (Filipino) Total]]</f>
        <v>0</v>
      </c>
      <c r="W21" s="4">
        <f>SantaBarbara[[#Totals],[Urdu Total]]</f>
        <v>0</v>
      </c>
      <c r="X21" s="4">
        <f>SantaBarbara[[#Totals],[Vietnamese Total]]</f>
        <v>0</v>
      </c>
      <c r="Y21" s="4">
        <f>SantaBarbara[[#Totals],[Other Total]]</f>
        <v>0</v>
      </c>
      <c r="Z21" s="4">
        <f>SUM(Table30[[#This Row],[American Sign Language Total]:[Other Total]])</f>
        <v>308</v>
      </c>
    </row>
    <row r="22" spans="1:26" x14ac:dyDescent="0.35">
      <c r="A22" t="s">
        <v>10</v>
      </c>
      <c r="B22" s="4">
        <v>6</v>
      </c>
      <c r="C22" s="10">
        <v>9</v>
      </c>
      <c r="D22" s="4">
        <f>SantaClara[[#Totals],[American Sign Language Total]]</f>
        <v>0</v>
      </c>
      <c r="E22" s="4">
        <f>SantaClara[[#Totals],[Arabic Total]]</f>
        <v>0</v>
      </c>
      <c r="F22" s="4">
        <f>SantaClara[[#Totals],[Armenian Total]]</f>
        <v>0</v>
      </c>
      <c r="G22" s="4">
        <f>SantaClara[[#Totals],[Bengali Total]]</f>
        <v>0</v>
      </c>
      <c r="H22" s="4">
        <f>SantaClara[[#Totals],[Chinese Total]]</f>
        <v>104</v>
      </c>
      <c r="I22" s="4">
        <f>SantaClara[[#Totals],[Farsi (Persian) Total]]</f>
        <v>0</v>
      </c>
      <c r="J22" s="4">
        <f>SantaClara[[#Totals],[French Total]]</f>
        <v>0</v>
      </c>
      <c r="K22" s="4">
        <f>SantaClara[[#Totals],[German Total]]</f>
        <v>0</v>
      </c>
      <c r="L22" s="4">
        <f>SantaClara[[#Totals],[Hebrew Total]]</f>
        <v>0</v>
      </c>
      <c r="M22" s="4">
        <f>SantaClara[[#Totals],[Hindi Total]]</f>
        <v>0</v>
      </c>
      <c r="N22" s="4">
        <f>SantaClara[[#Totals],[Hmong Total]]</f>
        <v>0</v>
      </c>
      <c r="O22" s="4">
        <f>SantaClara[[#Totals],[Italian Total]]</f>
        <v>0</v>
      </c>
      <c r="P22" s="4">
        <f>SantaClara[[#Totals],[Japanese Total]]</f>
        <v>0</v>
      </c>
      <c r="Q22" s="4">
        <f>SantaClara[[#Totals],[Korean Total]]</f>
        <v>0</v>
      </c>
      <c r="R22" s="4">
        <f>SantaClara[[#Totals],[Portuguese Total]]</f>
        <v>0</v>
      </c>
      <c r="S22" s="4">
        <f>SantaClara[[#Totals],[Punjabi Total]]</f>
        <v>0</v>
      </c>
      <c r="T22" s="4">
        <f>SantaClara[[#Totals],[Russian Total]]</f>
        <v>0</v>
      </c>
      <c r="U22" s="4">
        <f>SantaClara[[#Totals],[Spanish Total]]</f>
        <v>1179</v>
      </c>
      <c r="V22" s="4">
        <f>SantaClara[[#Totals],[Tagalog (Filipino) Total]]</f>
        <v>0</v>
      </c>
      <c r="W22" s="4">
        <f>SantaClara[[#Totals],[Urdu Total]]</f>
        <v>0</v>
      </c>
      <c r="X22" s="4">
        <f>SantaClara[[#Totals],[Vietnamese Total]]</f>
        <v>207</v>
      </c>
      <c r="Y22" s="4">
        <f>SantaClara[[#Totals],[Other Total]]</f>
        <v>0</v>
      </c>
      <c r="Z22" s="4">
        <f>SUM(Table30[[#This Row],[American Sign Language Total]:[Other Total]])</f>
        <v>1490</v>
      </c>
    </row>
    <row r="23" spans="1:26" x14ac:dyDescent="0.35">
      <c r="A23" t="s">
        <v>233</v>
      </c>
      <c r="B23" s="4">
        <v>1</v>
      </c>
      <c r="C23" s="10">
        <v>2</v>
      </c>
      <c r="D23" s="4">
        <f>'Santa Cruz'!F4</f>
        <v>0</v>
      </c>
      <c r="E23" s="4">
        <f>'Santa Cruz'!G4</f>
        <v>0</v>
      </c>
      <c r="F23" s="4">
        <f>'Santa Cruz'!H4</f>
        <v>0</v>
      </c>
      <c r="G23" s="4">
        <f>'Santa Cruz'!I4</f>
        <v>0</v>
      </c>
      <c r="H23" s="4">
        <f>'Santa Cruz'!J4</f>
        <v>0</v>
      </c>
      <c r="I23" s="4">
        <f>'Santa Cruz'!K4</f>
        <v>0</v>
      </c>
      <c r="J23" s="4">
        <f>'Santa Cruz'!L4</f>
        <v>0</v>
      </c>
      <c r="K23" s="4">
        <f>'Santa Cruz'!M4</f>
        <v>0</v>
      </c>
      <c r="L23" s="4">
        <f>'Santa Cruz'!N4</f>
        <v>0</v>
      </c>
      <c r="M23" s="4">
        <f>'Santa Cruz'!O4</f>
        <v>0</v>
      </c>
      <c r="N23" s="4">
        <f>'Santa Cruz'!P4</f>
        <v>0</v>
      </c>
      <c r="O23" s="4">
        <f>'Santa Cruz'!Q4</f>
        <v>0</v>
      </c>
      <c r="P23" s="4">
        <f>'Santa Cruz'!R4</f>
        <v>0</v>
      </c>
      <c r="Q23" s="4">
        <f>'Santa Cruz'!S4</f>
        <v>0</v>
      </c>
      <c r="R23" s="4">
        <f>'Santa Cruz'!T4</f>
        <v>0</v>
      </c>
      <c r="S23" s="4">
        <f>'Santa Cruz'!U4</f>
        <v>0</v>
      </c>
      <c r="T23" s="4">
        <f>'Santa Cruz'!V4</f>
        <v>0</v>
      </c>
      <c r="U23" s="4">
        <f>'Santa Cruz'!W4</f>
        <v>46</v>
      </c>
      <c r="V23" s="4">
        <f>'Santa Cruz'!X4</f>
        <v>0</v>
      </c>
      <c r="W23" s="4">
        <f>'Santa Cruz'!Y4</f>
        <v>0</v>
      </c>
      <c r="X23" s="4">
        <f>'Santa Cruz'!Z4</f>
        <v>0</v>
      </c>
      <c r="Y23" s="4">
        <f>'Santa Cruz'!AA4</f>
        <v>1</v>
      </c>
      <c r="Z23" s="4">
        <f>SUM(Table30[[#This Row],[American Sign Language Total]:[Other Total]])</f>
        <v>47</v>
      </c>
    </row>
    <row r="24" spans="1:26" x14ac:dyDescent="0.35">
      <c r="A24" t="s">
        <v>234</v>
      </c>
      <c r="B24" s="4">
        <v>1</v>
      </c>
      <c r="C24" s="10">
        <v>1</v>
      </c>
      <c r="D24" s="4">
        <f>Shasta!F4</f>
        <v>0</v>
      </c>
      <c r="E24" s="4">
        <f>Shasta!G4</f>
        <v>0</v>
      </c>
      <c r="F24" s="4">
        <f>Shasta!H4</f>
        <v>0</v>
      </c>
      <c r="G24" s="4">
        <f>Shasta!I4</f>
        <v>0</v>
      </c>
      <c r="H24" s="4">
        <f>Shasta!J4</f>
        <v>0</v>
      </c>
      <c r="I24" s="4">
        <f>Shasta!K4</f>
        <v>0</v>
      </c>
      <c r="J24" s="4">
        <f>Shasta!L4</f>
        <v>0</v>
      </c>
      <c r="K24" s="4">
        <f>Shasta!M4</f>
        <v>0</v>
      </c>
      <c r="L24" s="4">
        <f>Shasta!N4</f>
        <v>0</v>
      </c>
      <c r="M24" s="4">
        <f>Shasta!O4</f>
        <v>0</v>
      </c>
      <c r="N24" s="4">
        <f>Shasta!P4</f>
        <v>0</v>
      </c>
      <c r="O24" s="4">
        <f>Shasta!Q4</f>
        <v>0</v>
      </c>
      <c r="P24" s="4">
        <f>Shasta!R4</f>
        <v>0</v>
      </c>
      <c r="Q24" s="4">
        <f>Shasta!S4</f>
        <v>0</v>
      </c>
      <c r="R24" s="4">
        <f>Shasta!T4</f>
        <v>0</v>
      </c>
      <c r="S24" s="4">
        <f>Shasta!U4</f>
        <v>0</v>
      </c>
      <c r="T24" s="4">
        <f>Shasta!V4</f>
        <v>0</v>
      </c>
      <c r="U24" s="4">
        <f>Shasta!W4</f>
        <v>325</v>
      </c>
      <c r="V24" s="4">
        <f>Shasta!X4</f>
        <v>0</v>
      </c>
      <c r="W24" s="4">
        <f>Shasta!Y4</f>
        <v>0</v>
      </c>
      <c r="X24" s="4">
        <f>Shasta!Z4</f>
        <v>0</v>
      </c>
      <c r="Y24" s="4">
        <f>Shasta!AA4</f>
        <v>0</v>
      </c>
      <c r="Z24" s="4">
        <f>SUM(Table30[[#This Row],[American Sign Language Total]:[Other Total]])</f>
        <v>325</v>
      </c>
    </row>
    <row r="25" spans="1:26" x14ac:dyDescent="0.35">
      <c r="A25" t="s">
        <v>13</v>
      </c>
      <c r="B25" s="4">
        <v>1</v>
      </c>
      <c r="C25" s="10">
        <v>1</v>
      </c>
      <c r="D25" s="4">
        <f>Ventura[[#Totals],[American Sign Language Total]]</f>
        <v>0</v>
      </c>
      <c r="E25" s="4">
        <f>Ventura[[#Totals],[Arabic Total]]</f>
        <v>0</v>
      </c>
      <c r="F25" s="4">
        <f>Ventura[[#Totals],[Armenian Total]]</f>
        <v>0</v>
      </c>
      <c r="G25" s="4">
        <f>Ventura[[#Totals],[Bengali Total]]</f>
        <v>0</v>
      </c>
      <c r="H25" s="4">
        <f>Ventura[[#Totals],[Chinese Total]]</f>
        <v>0</v>
      </c>
      <c r="I25" s="4">
        <f>Ventura[[#Totals],[Farsi (Persian) Total]]</f>
        <v>0</v>
      </c>
      <c r="J25" s="4">
        <f>Ventura[[#Totals],[French Total]]</f>
        <v>0</v>
      </c>
      <c r="K25" s="4">
        <f>Ventura[[#Totals],[German Total]]</f>
        <v>0</v>
      </c>
      <c r="L25" s="4">
        <f>Ventura[[#Totals],[Hebrew Total]]</f>
        <v>0</v>
      </c>
      <c r="M25" s="4">
        <f>Ventura[[#Totals],[Hindi Total]]</f>
        <v>0</v>
      </c>
      <c r="N25" s="4">
        <f>Ventura[[#Totals],[Hmong Total]]</f>
        <v>0</v>
      </c>
      <c r="O25" s="4">
        <f>Ventura[[#Totals],[Italian Total]]</f>
        <v>0</v>
      </c>
      <c r="P25" s="4">
        <f>Ventura[[#Totals],[Japanese Total]]</f>
        <v>0</v>
      </c>
      <c r="Q25" s="24" t="str">
        <f>Ventura[[#Totals],[Korean Total]]</f>
        <v>0</v>
      </c>
      <c r="R25" s="4">
        <f>Ventura[[#Totals],[Portuguese Total]]</f>
        <v>0</v>
      </c>
      <c r="S25" s="4">
        <f>Ventura[[#Totals],[Punjabi Total]]</f>
        <v>0</v>
      </c>
      <c r="T25" s="4">
        <f>Ventura[[#Totals],[Russian Total]]</f>
        <v>0</v>
      </c>
      <c r="U25" s="4">
        <f>Ventura[[#Totals],[Spanish Total]]</f>
        <v>55</v>
      </c>
      <c r="V25" s="4">
        <f>Ventura[[#Totals],[Tagalog (Filipino) Total]]</f>
        <v>0</v>
      </c>
      <c r="W25" s="4">
        <f>Ventura[[#Totals],[Urdu Total]]</f>
        <v>0</v>
      </c>
      <c r="X25" s="4">
        <f>Ventura[[#Totals],[Vietnamese Total]]</f>
        <v>0</v>
      </c>
      <c r="Y25" s="4">
        <f>Ventura[[#Totals],[Other Total]]</f>
        <v>0</v>
      </c>
      <c r="Z25" s="4">
        <f>SUM(Table30[[#This Row],[American Sign Language Total]:[Other Total]])</f>
        <v>55</v>
      </c>
    </row>
    <row r="26" spans="1:26" x14ac:dyDescent="0.35">
      <c r="A26" t="s">
        <v>12</v>
      </c>
      <c r="B26" s="4">
        <v>2</v>
      </c>
      <c r="C26" s="10">
        <v>8</v>
      </c>
      <c r="D26" s="4">
        <f>Yolo[[#Totals],[American Sign Language Total]]</f>
        <v>0</v>
      </c>
      <c r="E26" s="4">
        <f>Yolo[[#Totals],[Arabic Total]]</f>
        <v>0</v>
      </c>
      <c r="F26" s="4">
        <f>Yolo[[#Totals],[Armenian Total]]</f>
        <v>0</v>
      </c>
      <c r="G26" s="4">
        <f>Yolo[[#Totals],[Bengali Total]]</f>
        <v>0</v>
      </c>
      <c r="H26" s="4">
        <f>Yolo[[#Totals],[Chinese Total]]</f>
        <v>0</v>
      </c>
      <c r="I26" s="4">
        <f>Yolo[[#Totals],[Farsi (Persian) Total]]</f>
        <v>0</v>
      </c>
      <c r="J26" s="4">
        <f>Yolo[[#Totals],[French Total]]</f>
        <v>0</v>
      </c>
      <c r="K26" s="4">
        <f>Yolo[[#Totals],[German Total]]</f>
        <v>0</v>
      </c>
      <c r="L26" s="4">
        <f>Yolo[[#Totals],[Hebrew Total]]</f>
        <v>0</v>
      </c>
      <c r="M26" s="4">
        <f>Yolo[[#Totals],[Hindi Total]]</f>
        <v>0</v>
      </c>
      <c r="N26" s="4">
        <f>Yolo[[#Totals],[Hmong Total]]</f>
        <v>0</v>
      </c>
      <c r="O26" s="4">
        <f>Yolo[[#Totals],[Italian Total]]</f>
        <v>0</v>
      </c>
      <c r="P26" s="4">
        <f>Yolo[[#Totals],[Japanese Total]]</f>
        <v>0</v>
      </c>
      <c r="Q26" s="4">
        <f>Yolo[[#Totals],[Korean Total]]</f>
        <v>0</v>
      </c>
      <c r="R26" s="4">
        <f>Yolo[[#Totals],[Portuguese Total]]</f>
        <v>0</v>
      </c>
      <c r="S26" s="4">
        <f>Yolo[[#Totals],[Punjabi Total]]</f>
        <v>0</v>
      </c>
      <c r="T26" s="4">
        <f>Yolo[[#Totals],[Russian Total]]</f>
        <v>0</v>
      </c>
      <c r="U26" s="4">
        <f>Yolo[[#Totals],[Spanish Total]]</f>
        <v>241</v>
      </c>
      <c r="V26" s="4">
        <f>Yolo[[#Totals],[Tagalog (Filipino) Total]]</f>
        <v>0</v>
      </c>
      <c r="W26" s="4">
        <f>Yolo[[#Totals],[Urdu Total]]</f>
        <v>0</v>
      </c>
      <c r="X26" s="4">
        <f>Yolo[[#Totals],[Vietnamese Total]]</f>
        <v>0</v>
      </c>
      <c r="Y26" s="4">
        <f>Yolo[[#Totals],[Other Total]]</f>
        <v>0</v>
      </c>
      <c r="Z26" s="4">
        <f>SUM(Table30[[#This Row],[American Sign Language Total]:[Other Total]])</f>
        <v>241</v>
      </c>
    </row>
    <row r="27" spans="1:26" x14ac:dyDescent="0.35">
      <c r="A27" t="s">
        <v>235</v>
      </c>
      <c r="B27" s="5">
        <f>SUBTOTAL(109,Table30[Participating Districts Total])</f>
        <v>71</v>
      </c>
      <c r="C27" s="15">
        <f>SUBTOTAL(109,Table30[Participating Schools Total])</f>
        <v>637</v>
      </c>
      <c r="D27" s="5">
        <f>SUBTOTAL(109,Table30[American Sign Language Total])</f>
        <v>6</v>
      </c>
      <c r="E27" s="5">
        <f>SUM(Table30[Arabic Total])</f>
        <v>43</v>
      </c>
      <c r="F27" s="5">
        <f>SUM(Table30[Armenian Total])</f>
        <v>154</v>
      </c>
      <c r="G27" s="5">
        <f>SUBTOTAL(109,Table30[Bengali Total])</f>
        <v>3</v>
      </c>
      <c r="H27" s="5">
        <f>SUBTOTAL(109,Table30[Chinese Total])</f>
        <v>2011</v>
      </c>
      <c r="I27" s="5">
        <f>SUBTOTAL(109,Table30[Farsi (Persian) Total])</f>
        <v>10</v>
      </c>
      <c r="J27" s="5">
        <f>SUM(Table30[French Total])</f>
        <v>550</v>
      </c>
      <c r="K27" s="5">
        <f>SUM(Table30[German Total])</f>
        <v>5</v>
      </c>
      <c r="L27" s="5">
        <f>SUBTOTAL(109,Table30[Hebrew Total])</f>
        <v>11</v>
      </c>
      <c r="M27" s="5">
        <f>SUBTOTAL(109,Table30[Hindi Total])</f>
        <v>7</v>
      </c>
      <c r="N27" s="5">
        <f>SUBTOTAL(109,Table30[Hmong Total])</f>
        <v>2</v>
      </c>
      <c r="O27" s="5">
        <f>SUM(Table30[Italian Total])</f>
        <v>3</v>
      </c>
      <c r="P27" s="5">
        <f>SUM(Table30[[ Japanese Total]])</f>
        <v>33</v>
      </c>
      <c r="Q27" s="5">
        <f>SUM(Table30[Korean Total])</f>
        <v>300</v>
      </c>
      <c r="R27" s="5">
        <f>SUM(Table30[Portuguese Total])</f>
        <v>6</v>
      </c>
      <c r="S27" s="5">
        <f>SUBTOTAL(109,Table30[Punjabi Total])</f>
        <v>12</v>
      </c>
      <c r="T27" s="5">
        <f>SUBTOTAL(109,Table30[Russian Total])</f>
        <v>26</v>
      </c>
      <c r="U27" s="5">
        <f>SUM(Table30[Spanish Total])</f>
        <v>28681</v>
      </c>
      <c r="V27" s="5">
        <f>SUM(Table30[Tagalog (Filipino) Total])</f>
        <v>202</v>
      </c>
      <c r="W27" s="5">
        <f>SUBTOTAL(109,Table30[Urdu Total])</f>
        <v>1</v>
      </c>
      <c r="X27" s="5">
        <f>SUM(Table30[Vietnamese Total])</f>
        <v>255</v>
      </c>
      <c r="Y27" s="5">
        <f>SUM(Table30[Other Total])</f>
        <v>38</v>
      </c>
      <c r="Z27" s="5">
        <f>SUM(Table30[Recognitions Total])</f>
        <v>32359</v>
      </c>
    </row>
  </sheetData>
  <pageMargins left="0.7" right="0.7" top="0.75" bottom="0.75" header="0.3" footer="0.3"/>
  <pageSetup orientation="portrait" horizontalDpi="4294967295" verticalDpi="4294967295" r:id="rId1"/>
  <ignoredErrors>
    <ignoredError sqref="I16:K16 D17" formula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13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5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3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97" customHeight="1" x14ac:dyDescent="0.35">
      <c r="A3" s="2" t="s">
        <v>151</v>
      </c>
      <c r="B3" s="2" t="s">
        <v>275</v>
      </c>
      <c r="C3" s="2" t="s">
        <v>162</v>
      </c>
      <c r="D3" s="2" t="s">
        <v>152</v>
      </c>
      <c r="E3" s="2" t="s">
        <v>116</v>
      </c>
      <c r="F3" s="9">
        <v>0</v>
      </c>
      <c r="G3" s="9">
        <v>6</v>
      </c>
      <c r="H3" s="9">
        <v>0</v>
      </c>
      <c r="I3" s="9">
        <v>0</v>
      </c>
      <c r="J3" s="9">
        <v>5</v>
      </c>
      <c r="K3" s="9">
        <v>1</v>
      </c>
      <c r="L3" s="9">
        <v>0</v>
      </c>
      <c r="M3" s="9">
        <v>0</v>
      </c>
      <c r="N3" s="9">
        <v>0</v>
      </c>
      <c r="O3" s="9">
        <v>1</v>
      </c>
      <c r="P3" s="9">
        <v>0</v>
      </c>
      <c r="Q3" s="9">
        <v>0</v>
      </c>
      <c r="R3" s="9">
        <v>3</v>
      </c>
      <c r="S3" s="9">
        <v>79</v>
      </c>
      <c r="T3" s="9">
        <v>0</v>
      </c>
      <c r="U3" s="9">
        <v>0</v>
      </c>
      <c r="V3" s="9">
        <v>1</v>
      </c>
      <c r="W3" s="9">
        <v>607</v>
      </c>
      <c r="X3" s="9">
        <v>4</v>
      </c>
      <c r="Y3" s="9">
        <v>0</v>
      </c>
      <c r="Z3" s="9">
        <v>38</v>
      </c>
      <c r="AA3" s="9">
        <v>4</v>
      </c>
      <c r="AB3" s="9">
        <f>SUM(F3:AA3)</f>
        <v>749</v>
      </c>
    </row>
    <row r="4" spans="1:28" s="7" customFormat="1" ht="31" x14ac:dyDescent="0.35">
      <c r="A4" s="2" t="s">
        <v>82</v>
      </c>
      <c r="B4" s="2" t="s">
        <v>88</v>
      </c>
      <c r="C4" s="7" t="s">
        <v>88</v>
      </c>
      <c r="D4" s="2" t="s">
        <v>69</v>
      </c>
      <c r="E4" s="2" t="s">
        <v>250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475</v>
      </c>
      <c r="X4" s="9">
        <v>0</v>
      </c>
      <c r="Y4" s="9">
        <v>0</v>
      </c>
      <c r="Z4" s="9">
        <v>0</v>
      </c>
      <c r="AA4" s="9">
        <v>0</v>
      </c>
      <c r="AB4" s="9">
        <f t="shared" ref="AB4:AB11" si="0">SUM(F4:AA4)</f>
        <v>475</v>
      </c>
    </row>
    <row r="5" spans="1:28" s="7" customFormat="1" ht="31" x14ac:dyDescent="0.35">
      <c r="A5" s="7" t="s">
        <v>83</v>
      </c>
      <c r="B5" s="2" t="s">
        <v>84</v>
      </c>
      <c r="C5" s="2" t="s">
        <v>84</v>
      </c>
      <c r="D5" s="2" t="s">
        <v>69</v>
      </c>
      <c r="E5" s="2" t="s">
        <v>66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156</v>
      </c>
      <c r="X5" s="9">
        <v>0</v>
      </c>
      <c r="Y5" s="9">
        <v>0</v>
      </c>
      <c r="Z5" s="9">
        <v>0</v>
      </c>
      <c r="AA5" s="9">
        <v>0</v>
      </c>
      <c r="AB5" s="9">
        <f t="shared" si="0"/>
        <v>156</v>
      </c>
    </row>
    <row r="6" spans="1:28" s="7" customFormat="1" ht="31" x14ac:dyDescent="0.35">
      <c r="A6" s="7" t="s">
        <v>15</v>
      </c>
      <c r="B6" s="2" t="s">
        <v>153</v>
      </c>
      <c r="C6" s="2" t="s">
        <v>68</v>
      </c>
      <c r="D6" s="2" t="s">
        <v>154</v>
      </c>
      <c r="E6" s="2" t="s">
        <v>79</v>
      </c>
      <c r="F6" s="9">
        <v>0</v>
      </c>
      <c r="G6" s="9">
        <v>0</v>
      </c>
      <c r="H6" s="9">
        <v>0</v>
      </c>
      <c r="I6" s="9">
        <v>0</v>
      </c>
      <c r="J6" s="9">
        <v>14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29</v>
      </c>
      <c r="X6" s="9">
        <v>0</v>
      </c>
      <c r="Y6" s="9">
        <v>0</v>
      </c>
      <c r="Z6" s="9">
        <v>0</v>
      </c>
      <c r="AA6" s="9">
        <v>0</v>
      </c>
      <c r="AB6" s="9">
        <f t="shared" si="0"/>
        <v>43</v>
      </c>
    </row>
    <row r="7" spans="1:28" s="7" customFormat="1" ht="31" x14ac:dyDescent="0.35">
      <c r="A7" s="2" t="s">
        <v>155</v>
      </c>
      <c r="B7" s="2" t="s">
        <v>156</v>
      </c>
      <c r="C7" s="2" t="s">
        <v>156</v>
      </c>
      <c r="D7" s="2" t="s">
        <v>69</v>
      </c>
      <c r="E7" s="2" t="s">
        <v>188</v>
      </c>
      <c r="F7" s="9">
        <v>0</v>
      </c>
      <c r="G7" s="9">
        <v>0</v>
      </c>
      <c r="H7" s="9">
        <v>0</v>
      </c>
      <c r="I7" s="9">
        <v>0</v>
      </c>
      <c r="J7" s="9">
        <v>280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f>SUM(F7:AA7)</f>
        <v>280</v>
      </c>
    </row>
    <row r="8" spans="1:28" s="7" customFormat="1" ht="31" x14ac:dyDescent="0.35">
      <c r="A8" s="2" t="s">
        <v>157</v>
      </c>
      <c r="B8" s="2" t="s">
        <v>157</v>
      </c>
      <c r="C8" s="2" t="s">
        <v>157</v>
      </c>
      <c r="D8" s="2" t="s">
        <v>69</v>
      </c>
      <c r="E8" s="2" t="s">
        <v>79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132</v>
      </c>
      <c r="X8" s="9">
        <v>0</v>
      </c>
      <c r="Y8" s="9">
        <v>0</v>
      </c>
      <c r="Z8" s="9">
        <v>0</v>
      </c>
      <c r="AA8" s="9">
        <v>0</v>
      </c>
      <c r="AB8" s="9">
        <f>SUM(F8:AA8)</f>
        <v>132</v>
      </c>
    </row>
    <row r="9" spans="1:28" s="7" customFormat="1" ht="31" x14ac:dyDescent="0.35">
      <c r="A9" s="7" t="s">
        <v>42</v>
      </c>
      <c r="B9" s="2" t="s">
        <v>85</v>
      </c>
      <c r="C9" s="2" t="s">
        <v>85</v>
      </c>
      <c r="D9" s="2" t="s">
        <v>158</v>
      </c>
      <c r="E9" s="2" t="s">
        <v>188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182</v>
      </c>
      <c r="X9" s="9">
        <v>0</v>
      </c>
      <c r="Y9" s="9">
        <v>0</v>
      </c>
      <c r="Z9" s="9">
        <v>0</v>
      </c>
      <c r="AA9" s="9">
        <v>0</v>
      </c>
      <c r="AB9" s="9">
        <f t="shared" si="0"/>
        <v>182</v>
      </c>
    </row>
    <row r="10" spans="1:28" s="7" customFormat="1" ht="39" customHeight="1" x14ac:dyDescent="0.35">
      <c r="A10" s="2" t="s">
        <v>43</v>
      </c>
      <c r="B10" s="2" t="s">
        <v>159</v>
      </c>
      <c r="C10" s="7" t="s">
        <v>160</v>
      </c>
      <c r="D10" s="2" t="s">
        <v>69</v>
      </c>
      <c r="E10" s="2" t="s">
        <v>188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540</v>
      </c>
      <c r="X10" s="9">
        <v>0</v>
      </c>
      <c r="Y10" s="9">
        <v>0</v>
      </c>
      <c r="Z10" s="9">
        <v>0</v>
      </c>
      <c r="AA10" s="9">
        <v>0</v>
      </c>
      <c r="AB10" s="9">
        <f t="shared" si="0"/>
        <v>540</v>
      </c>
    </row>
    <row r="11" spans="1:28" ht="31" x14ac:dyDescent="0.35">
      <c r="A11" s="7" t="s">
        <v>4</v>
      </c>
      <c r="B11" t="s">
        <v>86</v>
      </c>
      <c r="C11" t="s">
        <v>86</v>
      </c>
      <c r="D11" s="2" t="s">
        <v>69</v>
      </c>
      <c r="E11" s="2" t="s">
        <v>66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525</v>
      </c>
      <c r="X11" s="9">
        <v>0</v>
      </c>
      <c r="Y11" s="9">
        <v>0</v>
      </c>
      <c r="Z11" s="9">
        <v>0</v>
      </c>
      <c r="AA11" s="9">
        <v>0</v>
      </c>
      <c r="AB11" s="9">
        <f t="shared" si="0"/>
        <v>525</v>
      </c>
    </row>
    <row r="12" spans="1:28" x14ac:dyDescent="0.35">
      <c r="A12" t="s">
        <v>161</v>
      </c>
      <c r="B12" s="11" t="s">
        <v>163</v>
      </c>
      <c r="C12" s="11" t="s">
        <v>164</v>
      </c>
      <c r="D12" s="20"/>
      <c r="E12" s="20"/>
      <c r="F12" s="4">
        <f>SUBTOTAL(109,Orange[American Sign Language Total])</f>
        <v>0</v>
      </c>
      <c r="G12" s="4">
        <f>SUBTOTAL(109,Orange[Arabic Total])</f>
        <v>6</v>
      </c>
      <c r="H12" s="4">
        <f>SUBTOTAL(109,Orange[Armenian Total])</f>
        <v>0</v>
      </c>
      <c r="I12" s="4">
        <f>SUBTOTAL(109,Orange[Bengali Total])</f>
        <v>0</v>
      </c>
      <c r="J12" s="4">
        <f>SUBTOTAL(109,Orange[Chinese Total])</f>
        <v>299</v>
      </c>
      <c r="K12" s="4">
        <f>SUBTOTAL(109,Orange[Farsi (Persian) Total])</f>
        <v>1</v>
      </c>
      <c r="L12" s="4">
        <f>SUBTOTAL(109,Orange[French Total])</f>
        <v>0</v>
      </c>
      <c r="M12" s="4">
        <f>SUBTOTAL(109,Orange[German Total])</f>
        <v>0</v>
      </c>
      <c r="N12" s="4">
        <f>SUBTOTAL(109,Orange[Hebrew Total])</f>
        <v>0</v>
      </c>
      <c r="O12" s="4">
        <f>SUBTOTAL(109,Orange[Hindi Total])</f>
        <v>1</v>
      </c>
      <c r="P12" s="4">
        <f>SUBTOTAL(109,Orange[Hmong Total])</f>
        <v>0</v>
      </c>
      <c r="Q12" s="4">
        <f>SUBTOTAL(109,Orange[Italian Total])</f>
        <v>0</v>
      </c>
      <c r="R12" s="4">
        <f>SUBTOTAL(109,Orange[Japanese Total])</f>
        <v>3</v>
      </c>
      <c r="S12" s="4">
        <f>SUBTOTAL(109,Orange[Korean Total])</f>
        <v>79</v>
      </c>
      <c r="T12" s="4">
        <f>SUBTOTAL(109,Orange[Portuguese Total])</f>
        <v>0</v>
      </c>
      <c r="U12" s="4">
        <f>SUBTOTAL(109,Orange[Punjabi Total])</f>
        <v>0</v>
      </c>
      <c r="V12" s="4">
        <f>SUBTOTAL(109,Orange[Russian Total])</f>
        <v>1</v>
      </c>
      <c r="W12" s="4">
        <f>SUBTOTAL(109,Orange[Spanish Total])</f>
        <v>2646</v>
      </c>
      <c r="X12" s="4">
        <f>SUBTOTAL(109,Orange[Tagalog (Filipino) Total])</f>
        <v>4</v>
      </c>
      <c r="Y12" s="4">
        <f>SUBTOTAL(109,Orange[Urdu Total])</f>
        <v>0</v>
      </c>
      <c r="Z12" s="4">
        <f>SUBTOTAL(109,Orange[Vietnamese Total])</f>
        <v>38</v>
      </c>
      <c r="AA12" s="4">
        <f>SUBTOTAL(109,Orange[Other Total])</f>
        <v>4</v>
      </c>
      <c r="AB12" s="4">
        <f>SUBTOTAL(109,Orange[Total Seals per LEA])</f>
        <v>3082</v>
      </c>
    </row>
    <row r="13" spans="1:28" ht="67" customHeight="1" x14ac:dyDescent="0.35"/>
  </sheetData>
  <sortState xmlns:xlrd2="http://schemas.microsoft.com/office/spreadsheetml/2017/richdata2" ref="A2:BN15">
    <sortCondition ref="A2:A15"/>
  </sortState>
  <conditionalFormatting sqref="A1:E1 A2:B2">
    <cfRule type="duplicateValues" dxfId="19" priority="2"/>
  </conditionalFormatting>
  <conditionalFormatting sqref="C2:E2">
    <cfRule type="duplicateValues" dxfId="18" priority="1"/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B907-2B72-41F8-AC49-D1DA96A2C3C6}">
  <dimension ref="A1:AB5"/>
  <sheetViews>
    <sheetView workbookViewId="0"/>
  </sheetViews>
  <sheetFormatPr defaultRowHeight="15.5" x14ac:dyDescent="0.35"/>
  <cols>
    <col min="1" max="1" width="25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165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45.75" customHeight="1" x14ac:dyDescent="0.35">
      <c r="A3" s="2" t="s">
        <v>166</v>
      </c>
      <c r="B3" s="2" t="s">
        <v>167</v>
      </c>
      <c r="C3" s="7" t="s">
        <v>168</v>
      </c>
      <c r="D3" s="2" t="s">
        <v>69</v>
      </c>
      <c r="E3" s="2" t="s">
        <v>250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50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50</v>
      </c>
    </row>
    <row r="4" spans="1:28" x14ac:dyDescent="0.35">
      <c r="A4" t="s">
        <v>38</v>
      </c>
      <c r="B4" s="11" t="s">
        <v>100</v>
      </c>
      <c r="C4" s="11" t="s">
        <v>81</v>
      </c>
      <c r="D4" s="20"/>
      <c r="E4" s="20"/>
      <c r="F4" s="4">
        <f>SUBTOTAL(109,Orange8[American Sign Language Total])</f>
        <v>0</v>
      </c>
      <c r="G4" s="4">
        <f>SUBTOTAL(109,Orange8[Arabic Total])</f>
        <v>0</v>
      </c>
      <c r="H4" s="4">
        <f>SUBTOTAL(109,Orange8[Armenian Total])</f>
        <v>0</v>
      </c>
      <c r="I4" s="4">
        <f>SUBTOTAL(109,Orange8[Bengali Total])</f>
        <v>0</v>
      </c>
      <c r="J4" s="4">
        <f>SUBTOTAL(109,Orange8[Chinese Total])</f>
        <v>0</v>
      </c>
      <c r="K4" s="4">
        <f>SUBTOTAL(109,Orange8[Farsi (Persian) Total])</f>
        <v>0</v>
      </c>
      <c r="L4" s="4">
        <f>SUBTOTAL(109,Orange8[French Total])</f>
        <v>0</v>
      </c>
      <c r="M4" s="4">
        <f>SUBTOTAL(109,Orange8[German Total])</f>
        <v>0</v>
      </c>
      <c r="N4" s="4">
        <f>SUBTOTAL(109,Orange8[Hebrew Total])</f>
        <v>0</v>
      </c>
      <c r="O4" s="4">
        <f>SUBTOTAL(109,Orange8[Hindi Total])</f>
        <v>0</v>
      </c>
      <c r="P4" s="4">
        <f>SUBTOTAL(109,Orange8[Hmong Total])</f>
        <v>0</v>
      </c>
      <c r="Q4" s="4">
        <f>SUBTOTAL(109,Orange8[Italian Total])</f>
        <v>0</v>
      </c>
      <c r="R4" s="4">
        <f>SUBTOTAL(109,Orange8[Japanese Total])</f>
        <v>0</v>
      </c>
      <c r="S4" s="4">
        <f>SUBTOTAL(109,Orange8[Korean Total])</f>
        <v>0</v>
      </c>
      <c r="T4" s="4">
        <f>SUBTOTAL(109,Orange8[Portuguese Total])</f>
        <v>0</v>
      </c>
      <c r="U4" s="4">
        <f>SUBTOTAL(109,Orange8[Punjabi Total])</f>
        <v>0</v>
      </c>
      <c r="V4" s="4">
        <f>SUBTOTAL(109,Orange8[Russian Total])</f>
        <v>0</v>
      </c>
      <c r="W4" s="4">
        <f>SUBTOTAL(109,Orange8[Spanish Total])</f>
        <v>50</v>
      </c>
      <c r="X4" s="4">
        <f>SUBTOTAL(109,Orange8[Tagalog (Filipino) Total])</f>
        <v>0</v>
      </c>
      <c r="Y4" s="4">
        <f>SUBTOTAL(109,Orange8[Urdu Total])</f>
        <v>0</v>
      </c>
      <c r="Z4" s="4">
        <f>SUBTOTAL(109,Orange8[Vietnamese Total])</f>
        <v>0</v>
      </c>
      <c r="AA4" s="4">
        <f>SUBTOTAL(109,Orange8[Other Total])</f>
        <v>0</v>
      </c>
      <c r="AB4" s="4">
        <f>SUBTOTAL(109,Orange8[Total Seals per LEA])</f>
        <v>50</v>
      </c>
    </row>
    <row r="5" spans="1:28" ht="67" customHeight="1" x14ac:dyDescent="0.35"/>
  </sheetData>
  <conditionalFormatting sqref="A1:E1 A2:B2">
    <cfRule type="duplicateValues" dxfId="17" priority="2"/>
  </conditionalFormatting>
  <conditionalFormatting sqref="C2:E2">
    <cfRule type="duplicateValues" dxfId="16" priority="1"/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E062-0484-4986-870B-6F25A84AE9A2}">
  <dimension ref="A1:AB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5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0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ht="196.5" customHeight="1" x14ac:dyDescent="0.35">
      <c r="A3" s="7" t="s">
        <v>169</v>
      </c>
      <c r="B3" s="2" t="s">
        <v>268</v>
      </c>
      <c r="C3" s="2" t="s">
        <v>171</v>
      </c>
      <c r="D3" s="2" t="s">
        <v>120</v>
      </c>
      <c r="E3" s="2" t="s">
        <v>182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914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914</v>
      </c>
    </row>
    <row r="4" spans="1:28" ht="139.5" x14ac:dyDescent="0.35">
      <c r="A4" s="7" t="s">
        <v>170</v>
      </c>
      <c r="B4" s="2" t="s">
        <v>172</v>
      </c>
      <c r="C4" s="2" t="s">
        <v>173</v>
      </c>
      <c r="D4" s="2" t="s">
        <v>120</v>
      </c>
      <c r="E4" s="2" t="s">
        <v>182</v>
      </c>
      <c r="F4" s="9">
        <v>1</v>
      </c>
      <c r="G4" s="9">
        <v>13</v>
      </c>
      <c r="H4" s="9">
        <v>0</v>
      </c>
      <c r="I4" s="9">
        <v>0</v>
      </c>
      <c r="J4" s="9">
        <v>1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2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1</v>
      </c>
      <c r="W4" s="9">
        <v>1239</v>
      </c>
      <c r="X4" s="9">
        <v>4</v>
      </c>
      <c r="Y4" s="9">
        <v>0</v>
      </c>
      <c r="Z4" s="9">
        <v>1</v>
      </c>
      <c r="AA4" s="9">
        <v>4</v>
      </c>
      <c r="AB4" s="9">
        <f>SUM(F4:AA4)</f>
        <v>1266</v>
      </c>
    </row>
    <row r="5" spans="1:28" x14ac:dyDescent="0.35">
      <c r="A5" t="s">
        <v>39</v>
      </c>
      <c r="B5" s="11" t="s">
        <v>269</v>
      </c>
      <c r="C5" s="11" t="s">
        <v>58</v>
      </c>
      <c r="D5" s="20"/>
      <c r="E5" s="20"/>
      <c r="F5" s="4">
        <f>SUBTOTAL(109,Riverside[American Sign Language Total])</f>
        <v>1</v>
      </c>
      <c r="G5" s="4">
        <f>SUBTOTAL(109,Riverside[Arabic Total])</f>
        <v>13</v>
      </c>
      <c r="H5" s="4">
        <f>SUBTOTAL(109,Riverside[Armenian Total])</f>
        <v>0</v>
      </c>
      <c r="I5" s="4">
        <f>SUBTOTAL(109,Riverside[Bengali Total])</f>
        <v>0</v>
      </c>
      <c r="J5" s="4">
        <f>SUBTOTAL(109,Riverside[Chinese Total])</f>
        <v>1</v>
      </c>
      <c r="K5" s="4">
        <f>SUBTOTAL(109,Riverside[Farsi (Persian) Total])</f>
        <v>0</v>
      </c>
      <c r="L5" s="4">
        <f>SUBTOTAL(109,Riverside[French Total])</f>
        <v>0</v>
      </c>
      <c r="M5" s="4">
        <f>SUBTOTAL(109,Riverside[German Total])</f>
        <v>0</v>
      </c>
      <c r="N5" s="4">
        <f>SUBTOTAL(109,Riverside[Hebrew Total])</f>
        <v>0</v>
      </c>
      <c r="O5" s="4">
        <f>SUBTOTAL(109,Riverside[Hindi Total])</f>
        <v>0</v>
      </c>
      <c r="P5" s="4">
        <f>SUBTOTAL(109,Riverside[Hmong Total])</f>
        <v>2</v>
      </c>
      <c r="Q5" s="4">
        <f>SUBTOTAL(109,Riverside[Italian Total])</f>
        <v>0</v>
      </c>
      <c r="R5" s="4">
        <f>SUBTOTAL(109,Riverside[Japanese Total])</f>
        <v>0</v>
      </c>
      <c r="S5" s="4">
        <f>SUBTOTAL(109,Riverside[Korean Total])</f>
        <v>0</v>
      </c>
      <c r="T5" s="4">
        <f>SUBTOTAL(109,Riverside[Portuguese Total])</f>
        <v>0</v>
      </c>
      <c r="U5" s="4">
        <f>SUBTOTAL(109,Riverside[Punjabi Total])</f>
        <v>0</v>
      </c>
      <c r="V5" s="4">
        <f>SUBTOTAL(109,Riverside[Russian Total])</f>
        <v>1</v>
      </c>
      <c r="W5" s="4">
        <f>SUBTOTAL(109,Riverside[Spanish Total])</f>
        <v>2153</v>
      </c>
      <c r="X5" s="4">
        <f>SUBTOTAL(109,Riverside[Tagalog (Filipino) Total])</f>
        <v>4</v>
      </c>
      <c r="Y5" s="4">
        <f>SUBTOTAL(109,Riverside[Urdu Total])</f>
        <v>0</v>
      </c>
      <c r="Z5" s="4">
        <f>SUBTOTAL(109,Riverside[Vietnamese Total])</f>
        <v>1</v>
      </c>
      <c r="AA5" s="4">
        <f>SUBTOTAL(109,Riverside[Other Total])</f>
        <v>4</v>
      </c>
      <c r="AB5" s="4">
        <f>SUBTOTAL(109,Riverside[Total Seals per LEA])</f>
        <v>2180</v>
      </c>
    </row>
  </sheetData>
  <conditionalFormatting sqref="A1:E1 A2:B2">
    <cfRule type="duplicateValues" dxfId="15" priority="2"/>
  </conditionalFormatting>
  <conditionalFormatting sqref="C2:E2">
    <cfRule type="duplicateValues" dxfId="14" priority="1"/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713A-21A4-49CC-A3F7-C16EF77EED48}">
  <dimension ref="A1:AB6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5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6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31" x14ac:dyDescent="0.35">
      <c r="A3" s="7" t="s">
        <v>90</v>
      </c>
      <c r="B3" s="2" t="s">
        <v>175</v>
      </c>
      <c r="C3" s="7" t="s">
        <v>91</v>
      </c>
      <c r="D3" s="2" t="s">
        <v>69</v>
      </c>
      <c r="E3" s="2" t="s">
        <v>115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314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314</v>
      </c>
    </row>
    <row r="4" spans="1:28" ht="31" x14ac:dyDescent="0.35">
      <c r="A4" s="7" t="s">
        <v>174</v>
      </c>
      <c r="B4" t="s">
        <v>176</v>
      </c>
      <c r="C4" s="2" t="s">
        <v>68</v>
      </c>
      <c r="D4" s="2" t="s">
        <v>69</v>
      </c>
      <c r="E4" s="2" t="s">
        <v>66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23</v>
      </c>
      <c r="X4" s="9">
        <v>0</v>
      </c>
      <c r="Y4" s="9">
        <v>0</v>
      </c>
      <c r="Z4" s="9">
        <v>0</v>
      </c>
      <c r="AA4" s="9">
        <v>0</v>
      </c>
      <c r="AB4" s="9">
        <f>SUM(F4:AA4)</f>
        <v>23</v>
      </c>
    </row>
    <row r="5" spans="1:28" ht="31" x14ac:dyDescent="0.35">
      <c r="A5" s="7" t="s">
        <v>44</v>
      </c>
      <c r="B5" t="s">
        <v>177</v>
      </c>
      <c r="C5" t="s">
        <v>177</v>
      </c>
      <c r="D5" s="2" t="s">
        <v>69</v>
      </c>
      <c r="E5" s="2" t="s">
        <v>66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75</v>
      </c>
      <c r="X5" s="9">
        <v>0</v>
      </c>
      <c r="Y5" s="9">
        <v>0</v>
      </c>
      <c r="Z5" s="9">
        <v>0</v>
      </c>
      <c r="AA5" s="9">
        <v>0</v>
      </c>
      <c r="AB5" s="9">
        <f>SUM(F5:AA5)</f>
        <v>75</v>
      </c>
    </row>
    <row r="6" spans="1:28" x14ac:dyDescent="0.35">
      <c r="A6" t="s">
        <v>89</v>
      </c>
      <c r="B6" s="11" t="s">
        <v>178</v>
      </c>
      <c r="C6" s="11" t="s">
        <v>58</v>
      </c>
      <c r="D6" s="20"/>
      <c r="E6" s="20"/>
      <c r="F6" s="4">
        <f>SUBTOTAL(109,Sacramento[American Sign Language Total])</f>
        <v>0</v>
      </c>
      <c r="G6" s="4">
        <f>SUBTOTAL(109,Sacramento[Arabic Total])</f>
        <v>0</v>
      </c>
      <c r="H6" s="4">
        <f>SUBTOTAL(109,Sacramento[Armenian Total])</f>
        <v>0</v>
      </c>
      <c r="I6" s="4">
        <f>SUBTOTAL(109,Sacramento[Bengali Total])</f>
        <v>0</v>
      </c>
      <c r="J6" s="4">
        <f>SUBTOTAL(109,Sacramento[Chinese Total])</f>
        <v>0</v>
      </c>
      <c r="K6" s="4">
        <f>SUBTOTAL(109,Sacramento[Farsi (Persian) Total])</f>
        <v>0</v>
      </c>
      <c r="L6" s="4">
        <f>SUBTOTAL(109,Sacramento[French Total])</f>
        <v>0</v>
      </c>
      <c r="M6" s="4">
        <f>SUBTOTAL(109,Sacramento[German Total])</f>
        <v>0</v>
      </c>
      <c r="N6" s="4">
        <f>SUBTOTAL(109,Sacramento[Hebrew Total])</f>
        <v>0</v>
      </c>
      <c r="O6" s="4">
        <f>SUBTOTAL(109,Sacramento[Hindi Total])</f>
        <v>0</v>
      </c>
      <c r="P6" s="4">
        <f>SUBTOTAL(109,Sacramento[Hmong Total])</f>
        <v>0</v>
      </c>
      <c r="Q6" s="4">
        <f>SUBTOTAL(109,Sacramento[Italian Total])</f>
        <v>0</v>
      </c>
      <c r="R6" s="4">
        <f>SUBTOTAL(109,Sacramento[Japanese Total])</f>
        <v>0</v>
      </c>
      <c r="S6" s="4">
        <f>SUBTOTAL(109,Sacramento[Korean Total])</f>
        <v>0</v>
      </c>
      <c r="T6" s="4">
        <f>SUBTOTAL(109,Sacramento[Portuguese Total])</f>
        <v>0</v>
      </c>
      <c r="U6" s="4">
        <f>SUBTOTAL(109,Sacramento[Punjabi Total])</f>
        <v>0</v>
      </c>
      <c r="V6" s="4">
        <f>SUBTOTAL(109,Sacramento[Russian Total])</f>
        <v>0</v>
      </c>
      <c r="W6" s="4">
        <f>SUBTOTAL(109,Sacramento[Spanish Total])</f>
        <v>412</v>
      </c>
      <c r="X6" s="4">
        <f>SUBTOTAL(109,Sacramento[Tagalog (Filipino) Total])</f>
        <v>0</v>
      </c>
      <c r="Y6" s="4">
        <f>SUBTOTAL(109,Sacramento[Urdu Total])</f>
        <v>0</v>
      </c>
      <c r="Z6" s="4">
        <f>SUBTOTAL(109,Sacramento[Vietnamese Total])</f>
        <v>0</v>
      </c>
      <c r="AA6" s="4">
        <f>SUBTOTAL(109,Sacramento[Other Total])</f>
        <v>0</v>
      </c>
      <c r="AB6" s="4">
        <f>SUBTOTAL(109,Sacramento[Total Seals per LEA])</f>
        <v>412</v>
      </c>
    </row>
  </sheetData>
  <conditionalFormatting sqref="A1:E1 A2:B2">
    <cfRule type="duplicateValues" dxfId="13" priority="2"/>
  </conditionalFormatting>
  <conditionalFormatting sqref="C2:E2">
    <cfRule type="duplicateValues" dxfId="12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D4E3-F72A-4E81-9E20-4A784A138586}">
  <dimension ref="A1:AB7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6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5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46.5" x14ac:dyDescent="0.35">
      <c r="A3" s="7" t="s">
        <v>94</v>
      </c>
      <c r="B3" s="2" t="s">
        <v>181</v>
      </c>
      <c r="C3" s="2" t="s">
        <v>181</v>
      </c>
      <c r="D3" s="2" t="s">
        <v>69</v>
      </c>
      <c r="E3" s="2" t="s">
        <v>182</v>
      </c>
      <c r="F3" s="9">
        <v>0</v>
      </c>
      <c r="G3" s="9">
        <v>1</v>
      </c>
      <c r="H3" s="9">
        <v>0</v>
      </c>
      <c r="I3" s="9">
        <v>0</v>
      </c>
      <c r="J3" s="9">
        <v>3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2</v>
      </c>
      <c r="S3" s="9">
        <v>0</v>
      </c>
      <c r="T3" s="9">
        <v>0</v>
      </c>
      <c r="U3" s="9">
        <v>1</v>
      </c>
      <c r="V3" s="9">
        <v>0</v>
      </c>
      <c r="W3" s="9">
        <v>351</v>
      </c>
      <c r="X3" s="9">
        <v>0</v>
      </c>
      <c r="Y3" s="9">
        <v>0</v>
      </c>
      <c r="Z3" s="9">
        <v>0</v>
      </c>
      <c r="AA3" s="9">
        <v>2</v>
      </c>
      <c r="AB3" s="9">
        <f>SUM(F3:AA3)</f>
        <v>360</v>
      </c>
    </row>
    <row r="4" spans="1:28" s="7" customFormat="1" x14ac:dyDescent="0.35">
      <c r="A4" s="7" t="s">
        <v>179</v>
      </c>
      <c r="B4" s="7" t="s">
        <v>183</v>
      </c>
      <c r="C4" s="2" t="s">
        <v>68</v>
      </c>
      <c r="D4" s="2" t="s">
        <v>77</v>
      </c>
      <c r="E4" s="2" t="s">
        <v>66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164</v>
      </c>
      <c r="X4" s="9">
        <v>0</v>
      </c>
      <c r="Y4" s="9">
        <v>0</v>
      </c>
      <c r="Z4" s="9">
        <v>0</v>
      </c>
      <c r="AA4" s="9">
        <v>0</v>
      </c>
      <c r="AB4" s="9">
        <f>SUM(F4:AA4)</f>
        <v>164</v>
      </c>
    </row>
    <row r="5" spans="1:28" s="7" customFormat="1" ht="31" x14ac:dyDescent="0.35">
      <c r="A5" s="7" t="s">
        <v>45</v>
      </c>
      <c r="B5" s="2" t="s">
        <v>185</v>
      </c>
      <c r="C5" s="2" t="s">
        <v>68</v>
      </c>
      <c r="D5" s="2" t="s">
        <v>69</v>
      </c>
      <c r="E5" s="2" t="s">
        <v>66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121</v>
      </c>
      <c r="X5" s="9">
        <v>0</v>
      </c>
      <c r="Y5" s="9">
        <v>0</v>
      </c>
      <c r="Z5" s="9">
        <v>0</v>
      </c>
      <c r="AA5" s="9">
        <v>0</v>
      </c>
      <c r="AB5" s="9">
        <f>SUM(F5:AA5)</f>
        <v>121</v>
      </c>
    </row>
    <row r="6" spans="1:28" s="7" customFormat="1" ht="124" x14ac:dyDescent="0.35">
      <c r="A6" s="7" t="s">
        <v>180</v>
      </c>
      <c r="B6" s="2" t="s">
        <v>186</v>
      </c>
      <c r="C6" s="7" t="s">
        <v>184</v>
      </c>
      <c r="D6" s="2" t="s">
        <v>187</v>
      </c>
      <c r="E6" s="2" t="s">
        <v>188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424</v>
      </c>
      <c r="X6" s="9">
        <v>0</v>
      </c>
      <c r="Y6" s="9">
        <v>0</v>
      </c>
      <c r="Z6" s="9">
        <v>0</v>
      </c>
      <c r="AA6" s="9">
        <v>0</v>
      </c>
      <c r="AB6" s="9">
        <f>SUM(F6:AA6)</f>
        <v>424</v>
      </c>
    </row>
    <row r="7" spans="1:28" x14ac:dyDescent="0.35">
      <c r="A7" t="s">
        <v>40</v>
      </c>
      <c r="B7" s="11" t="s">
        <v>270</v>
      </c>
      <c r="C7" s="11" t="s">
        <v>58</v>
      </c>
      <c r="D7" s="20"/>
      <c r="E7" s="20"/>
      <c r="F7" s="4">
        <f>SUBTOTAL(109,SanBernardino[American Sign Language Total])</f>
        <v>0</v>
      </c>
      <c r="G7" s="4">
        <f>SUBTOTAL(109,SanBernardino[Arabic Total])</f>
        <v>1</v>
      </c>
      <c r="H7" s="4">
        <f>SUBTOTAL(109,SanBernardino[Armenian Total])</f>
        <v>0</v>
      </c>
      <c r="I7" s="4">
        <f>SUBTOTAL(109,SanBernardino[Bengali Total])</f>
        <v>0</v>
      </c>
      <c r="J7" s="4">
        <f>SUBTOTAL(109,SanBernardino[Chinese Total])</f>
        <v>3</v>
      </c>
      <c r="K7" s="4">
        <f>SUBTOTAL(109,SanBernardino[Farsi (Persian) Total])</f>
        <v>0</v>
      </c>
      <c r="L7" s="4">
        <f>SUBTOTAL(109,SanBernardino[French Total])</f>
        <v>0</v>
      </c>
      <c r="M7" s="4">
        <f>SUBTOTAL(109,SanBernardino[German Total])</f>
        <v>0</v>
      </c>
      <c r="N7" s="4">
        <f>SUBTOTAL(109,SanBernardino[Hebrew Total])</f>
        <v>0</v>
      </c>
      <c r="O7" s="4">
        <f>SUBTOTAL(109,SanBernardino[Hindi Total])</f>
        <v>0</v>
      </c>
      <c r="P7" s="4">
        <f>SUBTOTAL(109,SanBernardino[Hmong Total])</f>
        <v>0</v>
      </c>
      <c r="Q7" s="4">
        <f>SUBTOTAL(109,SanBernardino[Italian Total])</f>
        <v>0</v>
      </c>
      <c r="R7" s="4">
        <f>SUBTOTAL(109,SanBernardino[Japanese Total])</f>
        <v>2</v>
      </c>
      <c r="S7" s="4">
        <f>SUBTOTAL(109,SanBernardino[Korean Total])</f>
        <v>0</v>
      </c>
      <c r="T7" s="4">
        <f>SUBTOTAL(109,SanBernardino[Portuguese Total])</f>
        <v>0</v>
      </c>
      <c r="U7" s="4">
        <f>SUBTOTAL(109,SanBernardino[Punjabi Total])</f>
        <v>1</v>
      </c>
      <c r="V7" s="4">
        <f>SUBTOTAL(109,SanBernardino[Russian Total])</f>
        <v>0</v>
      </c>
      <c r="W7" s="4">
        <f>SUBTOTAL(109,SanBernardino[Spanish Total])</f>
        <v>1060</v>
      </c>
      <c r="X7" s="4">
        <f>SUBTOTAL(109,SanBernardino[Tagalog (Filipino) Total])</f>
        <v>0</v>
      </c>
      <c r="Y7" s="4">
        <f>SUBTOTAL(109,SanBernardino[Urdu Total])</f>
        <v>0</v>
      </c>
      <c r="Z7" s="4">
        <f>SUBTOTAL(109,SanBernardino[Vietnamese Total])</f>
        <v>0</v>
      </c>
      <c r="AA7" s="4">
        <f>SUBTOTAL(109,SanBernardino[Other Total])</f>
        <v>2</v>
      </c>
      <c r="AB7" s="4">
        <f>SUBTOTAL(109,SanBernardino[Total Seals per LEA])</f>
        <v>1069</v>
      </c>
    </row>
  </sheetData>
  <conditionalFormatting sqref="A1:E1 A2:B2">
    <cfRule type="duplicateValues" dxfId="11" priority="2"/>
  </conditionalFormatting>
  <conditionalFormatting sqref="C2:E2">
    <cfRule type="duplicateValues" dxfId="10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0ACF-8D33-47A9-B3AF-15310FBAC714}">
  <dimension ref="A1:AB16"/>
  <sheetViews>
    <sheetView zoomScaleNormal="100" workbookViewId="0">
      <pane xSplit="1" ySplit="2" topLeftCell="B11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3.69140625" bestFit="1" customWidth="1"/>
    <col min="2" max="2" width="41.07421875" bestFit="1" customWidth="1"/>
    <col min="3" max="5" width="41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7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ht="62" x14ac:dyDescent="0.35">
      <c r="A3" s="2" t="s">
        <v>189</v>
      </c>
      <c r="B3" s="2" t="s">
        <v>190</v>
      </c>
      <c r="C3" s="6" t="s">
        <v>191</v>
      </c>
      <c r="D3" s="2" t="s">
        <v>69</v>
      </c>
      <c r="E3" s="2" t="s">
        <v>66</v>
      </c>
      <c r="F3" s="14">
        <v>0</v>
      </c>
      <c r="G3" s="14">
        <v>0</v>
      </c>
      <c r="H3" s="14">
        <v>0</v>
      </c>
      <c r="I3" s="9">
        <v>0</v>
      </c>
      <c r="J3" s="9">
        <v>0</v>
      </c>
      <c r="K3" s="9">
        <v>0</v>
      </c>
      <c r="L3" s="14">
        <v>0</v>
      </c>
      <c r="M3" s="14">
        <v>0</v>
      </c>
      <c r="N3" s="9">
        <v>0</v>
      </c>
      <c r="O3" s="9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9">
        <v>0</v>
      </c>
      <c r="V3" s="9">
        <v>0</v>
      </c>
      <c r="W3" s="14">
        <v>547</v>
      </c>
      <c r="X3" s="14">
        <v>0</v>
      </c>
      <c r="Y3" s="9">
        <v>0</v>
      </c>
      <c r="Z3" s="14">
        <v>0</v>
      </c>
      <c r="AA3" s="14">
        <v>0</v>
      </c>
      <c r="AB3" s="14">
        <f>SUM(F3:AA3)</f>
        <v>547</v>
      </c>
    </row>
    <row r="4" spans="1:28" ht="46.5" x14ac:dyDescent="0.35">
      <c r="A4" t="s">
        <v>192</v>
      </c>
      <c r="B4" s="6" t="s">
        <v>197</v>
      </c>
      <c r="C4" s="2" t="s">
        <v>68</v>
      </c>
      <c r="D4" s="2" t="s">
        <v>92</v>
      </c>
      <c r="E4" s="2" t="s">
        <v>182</v>
      </c>
      <c r="F4" s="14">
        <v>0</v>
      </c>
      <c r="G4" s="14">
        <v>0</v>
      </c>
      <c r="H4" s="14">
        <v>0</v>
      </c>
      <c r="I4" s="9">
        <v>0</v>
      </c>
      <c r="J4" s="9">
        <v>3</v>
      </c>
      <c r="K4" s="9">
        <v>0</v>
      </c>
      <c r="L4" s="14">
        <v>0</v>
      </c>
      <c r="M4" s="14">
        <v>2</v>
      </c>
      <c r="N4" s="9">
        <v>1</v>
      </c>
      <c r="O4" s="9">
        <v>0</v>
      </c>
      <c r="P4" s="14">
        <v>0</v>
      </c>
      <c r="Q4" s="14">
        <v>2</v>
      </c>
      <c r="R4" s="14">
        <v>1</v>
      </c>
      <c r="S4" s="14">
        <v>4</v>
      </c>
      <c r="T4" s="14">
        <v>0</v>
      </c>
      <c r="U4" s="9">
        <v>0</v>
      </c>
      <c r="V4" s="9">
        <v>0</v>
      </c>
      <c r="W4" s="14">
        <v>1243</v>
      </c>
      <c r="X4" s="14">
        <v>0</v>
      </c>
      <c r="Y4" s="9">
        <v>0</v>
      </c>
      <c r="Z4" s="14">
        <v>0</v>
      </c>
      <c r="AA4" s="14">
        <v>3</v>
      </c>
      <c r="AB4" s="14">
        <f t="shared" ref="AB4:AB13" si="0">SUM(F4:AA4)</f>
        <v>1259</v>
      </c>
    </row>
    <row r="5" spans="1:28" ht="46.5" x14ac:dyDescent="0.35">
      <c r="A5" s="2" t="s">
        <v>193</v>
      </c>
      <c r="B5" s="2" t="s">
        <v>194</v>
      </c>
      <c r="C5" s="2" t="s">
        <v>68</v>
      </c>
      <c r="D5" s="2" t="s">
        <v>77</v>
      </c>
      <c r="E5" s="2" t="s">
        <v>182</v>
      </c>
      <c r="F5" s="14">
        <v>3</v>
      </c>
      <c r="G5" s="14">
        <v>3</v>
      </c>
      <c r="H5" s="14">
        <v>0</v>
      </c>
      <c r="I5" s="9">
        <v>0</v>
      </c>
      <c r="J5" s="9">
        <v>2</v>
      </c>
      <c r="K5" s="9">
        <v>0</v>
      </c>
      <c r="L5" s="14">
        <v>2</v>
      </c>
      <c r="M5" s="14">
        <v>1</v>
      </c>
      <c r="N5" s="9">
        <v>0</v>
      </c>
      <c r="O5" s="9">
        <v>0</v>
      </c>
      <c r="P5" s="14">
        <v>0</v>
      </c>
      <c r="Q5" s="14">
        <v>0</v>
      </c>
      <c r="R5" s="14">
        <v>1</v>
      </c>
      <c r="S5" s="14">
        <v>0</v>
      </c>
      <c r="T5" s="14">
        <v>0</v>
      </c>
      <c r="U5" s="9">
        <v>0</v>
      </c>
      <c r="V5" s="9">
        <v>1</v>
      </c>
      <c r="W5" s="14">
        <v>35</v>
      </c>
      <c r="X5" s="14">
        <v>0</v>
      </c>
      <c r="Y5" s="9">
        <v>0</v>
      </c>
      <c r="Z5" s="14">
        <v>0</v>
      </c>
      <c r="AA5" s="14">
        <v>1</v>
      </c>
      <c r="AB5" s="14">
        <f t="shared" si="0"/>
        <v>49</v>
      </c>
    </row>
    <row r="6" spans="1:28" ht="31" x14ac:dyDescent="0.35">
      <c r="A6" s="6" t="s">
        <v>195</v>
      </c>
      <c r="B6" s="6" t="s">
        <v>196</v>
      </c>
      <c r="C6" s="6" t="s">
        <v>196</v>
      </c>
      <c r="D6" s="2" t="s">
        <v>69</v>
      </c>
      <c r="E6" s="2" t="s">
        <v>66</v>
      </c>
      <c r="F6" s="14">
        <v>0</v>
      </c>
      <c r="G6" s="14">
        <v>0</v>
      </c>
      <c r="H6" s="14">
        <v>0</v>
      </c>
      <c r="I6" s="9">
        <v>0</v>
      </c>
      <c r="J6" s="9">
        <v>0</v>
      </c>
      <c r="K6" s="9">
        <v>0</v>
      </c>
      <c r="L6" s="14">
        <v>0</v>
      </c>
      <c r="M6" s="14">
        <v>0</v>
      </c>
      <c r="N6" s="9">
        <v>0</v>
      </c>
      <c r="O6" s="9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9">
        <v>0</v>
      </c>
      <c r="V6" s="9">
        <v>0</v>
      </c>
      <c r="W6" s="14">
        <v>89</v>
      </c>
      <c r="X6" s="14">
        <v>0</v>
      </c>
      <c r="Y6" s="9">
        <v>0</v>
      </c>
      <c r="Z6" s="14">
        <v>0</v>
      </c>
      <c r="AA6" s="14">
        <v>0</v>
      </c>
      <c r="AB6" s="14">
        <f t="shared" si="0"/>
        <v>89</v>
      </c>
    </row>
    <row r="7" spans="1:28" ht="31" x14ac:dyDescent="0.35">
      <c r="A7" s="2" t="s">
        <v>198</v>
      </c>
      <c r="B7" t="s">
        <v>198</v>
      </c>
      <c r="C7" s="2" t="s">
        <v>68</v>
      </c>
      <c r="D7" s="2" t="s">
        <v>77</v>
      </c>
      <c r="E7" s="2" t="s">
        <v>79</v>
      </c>
      <c r="F7" s="14">
        <v>0</v>
      </c>
      <c r="G7" s="14">
        <v>0</v>
      </c>
      <c r="H7" s="14">
        <v>0</v>
      </c>
      <c r="I7" s="9">
        <v>0</v>
      </c>
      <c r="J7" s="9">
        <v>0</v>
      </c>
      <c r="K7" s="9">
        <v>0</v>
      </c>
      <c r="L7" s="14">
        <v>0</v>
      </c>
      <c r="M7" s="14">
        <v>0</v>
      </c>
      <c r="N7" s="9">
        <v>0</v>
      </c>
      <c r="O7" s="9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9">
        <v>0</v>
      </c>
      <c r="V7" s="9">
        <v>0</v>
      </c>
      <c r="W7" s="14">
        <v>8</v>
      </c>
      <c r="X7" s="14">
        <v>0</v>
      </c>
      <c r="Y7" s="9">
        <v>0</v>
      </c>
      <c r="Z7" s="14">
        <v>0</v>
      </c>
      <c r="AA7" s="14">
        <v>0</v>
      </c>
      <c r="AB7" s="14">
        <f t="shared" si="0"/>
        <v>8</v>
      </c>
    </row>
    <row r="8" spans="1:28" ht="62" x14ac:dyDescent="0.35">
      <c r="A8" s="6" t="s">
        <v>199</v>
      </c>
      <c r="B8" s="6" t="s">
        <v>200</v>
      </c>
      <c r="C8" s="2" t="s">
        <v>201</v>
      </c>
      <c r="D8" s="2" t="s">
        <v>202</v>
      </c>
      <c r="E8" s="2" t="s">
        <v>116</v>
      </c>
      <c r="F8" s="14">
        <v>0</v>
      </c>
      <c r="G8" s="14">
        <v>0</v>
      </c>
      <c r="H8" s="14">
        <v>0</v>
      </c>
      <c r="I8" s="9">
        <v>0</v>
      </c>
      <c r="J8" s="9">
        <v>488</v>
      </c>
      <c r="K8" s="9">
        <v>0</v>
      </c>
      <c r="L8" s="14">
        <v>0</v>
      </c>
      <c r="M8" s="14">
        <v>0</v>
      </c>
      <c r="N8" s="9">
        <v>0</v>
      </c>
      <c r="O8" s="9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9">
        <v>0</v>
      </c>
      <c r="V8" s="9">
        <v>0</v>
      </c>
      <c r="W8" s="14">
        <v>1006</v>
      </c>
      <c r="X8" s="14">
        <v>0</v>
      </c>
      <c r="Y8" s="9">
        <v>0</v>
      </c>
      <c r="Z8" s="14">
        <v>0</v>
      </c>
      <c r="AA8" s="14">
        <v>0</v>
      </c>
      <c r="AB8" s="14">
        <f t="shared" si="0"/>
        <v>1494</v>
      </c>
    </row>
    <row r="9" spans="1:28" ht="46.5" x14ac:dyDescent="0.35">
      <c r="A9" s="6" t="s">
        <v>95</v>
      </c>
      <c r="B9" s="6" t="s">
        <v>95</v>
      </c>
      <c r="C9" s="6" t="s">
        <v>68</v>
      </c>
      <c r="D9" s="6" t="s">
        <v>92</v>
      </c>
      <c r="E9" s="6" t="s">
        <v>182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83</v>
      </c>
      <c r="X9" s="9">
        <v>0</v>
      </c>
      <c r="Y9" s="9">
        <v>0</v>
      </c>
      <c r="Z9" s="9">
        <v>0</v>
      </c>
      <c r="AA9" s="9">
        <v>0</v>
      </c>
      <c r="AB9" s="14">
        <f t="shared" si="0"/>
        <v>83</v>
      </c>
    </row>
    <row r="10" spans="1:28" ht="31" x14ac:dyDescent="0.35">
      <c r="A10" s="7" t="s">
        <v>203</v>
      </c>
      <c r="B10" s="6" t="s">
        <v>204</v>
      </c>
      <c r="C10" s="2"/>
      <c r="D10" s="2" t="s">
        <v>77</v>
      </c>
      <c r="E10" s="2" t="s">
        <v>79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17</v>
      </c>
      <c r="X10" s="9">
        <v>0</v>
      </c>
      <c r="Y10" s="9">
        <v>0</v>
      </c>
      <c r="Z10" s="9">
        <v>0</v>
      </c>
      <c r="AA10" s="9">
        <v>0</v>
      </c>
      <c r="AB10" s="14">
        <f t="shared" si="0"/>
        <v>17</v>
      </c>
    </row>
    <row r="11" spans="1:28" ht="201.5" x14ac:dyDescent="0.35">
      <c r="A11" s="7" t="s">
        <v>14</v>
      </c>
      <c r="B11" s="2" t="s">
        <v>205</v>
      </c>
      <c r="C11" s="2" t="s">
        <v>97</v>
      </c>
      <c r="D11" s="2" t="s">
        <v>206</v>
      </c>
      <c r="E11" s="2" t="s">
        <v>250</v>
      </c>
      <c r="F11" s="9">
        <v>0</v>
      </c>
      <c r="G11" s="9">
        <v>0</v>
      </c>
      <c r="H11" s="9">
        <v>0</v>
      </c>
      <c r="I11" s="9">
        <v>0</v>
      </c>
      <c r="J11" s="9">
        <v>445</v>
      </c>
      <c r="K11" s="9">
        <v>0</v>
      </c>
      <c r="L11" s="9">
        <v>355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5822</v>
      </c>
      <c r="X11" s="9">
        <v>0</v>
      </c>
      <c r="Y11" s="9">
        <v>0</v>
      </c>
      <c r="Z11" s="9">
        <v>0</v>
      </c>
      <c r="AA11" s="9">
        <v>0</v>
      </c>
      <c r="AB11" s="14">
        <f t="shared" si="0"/>
        <v>6622</v>
      </c>
    </row>
    <row r="12" spans="1:28" ht="31" x14ac:dyDescent="0.35">
      <c r="A12" s="7" t="s">
        <v>207</v>
      </c>
      <c r="B12" t="s">
        <v>208</v>
      </c>
      <c r="C12" t="s">
        <v>208</v>
      </c>
      <c r="D12" s="2" t="s">
        <v>69</v>
      </c>
      <c r="E12" s="2" t="s">
        <v>66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236</v>
      </c>
      <c r="X12" s="9">
        <v>0</v>
      </c>
      <c r="Y12" s="9">
        <v>0</v>
      </c>
      <c r="Z12" s="9">
        <v>0</v>
      </c>
      <c r="AA12" s="9">
        <v>0</v>
      </c>
      <c r="AB12" s="14">
        <f>SUM(F12:AA12)</f>
        <v>236</v>
      </c>
    </row>
    <row r="13" spans="1:28" ht="31" x14ac:dyDescent="0.35">
      <c r="A13" s="2" t="s">
        <v>96</v>
      </c>
      <c r="B13" s="6" t="s">
        <v>98</v>
      </c>
      <c r="C13" s="6" t="s">
        <v>98</v>
      </c>
      <c r="D13" s="6" t="s">
        <v>69</v>
      </c>
      <c r="E13" s="2" t="s">
        <v>93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135</v>
      </c>
      <c r="X13" s="9">
        <v>0</v>
      </c>
      <c r="Y13" s="9">
        <v>0</v>
      </c>
      <c r="Z13" s="9">
        <v>0</v>
      </c>
      <c r="AA13" s="9">
        <v>0</v>
      </c>
      <c r="AB13" s="14">
        <f t="shared" si="0"/>
        <v>135</v>
      </c>
    </row>
    <row r="14" spans="1:28" ht="46.5" x14ac:dyDescent="0.35">
      <c r="A14" s="2" t="s">
        <v>209</v>
      </c>
      <c r="B14" s="6" t="s">
        <v>210</v>
      </c>
      <c r="C14" s="2" t="s">
        <v>68</v>
      </c>
      <c r="D14" s="2" t="s">
        <v>69</v>
      </c>
      <c r="E14" s="2" t="s">
        <v>66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961</v>
      </c>
      <c r="X14" s="9">
        <v>0</v>
      </c>
      <c r="Y14" s="9">
        <v>0</v>
      </c>
      <c r="Z14" s="9">
        <v>0</v>
      </c>
      <c r="AA14" s="9">
        <v>0</v>
      </c>
      <c r="AB14" s="14">
        <f>SUM(F14:AA14)</f>
        <v>961</v>
      </c>
    </row>
    <row r="15" spans="1:28" ht="31" x14ac:dyDescent="0.35">
      <c r="A15" s="7" t="s">
        <v>9</v>
      </c>
      <c r="B15" s="2" t="s">
        <v>211</v>
      </c>
      <c r="C15" s="2" t="s">
        <v>211</v>
      </c>
      <c r="D15" s="2" t="s">
        <v>99</v>
      </c>
      <c r="E15" s="2" t="s">
        <v>66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544</v>
      </c>
      <c r="X15" s="9">
        <v>0</v>
      </c>
      <c r="Y15" s="9">
        <v>0</v>
      </c>
      <c r="Z15" s="9">
        <v>0</v>
      </c>
      <c r="AA15" s="9">
        <v>0</v>
      </c>
      <c r="AB15" s="14">
        <f>SUM(F15:AA15)</f>
        <v>544</v>
      </c>
    </row>
    <row r="16" spans="1:28" x14ac:dyDescent="0.35">
      <c r="A16" t="s">
        <v>220</v>
      </c>
      <c r="B16" s="11" t="s">
        <v>271</v>
      </c>
      <c r="C16" s="11" t="s">
        <v>221</v>
      </c>
      <c r="D16" s="22"/>
      <c r="E16" s="20"/>
      <c r="F16" s="4">
        <f>SUBTOTAL(109,SanDiego[American Sign Language Total])</f>
        <v>3</v>
      </c>
      <c r="G16" s="4">
        <f>SUBTOTAL(109,SanDiego[Arabic Total])</f>
        <v>3</v>
      </c>
      <c r="H16" s="4">
        <f>SUBTOTAL(109,SanDiego[Armenian Total])</f>
        <v>0</v>
      </c>
      <c r="I16" s="4">
        <f>SUBTOTAL(109,SanDiego[Bengali Total])</f>
        <v>0</v>
      </c>
      <c r="J16" s="4">
        <f>SUBTOTAL(109,SanDiego[Chinese Total])</f>
        <v>938</v>
      </c>
      <c r="K16" s="4">
        <f>SUBTOTAL(109,SanDiego[Farsi (Persian) Total])</f>
        <v>0</v>
      </c>
      <c r="L16" s="4">
        <f>SUBTOTAL(109,SanDiego[French Total])</f>
        <v>357</v>
      </c>
      <c r="M16" s="4">
        <f>SUBTOTAL(109,SanDiego[German Total])</f>
        <v>3</v>
      </c>
      <c r="N16" s="4">
        <f>SUBTOTAL(109,SanDiego[Hebrew Total])</f>
        <v>1</v>
      </c>
      <c r="O16" s="4">
        <f>SUBTOTAL(109,SanDiego[Hindi Total])</f>
        <v>0</v>
      </c>
      <c r="P16" s="4">
        <f>SUBTOTAL(109,SanDiego[Hmong Total])</f>
        <v>0</v>
      </c>
      <c r="Q16" s="4">
        <f>SUBTOTAL(109,SanDiego[Italian Total])</f>
        <v>2</v>
      </c>
      <c r="R16" s="4">
        <f>SUBTOTAL(109,SanDiego[Japanese Total])</f>
        <v>2</v>
      </c>
      <c r="S16" s="4">
        <f>SUBTOTAL(109,SanDiego[Korean Total])</f>
        <v>4</v>
      </c>
      <c r="T16" s="4">
        <f>SUBTOTAL(109,SanDiego[Portuguese Total])</f>
        <v>0</v>
      </c>
      <c r="U16" s="4">
        <f>SUBTOTAL(109,SanDiego[Punjabi Total])</f>
        <v>0</v>
      </c>
      <c r="V16" s="4">
        <f>SUBTOTAL(109,SanDiego[Russian Total])</f>
        <v>1</v>
      </c>
      <c r="W16" s="4">
        <f>SUBTOTAL(109,SanDiego[Spanish Total])</f>
        <v>10726</v>
      </c>
      <c r="X16" s="4">
        <f>SUBTOTAL(109,SanDiego[Tagalog (Filipino) Total])</f>
        <v>0</v>
      </c>
      <c r="Y16" s="4">
        <f>SUBTOTAL(109,SanDiego[Urdu Total])</f>
        <v>0</v>
      </c>
      <c r="Z16" s="4">
        <f>SUBTOTAL(109,SanDiego[Vietnamese Total])</f>
        <v>0</v>
      </c>
      <c r="AA16" s="4">
        <f>SUBTOTAL(109,SanDiego[Other Total])</f>
        <v>4</v>
      </c>
      <c r="AB16" s="4">
        <f>SUBTOTAL(109,SanDiego[Total Seals per LEA])</f>
        <v>12044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BFB2-C1E8-4F74-AEC1-DC0A74D9E366}">
  <dimension ref="A1:AB6"/>
  <sheetViews>
    <sheetView workbookViewId="0"/>
  </sheetViews>
  <sheetFormatPr defaultRowHeight="15.5" x14ac:dyDescent="0.35"/>
  <cols>
    <col min="1" max="1" width="26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212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31" x14ac:dyDescent="0.35">
      <c r="A3" s="7" t="s">
        <v>213</v>
      </c>
      <c r="B3" s="7" t="s">
        <v>214</v>
      </c>
      <c r="C3" s="7" t="s">
        <v>214</v>
      </c>
      <c r="D3" s="2" t="s">
        <v>69</v>
      </c>
      <c r="E3" s="2" t="s">
        <v>215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135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135</v>
      </c>
    </row>
    <row r="4" spans="1:28" s="7" customFormat="1" ht="62" x14ac:dyDescent="0.35">
      <c r="A4" s="7" t="s">
        <v>216</v>
      </c>
      <c r="B4" s="7" t="s">
        <v>217</v>
      </c>
      <c r="C4" s="2" t="s">
        <v>68</v>
      </c>
      <c r="D4" s="2" t="s">
        <v>69</v>
      </c>
      <c r="E4" s="2" t="s">
        <v>116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215</v>
      </c>
      <c r="X4" s="9">
        <v>0</v>
      </c>
      <c r="Y4" s="9">
        <v>0</v>
      </c>
      <c r="Z4" s="9">
        <v>0</v>
      </c>
      <c r="AA4" s="9">
        <v>0</v>
      </c>
      <c r="AB4" s="9">
        <f>SUM(F4:AA4)</f>
        <v>215</v>
      </c>
    </row>
    <row r="5" spans="1:28" s="7" customFormat="1" ht="31" x14ac:dyDescent="0.35">
      <c r="A5" s="7" t="s">
        <v>218</v>
      </c>
      <c r="B5" s="2" t="s">
        <v>219</v>
      </c>
      <c r="C5" s="2" t="s">
        <v>68</v>
      </c>
      <c r="D5" s="2" t="s">
        <v>69</v>
      </c>
      <c r="E5" s="2" t="s">
        <v>79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6</v>
      </c>
      <c r="V5" s="9">
        <v>0</v>
      </c>
      <c r="W5" s="9">
        <v>14</v>
      </c>
      <c r="X5" s="9">
        <v>0</v>
      </c>
      <c r="Y5" s="9">
        <v>0</v>
      </c>
      <c r="Z5" s="9">
        <v>1</v>
      </c>
      <c r="AA5" s="9">
        <v>0</v>
      </c>
      <c r="AB5" s="9">
        <f>SUM(F5:AA5)</f>
        <v>21</v>
      </c>
    </row>
    <row r="6" spans="1:28" x14ac:dyDescent="0.35">
      <c r="A6" t="s">
        <v>89</v>
      </c>
      <c r="B6" s="11" t="s">
        <v>178</v>
      </c>
      <c r="C6" s="11" t="s">
        <v>81</v>
      </c>
      <c r="D6" s="20"/>
      <c r="E6" s="20"/>
      <c r="F6" s="4">
        <f>SUBTOTAL(109,SanBernardino9[American Sign Language Total])</f>
        <v>0</v>
      </c>
      <c r="G6" s="4">
        <f>SUBTOTAL(109,SanBernardino9[Arabic Total])</f>
        <v>0</v>
      </c>
      <c r="H6" s="4">
        <f>SUBTOTAL(109,SanBernardino9[Armenian Total])</f>
        <v>0</v>
      </c>
      <c r="I6" s="4">
        <f>SUBTOTAL(109,SanBernardino9[Bengali Total])</f>
        <v>0</v>
      </c>
      <c r="J6" s="4">
        <f>SUBTOTAL(109,SanBernardino9[Chinese Total])</f>
        <v>0</v>
      </c>
      <c r="K6" s="4">
        <f>SUBTOTAL(109,SanBernardino9[Farsi (Persian) Total])</f>
        <v>0</v>
      </c>
      <c r="L6" s="4">
        <f>SUBTOTAL(109,SanBernardino9[French Total])</f>
        <v>0</v>
      </c>
      <c r="M6" s="4">
        <f>SUBTOTAL(109,SanBernardino9[German Total])</f>
        <v>0</v>
      </c>
      <c r="N6" s="4">
        <f>SUBTOTAL(109,SanBernardino9[Hebrew Total])</f>
        <v>0</v>
      </c>
      <c r="O6" s="4">
        <f>SUBTOTAL(109,SanBernardino9[Hindi Total])</f>
        <v>0</v>
      </c>
      <c r="P6" s="4">
        <f>SUBTOTAL(109,SanBernardino9[Hmong Total])</f>
        <v>0</v>
      </c>
      <c r="Q6" s="4">
        <f>SUBTOTAL(109,SanBernardino9[Italian Total])</f>
        <v>0</v>
      </c>
      <c r="R6" s="4">
        <f>SUBTOTAL(109,SanBernardino9[Japanese Total])</f>
        <v>0</v>
      </c>
      <c r="S6" s="4">
        <f>SUBTOTAL(109,SanBernardino9[Korean Total])</f>
        <v>0</v>
      </c>
      <c r="T6" s="4">
        <f>SUBTOTAL(109,SanBernardino9[Portuguese Total])</f>
        <v>0</v>
      </c>
      <c r="U6" s="4">
        <f>SUBTOTAL(109,SanBernardino9[Punjabi Total])</f>
        <v>6</v>
      </c>
      <c r="V6" s="4">
        <f>SUBTOTAL(109,SanBernardino9[Russian Total])</f>
        <v>0</v>
      </c>
      <c r="W6" s="4">
        <f>SUBTOTAL(109,SanBernardino9[Spanish Total])</f>
        <v>364</v>
      </c>
      <c r="X6" s="4">
        <f>SUBTOTAL(109,SanBernardino9[Tagalog (Filipino) Total])</f>
        <v>0</v>
      </c>
      <c r="Y6" s="4">
        <f>SUBTOTAL(109,SanBernardino9[Urdu Total])</f>
        <v>0</v>
      </c>
      <c r="Z6" s="4">
        <f>SUBTOTAL(109,SanBernardino9[Vietnamese Total])</f>
        <v>1</v>
      </c>
      <c r="AA6" s="4">
        <f>SUBTOTAL(109,SanBernardino9[Other Total])</f>
        <v>0</v>
      </c>
      <c r="AB6" s="4">
        <f>SUBTOTAL(109,SanBernardino9[Total Seals per LEA])</f>
        <v>371</v>
      </c>
    </row>
  </sheetData>
  <conditionalFormatting sqref="A1:E1 A2:B2">
    <cfRule type="duplicateValues" dxfId="9" priority="2"/>
  </conditionalFormatting>
  <conditionalFormatting sqref="C2:E2">
    <cfRule type="duplicateValues" dxfId="8" priority="1"/>
  </conditionalFormatting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70B7-59EC-4845-9250-67BCC3F181FE}">
  <dimension ref="A1:AB6"/>
  <sheetViews>
    <sheetView workbookViewId="0"/>
  </sheetViews>
  <sheetFormatPr defaultRowHeight="15.5" x14ac:dyDescent="0.35"/>
  <cols>
    <col min="1" max="1" width="26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222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31" x14ac:dyDescent="0.35">
      <c r="A3" s="2" t="s">
        <v>223</v>
      </c>
      <c r="B3" s="7" t="s">
        <v>224</v>
      </c>
      <c r="C3" s="7" t="s">
        <v>224</v>
      </c>
      <c r="D3" s="2" t="s">
        <v>69</v>
      </c>
      <c r="E3" s="2" t="s">
        <v>79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9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9</v>
      </c>
    </row>
    <row r="4" spans="1:28" s="7" customFormat="1" ht="46.5" x14ac:dyDescent="0.35">
      <c r="A4" s="7" t="s">
        <v>225</v>
      </c>
      <c r="B4" s="7" t="s">
        <v>225</v>
      </c>
      <c r="C4" s="2" t="s">
        <v>68</v>
      </c>
      <c r="D4" s="2" t="s">
        <v>226</v>
      </c>
      <c r="E4" s="2" t="s">
        <v>228</v>
      </c>
      <c r="F4" s="9">
        <v>0</v>
      </c>
      <c r="G4" s="9">
        <v>0</v>
      </c>
      <c r="H4" s="9">
        <v>0</v>
      </c>
      <c r="I4" s="9">
        <v>0</v>
      </c>
      <c r="J4" s="9">
        <v>1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f>SUM(F4:AA4)</f>
        <v>1</v>
      </c>
    </row>
    <row r="5" spans="1:28" s="7" customFormat="1" ht="50.5" customHeight="1" x14ac:dyDescent="0.35">
      <c r="A5" s="2" t="s">
        <v>229</v>
      </c>
      <c r="B5" s="2" t="s">
        <v>230</v>
      </c>
      <c r="C5" s="2" t="s">
        <v>68</v>
      </c>
      <c r="D5" s="2" t="s">
        <v>77</v>
      </c>
      <c r="E5" s="2" t="s">
        <v>87</v>
      </c>
      <c r="F5" s="9">
        <v>0</v>
      </c>
      <c r="G5" s="9">
        <v>0</v>
      </c>
      <c r="H5" s="9">
        <v>0</v>
      </c>
      <c r="I5" s="9">
        <v>0</v>
      </c>
      <c r="J5" s="9">
        <v>7</v>
      </c>
      <c r="K5" s="9">
        <v>0</v>
      </c>
      <c r="L5" s="9">
        <v>0</v>
      </c>
      <c r="M5" s="9">
        <v>0</v>
      </c>
      <c r="N5" s="9">
        <v>0</v>
      </c>
      <c r="O5" s="9">
        <v>2</v>
      </c>
      <c r="P5" s="9">
        <v>0</v>
      </c>
      <c r="Q5" s="9">
        <v>0</v>
      </c>
      <c r="R5" s="9">
        <v>3</v>
      </c>
      <c r="S5" s="9">
        <v>0</v>
      </c>
      <c r="T5" s="9">
        <v>0</v>
      </c>
      <c r="U5" s="9">
        <v>0</v>
      </c>
      <c r="V5" s="9">
        <v>0</v>
      </c>
      <c r="W5" s="9">
        <v>14</v>
      </c>
      <c r="X5" s="9">
        <v>5</v>
      </c>
      <c r="Y5" s="9">
        <v>0</v>
      </c>
      <c r="Z5" s="9">
        <v>1</v>
      </c>
      <c r="AA5" s="9">
        <v>0</v>
      </c>
      <c r="AB5" s="9">
        <f>SUM(F5:AA5)</f>
        <v>32</v>
      </c>
    </row>
    <row r="6" spans="1:28" x14ac:dyDescent="0.35">
      <c r="A6" t="s">
        <v>89</v>
      </c>
      <c r="B6" s="11" t="s">
        <v>164</v>
      </c>
      <c r="C6" s="11" t="s">
        <v>81</v>
      </c>
      <c r="D6" s="20"/>
      <c r="E6" s="20"/>
      <c r="F6" s="4">
        <f>SUBTOTAL(109,SanBernardino910[American Sign Language Total])</f>
        <v>0</v>
      </c>
      <c r="G6" s="4">
        <f>SUBTOTAL(109,SanBernardino910[Arabic Total])</f>
        <v>0</v>
      </c>
      <c r="H6" s="4">
        <f>SUBTOTAL(109,SanBernardino910[Armenian Total])</f>
        <v>0</v>
      </c>
      <c r="I6" s="4">
        <f>SUBTOTAL(109,SanBernardino910[Bengali Total])</f>
        <v>0</v>
      </c>
      <c r="J6" s="4">
        <f>SUBTOTAL(109,SanBernardino910[Chinese Total])</f>
        <v>8</v>
      </c>
      <c r="K6" s="4">
        <f>SUBTOTAL(109,SanBernardino910[Farsi (Persian) Total])</f>
        <v>0</v>
      </c>
      <c r="L6" s="4">
        <f>SUBTOTAL(109,SanBernardino910[French Total])</f>
        <v>0</v>
      </c>
      <c r="M6" s="4">
        <f>SUBTOTAL(109,SanBernardino910[German Total])</f>
        <v>0</v>
      </c>
      <c r="N6" s="4">
        <f>SUBTOTAL(109,SanBernardino910[Hebrew Total])</f>
        <v>0</v>
      </c>
      <c r="O6" s="4">
        <f>SUBTOTAL(109,SanBernardino910[Hindi Total])</f>
        <v>2</v>
      </c>
      <c r="P6" s="4">
        <f>SUBTOTAL(109,SanBernardino910[Hmong Total])</f>
        <v>0</v>
      </c>
      <c r="Q6" s="4">
        <f>SUBTOTAL(109,SanBernardino910[Italian Total])</f>
        <v>0</v>
      </c>
      <c r="R6" s="4">
        <f>SUBTOTAL(109,SanBernardino910[Japanese Total])</f>
        <v>3</v>
      </c>
      <c r="S6" s="4">
        <f>SUBTOTAL(109,SanBernardino910[Korean Total])</f>
        <v>0</v>
      </c>
      <c r="T6" s="4">
        <f>SUBTOTAL(109,SanBernardino910[Portuguese Total])</f>
        <v>0</v>
      </c>
      <c r="U6" s="4">
        <f>SUBTOTAL(109,SanBernardino910[Punjabi Total])</f>
        <v>0</v>
      </c>
      <c r="V6" s="4">
        <f>SUBTOTAL(109,SanBernardino910[Russian Total])</f>
        <v>0</v>
      </c>
      <c r="W6" s="4">
        <f>SUBTOTAL(109,SanBernardino910[Spanish Total])</f>
        <v>23</v>
      </c>
      <c r="X6" s="4">
        <f>SUBTOTAL(109,SanBernardino910[Tagalog (Filipino) Total])</f>
        <v>5</v>
      </c>
      <c r="Y6" s="4">
        <f>SUBTOTAL(109,SanBernardino910[Urdu Total])</f>
        <v>0</v>
      </c>
      <c r="Z6" s="4">
        <f>SUBTOTAL(109,SanBernardino910[Vietnamese Total])</f>
        <v>1</v>
      </c>
      <c r="AA6" s="4">
        <f>SUBTOTAL(109,SanBernardino910[Other Total])</f>
        <v>0</v>
      </c>
      <c r="AB6" s="4">
        <f>SUBTOTAL(109,SanBernardino910[Total Seals per LEA])</f>
        <v>42</v>
      </c>
    </row>
  </sheetData>
  <conditionalFormatting sqref="A1:E1 A2:B2">
    <cfRule type="duplicateValues" dxfId="7" priority="2"/>
  </conditionalFormatting>
  <conditionalFormatting sqref="C2:E2">
    <cfRule type="duplicateValues" dxfId="6" priority="1"/>
  </conditionalFormatting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8F70-060C-4B36-AD8B-7BCE33788996}">
  <dimension ref="A1:AB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5.23046875" bestFit="1" customWidth="1"/>
    <col min="2" max="2" width="35.07421875" bestFit="1" customWidth="1"/>
    <col min="3" max="3" width="35.07421875" customWidth="1"/>
    <col min="4" max="4" width="44.3046875" customWidth="1"/>
    <col min="5" max="5" width="47.3046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11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46.5" x14ac:dyDescent="0.35">
      <c r="A3" s="2" t="s">
        <v>231</v>
      </c>
      <c r="B3" s="2" t="s">
        <v>232</v>
      </c>
      <c r="C3" s="7" t="s">
        <v>68</v>
      </c>
      <c r="D3" s="2" t="s">
        <v>140</v>
      </c>
      <c r="E3" s="2" t="s">
        <v>116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308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308</v>
      </c>
    </row>
    <row r="4" spans="1:28" x14ac:dyDescent="0.35">
      <c r="A4" t="s">
        <v>38</v>
      </c>
      <c r="B4" s="11" t="s">
        <v>100</v>
      </c>
      <c r="C4" s="11" t="s">
        <v>67</v>
      </c>
      <c r="D4" s="20"/>
      <c r="E4" s="20"/>
      <c r="F4" s="4">
        <f>SUBTOTAL(109,SantaBarbara[American Sign Language Total])</f>
        <v>0</v>
      </c>
      <c r="G4" s="4">
        <f>SUBTOTAL(109,SantaBarbara[Arabic Total])</f>
        <v>0</v>
      </c>
      <c r="H4" s="4">
        <f>SUBTOTAL(109,SantaBarbara[Armenian Total])</f>
        <v>0</v>
      </c>
      <c r="I4" s="4">
        <f>SUBTOTAL(109,SantaBarbara[Bengali Total])</f>
        <v>0</v>
      </c>
      <c r="J4" s="4">
        <f>SUBTOTAL(109,SantaBarbara[Chinese Total])</f>
        <v>0</v>
      </c>
      <c r="K4" s="4">
        <f>SUBTOTAL(109,SantaBarbara[Farsi (Persian) Total])</f>
        <v>0</v>
      </c>
      <c r="L4" s="4">
        <f>SUBTOTAL(109,SantaBarbara[French Total])</f>
        <v>0</v>
      </c>
      <c r="M4" s="4">
        <f>SUBTOTAL(109,SantaBarbara[German Total])</f>
        <v>0</v>
      </c>
      <c r="N4" s="4">
        <f>SUBTOTAL(109,SantaBarbara[Hebrew Total])</f>
        <v>0</v>
      </c>
      <c r="O4" s="4">
        <f>SUBTOTAL(109,SantaBarbara[Hindi Total])</f>
        <v>0</v>
      </c>
      <c r="P4" s="4">
        <f>SUBTOTAL(109,SantaBarbara[Hmong Total])</f>
        <v>0</v>
      </c>
      <c r="Q4" s="4">
        <f>SUBTOTAL(109,SantaBarbara[Italian Total])</f>
        <v>0</v>
      </c>
      <c r="R4" s="4">
        <f>SUBTOTAL(109,SantaBarbara[Japanese Total])</f>
        <v>0</v>
      </c>
      <c r="S4" s="4">
        <f>SUBTOTAL(109,SantaBarbara[Korean Total])</f>
        <v>0</v>
      </c>
      <c r="T4" s="4">
        <f>SUBTOTAL(109,SantaBarbara[Portuguese Total])</f>
        <v>0</v>
      </c>
      <c r="U4" s="4">
        <f>SUBTOTAL(109,SantaBarbara[Punjabi Total])</f>
        <v>0</v>
      </c>
      <c r="V4" s="4">
        <f>SUBTOTAL(109,SantaBarbara[Russian Total])</f>
        <v>0</v>
      </c>
      <c r="W4" s="4">
        <f>SUBTOTAL(109,SantaBarbara[Spanish Total])</f>
        <v>308</v>
      </c>
      <c r="X4" s="4">
        <f>SUBTOTAL(109,SantaBarbara[Tagalog (Filipino) Total])</f>
        <v>0</v>
      </c>
      <c r="Y4" s="4">
        <f>SUBTOTAL(109,SantaBarbara[Urdu Total])</f>
        <v>0</v>
      </c>
      <c r="Z4" s="4">
        <f>SUBTOTAL(109,SantaBarbara[Vietnamese Total])</f>
        <v>0</v>
      </c>
      <c r="AA4" s="4">
        <f>SUBTOTAL(109,SantaBarbara[Other Total])</f>
        <v>0</v>
      </c>
      <c r="AB4" s="4">
        <f>SUBTOTAL(109,SantaBarbara[Total Seals per LEA])</f>
        <v>308</v>
      </c>
    </row>
  </sheetData>
  <conditionalFormatting sqref="A1:E1 A2:B2">
    <cfRule type="duplicateValues" dxfId="5" priority="2"/>
  </conditionalFormatting>
  <conditionalFormatting sqref="C2:E2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1009-5814-4DFC-B065-D0C830E2F1DE}">
  <dimension ref="A1:AB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4.765625" style="6" bestFit="1" customWidth="1"/>
    <col min="2" max="2" width="37.53515625" bestFit="1" customWidth="1"/>
    <col min="3" max="5" width="37.5351562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10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46.5" x14ac:dyDescent="0.35">
      <c r="A3" s="2" t="s">
        <v>236</v>
      </c>
      <c r="B3" s="2" t="s">
        <v>242</v>
      </c>
      <c r="C3" s="2" t="s">
        <v>242</v>
      </c>
      <c r="D3" s="2" t="s">
        <v>69</v>
      </c>
      <c r="E3" s="2" t="s">
        <v>115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964</v>
      </c>
      <c r="X3" s="2">
        <v>0</v>
      </c>
      <c r="Y3" s="2">
        <v>0</v>
      </c>
      <c r="Z3" s="2">
        <v>207</v>
      </c>
      <c r="AA3" s="2">
        <v>0</v>
      </c>
      <c r="AB3" s="2">
        <f>SUM(F3:AA3)</f>
        <v>1171</v>
      </c>
    </row>
    <row r="4" spans="1:28" s="7" customFormat="1" ht="31" x14ac:dyDescent="0.35">
      <c r="A4" s="2" t="s">
        <v>237</v>
      </c>
      <c r="B4" s="2" t="s">
        <v>243</v>
      </c>
      <c r="C4" s="7" t="s">
        <v>244</v>
      </c>
      <c r="D4" s="2" t="s">
        <v>69</v>
      </c>
      <c r="E4" s="2" t="s">
        <v>79</v>
      </c>
      <c r="F4" s="2">
        <v>0</v>
      </c>
      <c r="G4" s="2">
        <v>0</v>
      </c>
      <c r="H4" s="2">
        <v>0</v>
      </c>
      <c r="I4" s="2">
        <v>0</v>
      </c>
      <c r="J4" s="2">
        <v>104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f>SUM(F4:AA4)</f>
        <v>104</v>
      </c>
    </row>
    <row r="5" spans="1:28" s="7" customFormat="1" ht="31" x14ac:dyDescent="0.35">
      <c r="A5" s="2" t="s">
        <v>238</v>
      </c>
      <c r="B5" s="7" t="s">
        <v>245</v>
      </c>
      <c r="C5" s="7" t="s">
        <v>245</v>
      </c>
      <c r="D5" s="2" t="s">
        <v>69</v>
      </c>
      <c r="E5" s="2" t="s">
        <v>66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80</v>
      </c>
      <c r="X5" s="2">
        <v>0</v>
      </c>
      <c r="Y5" s="2">
        <v>0</v>
      </c>
      <c r="Z5" s="2">
        <v>0</v>
      </c>
      <c r="AA5" s="2">
        <v>0</v>
      </c>
      <c r="AB5" s="2">
        <f>SUM(F5:AA5)</f>
        <v>80</v>
      </c>
    </row>
    <row r="6" spans="1:28" s="7" customFormat="1" ht="46.5" x14ac:dyDescent="0.35">
      <c r="A6" s="2" t="s">
        <v>239</v>
      </c>
      <c r="B6" s="2" t="s">
        <v>246</v>
      </c>
      <c r="C6" s="2" t="s">
        <v>246</v>
      </c>
      <c r="D6" s="2" t="s">
        <v>69</v>
      </c>
      <c r="E6" s="2" t="s">
        <v>188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72</v>
      </c>
      <c r="X6" s="2">
        <v>0</v>
      </c>
      <c r="Y6" s="2">
        <v>0</v>
      </c>
      <c r="Z6" s="2">
        <v>0</v>
      </c>
      <c r="AA6" s="2">
        <v>0</v>
      </c>
      <c r="AB6" s="2">
        <f>SUM(F6:AA6)</f>
        <v>72</v>
      </c>
    </row>
    <row r="7" spans="1:28" s="7" customFormat="1" ht="46.5" x14ac:dyDescent="0.35">
      <c r="A7" s="2" t="s">
        <v>240</v>
      </c>
      <c r="B7" s="2" t="s">
        <v>247</v>
      </c>
      <c r="C7" s="7" t="s">
        <v>247</v>
      </c>
      <c r="D7" s="2" t="s">
        <v>69</v>
      </c>
      <c r="E7" s="2" t="s">
        <v>248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28</v>
      </c>
      <c r="X7" s="2">
        <v>0</v>
      </c>
      <c r="Y7" s="2">
        <v>0</v>
      </c>
      <c r="Z7" s="2">
        <v>0</v>
      </c>
      <c r="AA7" s="2">
        <v>0</v>
      </c>
      <c r="AB7" s="2">
        <f>SUM(F7:AA7)</f>
        <v>28</v>
      </c>
    </row>
    <row r="8" spans="1:28" s="7" customFormat="1" ht="46.5" x14ac:dyDescent="0.35">
      <c r="A8" s="2" t="s">
        <v>241</v>
      </c>
      <c r="B8" s="7" t="s">
        <v>249</v>
      </c>
      <c r="C8" s="7" t="s">
        <v>249</v>
      </c>
      <c r="D8" s="2" t="s">
        <v>120</v>
      </c>
      <c r="E8" s="2" t="s">
        <v>250</v>
      </c>
      <c r="F8" s="14">
        <v>0</v>
      </c>
      <c r="G8" s="14">
        <v>0</v>
      </c>
      <c r="H8" s="14">
        <v>0</v>
      </c>
      <c r="I8" s="9">
        <v>0</v>
      </c>
      <c r="J8" s="9">
        <v>0</v>
      </c>
      <c r="K8" s="9">
        <v>0</v>
      </c>
      <c r="L8" s="14">
        <v>0</v>
      </c>
      <c r="M8" s="14">
        <v>0</v>
      </c>
      <c r="N8" s="9">
        <v>0</v>
      </c>
      <c r="O8" s="9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9">
        <v>0</v>
      </c>
      <c r="V8" s="9">
        <v>0</v>
      </c>
      <c r="W8" s="14">
        <v>35</v>
      </c>
      <c r="X8" s="14">
        <v>0</v>
      </c>
      <c r="Y8" s="9">
        <v>0</v>
      </c>
      <c r="Z8" s="14">
        <v>0</v>
      </c>
      <c r="AA8" s="14">
        <v>0</v>
      </c>
      <c r="AB8" s="14">
        <v>35</v>
      </c>
    </row>
    <row r="9" spans="1:28" x14ac:dyDescent="0.35">
      <c r="A9" s="6" t="s">
        <v>272</v>
      </c>
      <c r="B9" s="11" t="s">
        <v>273</v>
      </c>
      <c r="C9" s="11" t="s">
        <v>273</v>
      </c>
      <c r="D9" s="20"/>
      <c r="E9" s="20"/>
      <c r="F9" s="4">
        <f>SUBTOTAL(109,SantaClara[American Sign Language Total])</f>
        <v>0</v>
      </c>
      <c r="G9" s="4">
        <f>SUBTOTAL(109,SantaClara[Arabic Total])</f>
        <v>0</v>
      </c>
      <c r="H9" s="4">
        <f>SUBTOTAL(109,SantaClara[Armenian Total])</f>
        <v>0</v>
      </c>
      <c r="I9" s="4">
        <f>SUBTOTAL(109,SantaClara[Bengali Total])</f>
        <v>0</v>
      </c>
      <c r="J9" s="4">
        <f>SUBTOTAL(109,SantaClara[Chinese Total])</f>
        <v>104</v>
      </c>
      <c r="K9" s="4">
        <f>SUBTOTAL(109,SantaClara[Farsi (Persian) Total])</f>
        <v>0</v>
      </c>
      <c r="L9" s="4">
        <f>SUBTOTAL(109,SantaClara[French Total])</f>
        <v>0</v>
      </c>
      <c r="M9" s="4">
        <f>SUBTOTAL(109,SantaClara[German Total])</f>
        <v>0</v>
      </c>
      <c r="N9" s="4">
        <f>SUBTOTAL(109,SantaClara[Hebrew Total])</f>
        <v>0</v>
      </c>
      <c r="O9" s="4">
        <f>SUBTOTAL(109,SantaClara[Hindi Total])</f>
        <v>0</v>
      </c>
      <c r="P9" s="4">
        <f>SUBTOTAL(109,SantaClara[Hmong Total])</f>
        <v>0</v>
      </c>
      <c r="Q9" s="4">
        <f>SUBTOTAL(109,SantaClara[Italian Total])</f>
        <v>0</v>
      </c>
      <c r="R9" s="4">
        <f>SUBTOTAL(109,SantaClara[Japanese Total])</f>
        <v>0</v>
      </c>
      <c r="S9" s="4">
        <f>SUBTOTAL(109,SantaClara[Korean Total])</f>
        <v>0</v>
      </c>
      <c r="T9" s="4">
        <f>SUBTOTAL(109,SantaClara[Portuguese Total])</f>
        <v>0</v>
      </c>
      <c r="U9" s="4">
        <f>SUBTOTAL(109,SantaClara[Punjabi Total])</f>
        <v>0</v>
      </c>
      <c r="V9" s="4">
        <f>SUBTOTAL(109,SantaClara[Russian Total])</f>
        <v>0</v>
      </c>
      <c r="W9" s="4">
        <f>SUBTOTAL(109,SantaClara[Spanish Total])</f>
        <v>1179</v>
      </c>
      <c r="X9" s="4">
        <f>SUBTOTAL(109,SantaClara[Tagalog (Filipino) Total])</f>
        <v>0</v>
      </c>
      <c r="Y9" s="4">
        <f>SUBTOTAL(109,SantaClara[Urdu Total])</f>
        <v>0</v>
      </c>
      <c r="Z9" s="4">
        <f>SUBTOTAL(109,SantaClara[Vietnamese Total])</f>
        <v>207</v>
      </c>
      <c r="AA9" s="4">
        <f>SUBTOTAL(109,SantaClara[Other Total])</f>
        <v>0</v>
      </c>
      <c r="AB9" s="4">
        <f>SUBTOTAL(109,SantaClara[Total Seals per LEA])</f>
        <v>1490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7421875" defaultRowHeight="15.5" x14ac:dyDescent="0.35"/>
  <cols>
    <col min="1" max="1" width="19" bestFit="1" customWidth="1"/>
    <col min="2" max="2" width="35.3046875" bestFit="1" customWidth="1"/>
    <col min="3" max="3" width="35.3046875" customWidth="1"/>
    <col min="4" max="5" width="32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0.07421875" bestFit="1" customWidth="1"/>
    <col min="19" max="19" width="8.84375" bestFit="1" customWidth="1"/>
    <col min="20" max="20" width="12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8" t="s">
        <v>2</v>
      </c>
    </row>
    <row r="2" spans="1:28" s="6" customFormat="1" ht="47" thickTop="1" x14ac:dyDescent="0.35">
      <c r="A2" s="2" t="s">
        <v>34</v>
      </c>
      <c r="B2" s="7" t="s">
        <v>61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6" customFormat="1" ht="46.5" x14ac:dyDescent="0.35">
      <c r="A3" s="2" t="s">
        <v>104</v>
      </c>
      <c r="B3" s="6" t="s">
        <v>105</v>
      </c>
      <c r="C3" s="7" t="s">
        <v>68</v>
      </c>
      <c r="D3" s="6" t="s">
        <v>106</v>
      </c>
      <c r="E3" s="6" t="s">
        <v>66</v>
      </c>
      <c r="F3" s="7">
        <v>0</v>
      </c>
      <c r="G3" s="7">
        <v>0</v>
      </c>
      <c r="H3" s="7">
        <v>0</v>
      </c>
      <c r="I3" s="7">
        <v>0</v>
      </c>
      <c r="J3" s="7">
        <v>17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326</v>
      </c>
      <c r="X3" s="7">
        <v>0</v>
      </c>
      <c r="Y3" s="7">
        <v>0</v>
      </c>
      <c r="Z3" s="7">
        <v>0</v>
      </c>
      <c r="AA3" s="7">
        <v>0</v>
      </c>
      <c r="AB3" s="7">
        <f>SUM(F3:AA3)</f>
        <v>343</v>
      </c>
    </row>
    <row r="4" spans="1:28" s="7" customFormat="1" ht="31" x14ac:dyDescent="0.35">
      <c r="A4" s="7" t="s">
        <v>32</v>
      </c>
      <c r="B4" s="7" t="s">
        <v>59</v>
      </c>
      <c r="C4" s="7" t="s">
        <v>59</v>
      </c>
      <c r="D4" s="2" t="s">
        <v>63</v>
      </c>
      <c r="E4" s="2" t="s">
        <v>66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42</v>
      </c>
      <c r="X4" s="7">
        <v>0</v>
      </c>
      <c r="Y4" s="7">
        <v>0</v>
      </c>
      <c r="Z4" s="7">
        <v>0</v>
      </c>
      <c r="AA4" s="7">
        <v>0</v>
      </c>
      <c r="AB4" s="7">
        <f>SUM(F4:AA4)</f>
        <v>42</v>
      </c>
    </row>
    <row r="5" spans="1:28" ht="46.5" x14ac:dyDescent="0.35">
      <c r="A5" s="7" t="s">
        <v>33</v>
      </c>
      <c r="B5" s="2" t="s">
        <v>107</v>
      </c>
      <c r="C5" s="2" t="s">
        <v>68</v>
      </c>
      <c r="D5" s="2" t="s">
        <v>64</v>
      </c>
      <c r="E5" s="2" t="s">
        <v>87</v>
      </c>
      <c r="F5" s="7">
        <v>0</v>
      </c>
      <c r="G5" s="7">
        <v>0</v>
      </c>
      <c r="H5" s="7">
        <v>0</v>
      </c>
      <c r="I5" s="7">
        <v>0</v>
      </c>
      <c r="J5" s="7">
        <v>8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1</v>
      </c>
      <c r="T5" s="7">
        <v>0</v>
      </c>
      <c r="U5" s="7">
        <v>0</v>
      </c>
      <c r="V5" s="7">
        <v>1</v>
      </c>
      <c r="W5" s="7">
        <v>29</v>
      </c>
      <c r="X5" s="7">
        <v>3</v>
      </c>
      <c r="Y5" s="7">
        <v>0</v>
      </c>
      <c r="Z5" s="7">
        <v>3</v>
      </c>
      <c r="AA5" s="7">
        <v>1</v>
      </c>
      <c r="AB5" s="7">
        <f>SUM(F5:AA5)</f>
        <v>47</v>
      </c>
    </row>
    <row r="6" spans="1:28" x14ac:dyDescent="0.35">
      <c r="A6" s="7" t="s">
        <v>89</v>
      </c>
      <c r="B6" s="17" t="s">
        <v>149</v>
      </c>
      <c r="C6" s="17" t="s">
        <v>81</v>
      </c>
      <c r="D6" s="18"/>
      <c r="E6" s="18"/>
      <c r="F6" s="9">
        <f>SUBTOTAL(109,Table2[American Sign Language Total])</f>
        <v>0</v>
      </c>
      <c r="G6" s="9">
        <f>SUBTOTAL(109,Table2[Arabic Total])</f>
        <v>0</v>
      </c>
      <c r="H6" s="9">
        <f>SUBTOTAL(109,Table2[Armenian Total])</f>
        <v>0</v>
      </c>
      <c r="I6" s="9">
        <f>SUBTOTAL(109,Table2[Bengali Total])</f>
        <v>0</v>
      </c>
      <c r="J6" s="9">
        <f>SUBTOTAL(109,Table2[Chinese Total])</f>
        <v>25</v>
      </c>
      <c r="K6" s="9">
        <f>SUBTOTAL(109,Table2[Farsi (Persian) Total])</f>
        <v>1</v>
      </c>
      <c r="L6" s="9">
        <f>SUBTOTAL(109,Table2[French Total])</f>
        <v>0</v>
      </c>
      <c r="M6" s="9">
        <f>SUBTOTAL(109,Table2[German Total])</f>
        <v>0</v>
      </c>
      <c r="N6" s="9">
        <f>SUBTOTAL(109,Table2[Hebrew Total])</f>
        <v>0</v>
      </c>
      <c r="O6" s="9">
        <f>SUBTOTAL(109,Table2[Hindi Total])</f>
        <v>0</v>
      </c>
      <c r="P6" s="9">
        <f>SUBTOTAL(109,Table2[Hmong Total])</f>
        <v>0</v>
      </c>
      <c r="Q6" s="9">
        <f>SUBTOTAL(109,Table2[Italian Total])</f>
        <v>0</v>
      </c>
      <c r="R6" s="9">
        <f>SUBTOTAL(109,Table2[Japanese Total])</f>
        <v>0</v>
      </c>
      <c r="S6" s="9">
        <f>SUBTOTAL(109,Table2[Korean Total])</f>
        <v>1</v>
      </c>
      <c r="T6" s="9">
        <f>SUBTOTAL(109,Table2[Portuguese Total])</f>
        <v>0</v>
      </c>
      <c r="U6" s="9">
        <f>SUBTOTAL(109,Table2[Punjabi Total])</f>
        <v>0</v>
      </c>
      <c r="V6" s="9">
        <f>SUBTOTAL(109,Table2[Russian Total])</f>
        <v>1</v>
      </c>
      <c r="W6" s="9">
        <f>SUBTOTAL(109,Table2[Spanish Total])</f>
        <v>397</v>
      </c>
      <c r="X6" s="9">
        <f>SUBTOTAL(109,Table2[Tagalog (Filipino) Total])</f>
        <v>3</v>
      </c>
      <c r="Y6" s="9">
        <f>SUBTOTAL(109,Table2[Urdu Total])</f>
        <v>0</v>
      </c>
      <c r="Z6" s="9">
        <f>SUBTOTAL(109,Table2[Vietnamese Total])</f>
        <v>3</v>
      </c>
      <c r="AA6" s="9">
        <f>SUBTOTAL(109,Table2[Other Total])</f>
        <v>1</v>
      </c>
      <c r="AB6" s="9">
        <f>SUBTOTAL(109,Table2[Total Seals per LEA])</f>
        <v>432</v>
      </c>
    </row>
  </sheetData>
  <sortState xmlns:xlrd2="http://schemas.microsoft.com/office/spreadsheetml/2017/richdata2" ref="A2:AH10">
    <sortCondition ref="A2:A10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26C9-9FAB-4EA2-A979-BF7291AB1130}">
  <dimension ref="A1:AB4"/>
  <sheetViews>
    <sheetView workbookViewId="0"/>
  </sheetViews>
  <sheetFormatPr defaultRowHeight="15.5" x14ac:dyDescent="0.35"/>
  <cols>
    <col min="1" max="1" width="26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233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46.5" x14ac:dyDescent="0.35">
      <c r="A3" s="2" t="s">
        <v>251</v>
      </c>
      <c r="B3" s="2" t="s">
        <v>252</v>
      </c>
      <c r="C3" s="7" t="s">
        <v>253</v>
      </c>
      <c r="D3" s="2" t="s">
        <v>254</v>
      </c>
      <c r="E3" s="2" t="s">
        <v>188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46</v>
      </c>
      <c r="X3" s="9">
        <v>0</v>
      </c>
      <c r="Y3" s="9">
        <v>0</v>
      </c>
      <c r="Z3" s="9">
        <v>0</v>
      </c>
      <c r="AA3" s="9">
        <v>1</v>
      </c>
      <c r="AB3" s="9">
        <f>SUM(F3:AA3)</f>
        <v>47</v>
      </c>
    </row>
    <row r="4" spans="1:28" x14ac:dyDescent="0.35">
      <c r="A4" t="s">
        <v>38</v>
      </c>
      <c r="B4" s="11" t="s">
        <v>100</v>
      </c>
      <c r="C4" s="11" t="s">
        <v>81</v>
      </c>
      <c r="D4" s="20"/>
      <c r="E4" s="20"/>
      <c r="F4" s="4">
        <f>SUBTOTAL(109,SanBernardino91011[American Sign Language Total])</f>
        <v>0</v>
      </c>
      <c r="G4" s="4">
        <f>SUBTOTAL(109,SanBernardino91011[Arabic Total])</f>
        <v>0</v>
      </c>
      <c r="H4" s="4">
        <f>SUBTOTAL(109,SanBernardino91011[Armenian Total])</f>
        <v>0</v>
      </c>
      <c r="I4" s="4">
        <f>SUBTOTAL(109,SanBernardino91011[Bengali Total])</f>
        <v>0</v>
      </c>
      <c r="J4" s="4">
        <f>SUBTOTAL(109,SanBernardino91011[Chinese Total])</f>
        <v>0</v>
      </c>
      <c r="K4" s="4">
        <f>SUBTOTAL(109,SanBernardino91011[Farsi (Persian) Total])</f>
        <v>0</v>
      </c>
      <c r="L4" s="4">
        <f>SUBTOTAL(109,SanBernardino91011[French Total])</f>
        <v>0</v>
      </c>
      <c r="M4" s="4">
        <f>SUBTOTAL(109,SanBernardino91011[German Total])</f>
        <v>0</v>
      </c>
      <c r="N4" s="4">
        <f>SUBTOTAL(109,SanBernardino91011[Hebrew Total])</f>
        <v>0</v>
      </c>
      <c r="O4" s="4">
        <f>SUBTOTAL(109,SanBernardino91011[Hindi Total])</f>
        <v>0</v>
      </c>
      <c r="P4" s="4">
        <f>SUBTOTAL(109,SanBernardino91011[Hmong Total])</f>
        <v>0</v>
      </c>
      <c r="Q4" s="4">
        <f>SUBTOTAL(109,SanBernardino91011[Italian Total])</f>
        <v>0</v>
      </c>
      <c r="R4" s="4">
        <f>SUBTOTAL(109,SanBernardino91011[Japanese Total])</f>
        <v>0</v>
      </c>
      <c r="S4" s="4">
        <f>SUBTOTAL(109,SanBernardino91011[Korean Total])</f>
        <v>0</v>
      </c>
      <c r="T4" s="4">
        <f>SUBTOTAL(109,SanBernardino91011[Portuguese Total])</f>
        <v>0</v>
      </c>
      <c r="U4" s="4">
        <f>SUBTOTAL(109,SanBernardino91011[Punjabi Total])</f>
        <v>0</v>
      </c>
      <c r="V4" s="4">
        <f>SUBTOTAL(109,SanBernardino91011[Russian Total])</f>
        <v>0</v>
      </c>
      <c r="W4" s="4">
        <f>SUBTOTAL(109,SanBernardino91011[Spanish Total])</f>
        <v>46</v>
      </c>
      <c r="X4" s="4">
        <f>SUBTOTAL(109,SanBernardino91011[Tagalog (Filipino) Total])</f>
        <v>0</v>
      </c>
      <c r="Y4" s="4">
        <f>SUBTOTAL(109,SanBernardino91011[Urdu Total])</f>
        <v>0</v>
      </c>
      <c r="Z4" s="4">
        <f>SUBTOTAL(109,SanBernardino91011[Vietnamese Total])</f>
        <v>0</v>
      </c>
      <c r="AA4" s="4">
        <f>SUBTOTAL(109,SanBernardino91011[Other Total])</f>
        <v>1</v>
      </c>
      <c r="AB4" s="4">
        <f>SUBTOTAL(109,SanBernardino91011[Total Seals per LEA])</f>
        <v>47</v>
      </c>
    </row>
  </sheetData>
  <conditionalFormatting sqref="A1:E1 A2:B2">
    <cfRule type="duplicateValues" dxfId="3" priority="2"/>
  </conditionalFormatting>
  <conditionalFormatting sqref="C2:E2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75DC-7E88-4EB7-BAAA-BDBC7B150A42}">
  <dimension ref="A1:AB4"/>
  <sheetViews>
    <sheetView workbookViewId="0"/>
  </sheetViews>
  <sheetFormatPr defaultRowHeight="15.5" x14ac:dyDescent="0.35"/>
  <cols>
    <col min="1" max="1" width="26.84375" bestFit="1" customWidth="1"/>
    <col min="2" max="2" width="40.07421875" bestFit="1" customWidth="1"/>
    <col min="3" max="5" width="40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234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31" x14ac:dyDescent="0.35">
      <c r="A3" s="2" t="s">
        <v>255</v>
      </c>
      <c r="B3" s="7" t="s">
        <v>256</v>
      </c>
      <c r="C3" s="7" t="s">
        <v>256</v>
      </c>
      <c r="D3" s="2" t="s">
        <v>69</v>
      </c>
      <c r="E3" s="2" t="s">
        <v>188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325</v>
      </c>
      <c r="X3" s="9">
        <v>0</v>
      </c>
      <c r="Y3" s="9">
        <v>0</v>
      </c>
      <c r="Z3" s="9">
        <v>0</v>
      </c>
      <c r="AA3" s="9">
        <v>0</v>
      </c>
      <c r="AB3" s="9">
        <f>SUM(F3:AA3)</f>
        <v>325</v>
      </c>
    </row>
    <row r="4" spans="1:28" x14ac:dyDescent="0.35">
      <c r="A4" t="s">
        <v>38</v>
      </c>
      <c r="B4" s="11" t="s">
        <v>81</v>
      </c>
      <c r="C4" s="11" t="s">
        <v>81</v>
      </c>
      <c r="D4" s="20"/>
      <c r="E4" s="20"/>
      <c r="F4" s="4">
        <f>SUBTOTAL(109,SanBernardino9101112[American Sign Language Total])</f>
        <v>0</v>
      </c>
      <c r="G4" s="4">
        <f>SUBTOTAL(109,SanBernardino9101112[Arabic Total])</f>
        <v>0</v>
      </c>
      <c r="H4" s="4">
        <f>SUBTOTAL(109,SanBernardino9101112[Armenian Total])</f>
        <v>0</v>
      </c>
      <c r="I4" s="4">
        <f>SUBTOTAL(109,SanBernardino9101112[Bengali Total])</f>
        <v>0</v>
      </c>
      <c r="J4" s="4">
        <f>SUBTOTAL(109,SanBernardino9101112[Chinese Total])</f>
        <v>0</v>
      </c>
      <c r="K4" s="4">
        <f>SUBTOTAL(109,SanBernardino9101112[Farsi (Persian) Total])</f>
        <v>0</v>
      </c>
      <c r="L4" s="4">
        <f>SUBTOTAL(109,SanBernardino9101112[French Total])</f>
        <v>0</v>
      </c>
      <c r="M4" s="4">
        <f>SUBTOTAL(109,SanBernardino9101112[German Total])</f>
        <v>0</v>
      </c>
      <c r="N4" s="4">
        <f>SUBTOTAL(109,SanBernardino9101112[Hebrew Total])</f>
        <v>0</v>
      </c>
      <c r="O4" s="4">
        <f>SUBTOTAL(109,SanBernardino9101112[Hindi Total])</f>
        <v>0</v>
      </c>
      <c r="P4" s="4">
        <f>SUBTOTAL(109,SanBernardino9101112[Hmong Total])</f>
        <v>0</v>
      </c>
      <c r="Q4" s="4">
        <f>SUBTOTAL(109,SanBernardino9101112[Italian Total])</f>
        <v>0</v>
      </c>
      <c r="R4" s="4">
        <f>SUBTOTAL(109,SanBernardino9101112[Japanese Total])</f>
        <v>0</v>
      </c>
      <c r="S4" s="4">
        <f>SUBTOTAL(109,SanBernardino9101112[Korean Total])</f>
        <v>0</v>
      </c>
      <c r="T4" s="4">
        <f>SUBTOTAL(109,SanBernardino9101112[Portuguese Total])</f>
        <v>0</v>
      </c>
      <c r="U4" s="4">
        <f>SUBTOTAL(109,SanBernardino9101112[Punjabi Total])</f>
        <v>0</v>
      </c>
      <c r="V4" s="4">
        <f>SUBTOTAL(109,SanBernardino9101112[Russian Total])</f>
        <v>0</v>
      </c>
      <c r="W4" s="4">
        <f>SUBTOTAL(109,SanBernardino9101112[Spanish Total])</f>
        <v>325</v>
      </c>
      <c r="X4" s="4">
        <f>SUBTOTAL(109,SanBernardino9101112[Tagalog (Filipino) Total])</f>
        <v>0</v>
      </c>
      <c r="Y4" s="4">
        <f>SUBTOTAL(109,SanBernardino9101112[Urdu Total])</f>
        <v>0</v>
      </c>
      <c r="Z4" s="4">
        <f>SUBTOTAL(109,SanBernardino9101112[Vietnamese Total])</f>
        <v>0</v>
      </c>
      <c r="AA4" s="4">
        <f>SUBTOTAL(109,SanBernardino9101112[Other Total])</f>
        <v>0</v>
      </c>
      <c r="AB4" s="4">
        <f>SUBTOTAL(109,SanBernardino9101112[Total Seals per LEA])</f>
        <v>325</v>
      </c>
    </row>
  </sheetData>
  <conditionalFormatting sqref="A1:E1 A2:B2">
    <cfRule type="duplicateValues" dxfId="1" priority="2"/>
  </conditionalFormatting>
  <conditionalFormatting sqref="C2:E2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11FA-9DBF-45A2-B486-86E774C95722}">
  <dimension ref="A1:AB4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2" style="6" bestFit="1" customWidth="1"/>
    <col min="2" max="2" width="32.84375" style="6" bestFit="1" customWidth="1"/>
    <col min="3" max="5" width="32.84375" style="6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11.07421875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13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31" x14ac:dyDescent="0.35">
      <c r="A3" s="7" t="s">
        <v>257</v>
      </c>
      <c r="B3" s="7" t="s">
        <v>258</v>
      </c>
      <c r="C3" s="7" t="s">
        <v>258</v>
      </c>
      <c r="D3" s="2" t="s">
        <v>69</v>
      </c>
      <c r="E3" s="2" t="s">
        <v>66</v>
      </c>
      <c r="F3" s="14">
        <v>0</v>
      </c>
      <c r="G3" s="14">
        <v>0</v>
      </c>
      <c r="H3" s="14">
        <v>0</v>
      </c>
      <c r="I3" s="9">
        <v>0</v>
      </c>
      <c r="J3" s="9">
        <v>0</v>
      </c>
      <c r="K3" s="9">
        <v>0</v>
      </c>
      <c r="L3" s="14">
        <v>0</v>
      </c>
      <c r="M3" s="14">
        <v>0</v>
      </c>
      <c r="N3" s="9">
        <v>0</v>
      </c>
      <c r="O3" s="9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9">
        <v>0</v>
      </c>
      <c r="V3" s="9">
        <v>0</v>
      </c>
      <c r="W3" s="14">
        <v>55</v>
      </c>
      <c r="X3" s="14">
        <v>0</v>
      </c>
      <c r="Y3" s="9">
        <v>0</v>
      </c>
      <c r="Z3" s="14">
        <v>0</v>
      </c>
      <c r="AA3" s="14">
        <v>0</v>
      </c>
      <c r="AB3" s="14">
        <f>SUM(F3:AA3)</f>
        <v>55</v>
      </c>
    </row>
    <row r="4" spans="1:28" x14ac:dyDescent="0.35">
      <c r="A4" s="6" t="s">
        <v>38</v>
      </c>
      <c r="B4" s="11" t="s">
        <v>81</v>
      </c>
      <c r="C4" s="11" t="s">
        <v>81</v>
      </c>
      <c r="D4" s="23"/>
      <c r="E4" s="23"/>
      <c r="F4" s="4">
        <f>SUBTOTAL(109,Ventura[American Sign Language Total])</f>
        <v>0</v>
      </c>
      <c r="G4" s="4">
        <f>SUBTOTAL(109,Ventura[Arabic Total])</f>
        <v>0</v>
      </c>
      <c r="H4" s="4">
        <f>SUBTOTAL(109,Ventura[Armenian Total])</f>
        <v>0</v>
      </c>
      <c r="I4" s="4">
        <f>SUBTOTAL(109,Ventura[Bengali Total])</f>
        <v>0</v>
      </c>
      <c r="J4" s="4">
        <f>SUBTOTAL(109,Ventura[Chinese Total])</f>
        <v>0</v>
      </c>
      <c r="K4" s="4">
        <f>SUBTOTAL(109,Ventura[Farsi (Persian) Total])</f>
        <v>0</v>
      </c>
      <c r="L4" s="4">
        <f>SUBTOTAL(109,Ventura[French Total])</f>
        <v>0</v>
      </c>
      <c r="M4" s="4">
        <f>SUBTOTAL(109,Ventura[German Total])</f>
        <v>0</v>
      </c>
      <c r="N4" s="4">
        <f>SUBTOTAL(109,Ventura[Hebrew Total])</f>
        <v>0</v>
      </c>
      <c r="O4" s="4">
        <f>SUBTOTAL(109,Ventura[Hindi Total])</f>
        <v>0</v>
      </c>
      <c r="P4" s="4">
        <f>SUBTOTAL(109,Ventura[Hmong Total])</f>
        <v>0</v>
      </c>
      <c r="Q4" s="4">
        <f>SUBTOTAL(109,Ventura[Italian Total])</f>
        <v>0</v>
      </c>
      <c r="R4" s="4">
        <f>SUBTOTAL(109,Ventura[Japanese Total])</f>
        <v>0</v>
      </c>
      <c r="S4" s="24" t="s">
        <v>67</v>
      </c>
      <c r="T4" s="4">
        <f>SUBTOTAL(109,Ventura[Portuguese Total])</f>
        <v>0</v>
      </c>
      <c r="U4" s="4">
        <f>SUBTOTAL(109,Ventura[Punjabi Total])</f>
        <v>0</v>
      </c>
      <c r="V4" s="4">
        <f>SUBTOTAL(109,Ventura[Russian Total])</f>
        <v>0</v>
      </c>
      <c r="W4" s="4">
        <f>SUBTOTAL(109,Ventura[Spanish Total])</f>
        <v>55</v>
      </c>
      <c r="X4" s="4">
        <f>SUBTOTAL(109,Ventura[Tagalog (Filipino) Total])</f>
        <v>0</v>
      </c>
      <c r="Y4" s="4">
        <f>SUBTOTAL(109,Ventura[Urdu Total])</f>
        <v>0</v>
      </c>
      <c r="Z4" s="4">
        <f>SUBTOTAL(109,Ventura[Vietnamese Total])</f>
        <v>0</v>
      </c>
      <c r="AA4" s="4">
        <f>SUBTOTAL(109,Ventura[Other Total])</f>
        <v>0</v>
      </c>
      <c r="AB4" s="4">
        <f>SUBTOTAL(109,Ventura[Total Seals per LEA])</f>
        <v>55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89A6-FF3A-4520-9517-17F80B94ED69}">
  <dimension ref="A1:AB5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2" style="6" bestFit="1" customWidth="1"/>
    <col min="2" max="2" width="37.69140625" style="6" customWidth="1"/>
    <col min="3" max="3" width="41.69140625" style="6" customWidth="1"/>
    <col min="4" max="4" width="43.69140625" style="6" customWidth="1"/>
    <col min="5" max="5" width="43.84375" style="6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12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46.5" x14ac:dyDescent="0.35">
      <c r="A3" s="7" t="s">
        <v>259</v>
      </c>
      <c r="B3" s="7" t="s">
        <v>261</v>
      </c>
      <c r="C3" s="7" t="s">
        <v>262</v>
      </c>
      <c r="D3" s="2" t="s">
        <v>120</v>
      </c>
      <c r="E3" s="2" t="s">
        <v>182</v>
      </c>
      <c r="F3" s="14">
        <v>0</v>
      </c>
      <c r="G3" s="14">
        <v>0</v>
      </c>
      <c r="H3" s="14">
        <v>0</v>
      </c>
      <c r="I3" s="9">
        <v>0</v>
      </c>
      <c r="J3" s="9">
        <v>0</v>
      </c>
      <c r="K3" s="9">
        <v>0</v>
      </c>
      <c r="L3" s="14">
        <v>0</v>
      </c>
      <c r="M3" s="14">
        <v>0</v>
      </c>
      <c r="N3" s="9">
        <v>0</v>
      </c>
      <c r="O3" s="9">
        <v>0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9">
        <v>0</v>
      </c>
      <c r="V3" s="9">
        <v>0</v>
      </c>
      <c r="W3" s="14">
        <v>120</v>
      </c>
      <c r="X3" s="14">
        <v>0</v>
      </c>
      <c r="Y3" s="9">
        <v>0</v>
      </c>
      <c r="Z3" s="14">
        <v>0</v>
      </c>
      <c r="AA3" s="14">
        <v>0</v>
      </c>
      <c r="AB3" s="14">
        <f>SUM(F3:AA3)</f>
        <v>120</v>
      </c>
    </row>
    <row r="4" spans="1:28" s="7" customFormat="1" ht="46.5" x14ac:dyDescent="0.35">
      <c r="A4" s="7" t="s">
        <v>260</v>
      </c>
      <c r="B4" s="2" t="s">
        <v>263</v>
      </c>
      <c r="C4" s="2" t="s">
        <v>264</v>
      </c>
      <c r="D4" s="2" t="s">
        <v>266</v>
      </c>
      <c r="E4" s="2" t="s">
        <v>227</v>
      </c>
      <c r="F4" s="14">
        <v>0</v>
      </c>
      <c r="G4" s="14">
        <v>0</v>
      </c>
      <c r="H4" s="14">
        <v>0</v>
      </c>
      <c r="I4" s="9">
        <v>0</v>
      </c>
      <c r="J4" s="9">
        <v>0</v>
      </c>
      <c r="K4" s="9">
        <v>0</v>
      </c>
      <c r="L4" s="14">
        <v>0</v>
      </c>
      <c r="M4" s="14">
        <v>0</v>
      </c>
      <c r="N4" s="9">
        <v>0</v>
      </c>
      <c r="O4" s="9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9">
        <v>0</v>
      </c>
      <c r="V4" s="9">
        <v>0</v>
      </c>
      <c r="W4" s="14">
        <v>121</v>
      </c>
      <c r="X4" s="14">
        <v>0</v>
      </c>
      <c r="Y4" s="9">
        <v>0</v>
      </c>
      <c r="Z4" s="14">
        <v>0</v>
      </c>
      <c r="AA4" s="14">
        <v>0</v>
      </c>
      <c r="AB4" s="14">
        <f>SUM(F4:AA4)</f>
        <v>121</v>
      </c>
    </row>
    <row r="5" spans="1:28" x14ac:dyDescent="0.35">
      <c r="A5" s="6" t="s">
        <v>39</v>
      </c>
      <c r="B5" s="11" t="s">
        <v>265</v>
      </c>
      <c r="C5" s="11" t="s">
        <v>41</v>
      </c>
      <c r="D5" s="23"/>
      <c r="E5" s="23"/>
      <c r="F5" s="4">
        <f>SUBTOTAL(109,Yolo[American Sign Language Total])</f>
        <v>0</v>
      </c>
      <c r="G5" s="4">
        <f>SUBTOTAL(109,Yolo[Arabic Total])</f>
        <v>0</v>
      </c>
      <c r="H5" s="4">
        <f>SUBTOTAL(109,Yolo[Armenian Total])</f>
        <v>0</v>
      </c>
      <c r="I5" s="4">
        <f>SUBTOTAL(109,Yolo[Bengali Total])</f>
        <v>0</v>
      </c>
      <c r="J5" s="4">
        <f>SUBTOTAL(109,Yolo[Chinese Total])</f>
        <v>0</v>
      </c>
      <c r="K5" s="4">
        <f>SUBTOTAL(109,Yolo[Farsi (Persian) Total])</f>
        <v>0</v>
      </c>
      <c r="L5" s="4">
        <f>SUBTOTAL(109,Yolo[French Total])</f>
        <v>0</v>
      </c>
      <c r="M5" s="4">
        <f>SUBTOTAL(109,Yolo[German Total])</f>
        <v>0</v>
      </c>
      <c r="N5" s="4">
        <f>SUBTOTAL(109,Yolo[Hebrew Total])</f>
        <v>0</v>
      </c>
      <c r="O5" s="4">
        <f>SUBTOTAL(109,Yolo[Hindi Total])</f>
        <v>0</v>
      </c>
      <c r="P5" s="4">
        <f>SUBTOTAL(109,Yolo[Hmong Total])</f>
        <v>0</v>
      </c>
      <c r="Q5" s="4">
        <f>SUBTOTAL(109,Yolo[Italian Total])</f>
        <v>0</v>
      </c>
      <c r="R5" s="4">
        <f>SUBTOTAL(109,Yolo[Japanese Total])</f>
        <v>0</v>
      </c>
      <c r="S5" s="4">
        <f>SUBTOTAL(109,Yolo[Korean Total])</f>
        <v>0</v>
      </c>
      <c r="T5" s="4">
        <f>SUBTOTAL(109,Yolo[Portuguese Total])</f>
        <v>0</v>
      </c>
      <c r="U5" s="4">
        <f>SUBTOTAL(109,Yolo[Punjabi Total])</f>
        <v>0</v>
      </c>
      <c r="V5" s="4">
        <f>SUBTOTAL(109,Yolo[Russian Total])</f>
        <v>0</v>
      </c>
      <c r="W5" s="4">
        <f>SUBTOTAL(109,Yolo[Spanish Total])</f>
        <v>241</v>
      </c>
      <c r="X5" s="4">
        <f>SUBTOTAL(109,Yolo[Tagalog (Filipino) Total])</f>
        <v>0</v>
      </c>
      <c r="Y5" s="4">
        <f>SUBTOTAL(109,Yolo[Urdu Total])</f>
        <v>0</v>
      </c>
      <c r="Z5" s="4">
        <f>SUBTOTAL(109,Yolo[Vietnamese Total])</f>
        <v>0</v>
      </c>
      <c r="AA5" s="4">
        <f>SUBTOTAL(109,Yolo[Other Total])</f>
        <v>0</v>
      </c>
      <c r="AB5" s="4">
        <f>SUBTOTAL(109,Yolo[Total Seals per LEA])</f>
        <v>241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E89A9-1534-4595-8E8A-82AF38423988}">
  <dimension ref="A1:AB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7421875" defaultRowHeight="15.5" x14ac:dyDescent="0.35"/>
  <cols>
    <col min="1" max="1" width="19" bestFit="1" customWidth="1"/>
    <col min="2" max="2" width="35.3046875" bestFit="1" customWidth="1"/>
    <col min="3" max="3" width="35.3046875" customWidth="1"/>
    <col min="4" max="5" width="32.074218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0.07421875" bestFit="1" customWidth="1"/>
    <col min="19" max="19" width="8.84375" bestFit="1" customWidth="1"/>
    <col min="20" max="20" width="12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8" t="s">
        <v>108</v>
      </c>
    </row>
    <row r="2" spans="1:28" s="6" customFormat="1" ht="47" thickTop="1" x14ac:dyDescent="0.35">
      <c r="A2" s="2" t="s">
        <v>34</v>
      </c>
      <c r="B2" s="7" t="s">
        <v>61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2" customFormat="1" ht="31" x14ac:dyDescent="0.35">
      <c r="A3" s="2" t="s">
        <v>109</v>
      </c>
      <c r="B3" s="7" t="s">
        <v>112</v>
      </c>
      <c r="C3" s="7" t="s">
        <v>112</v>
      </c>
      <c r="D3" s="2" t="s">
        <v>63</v>
      </c>
      <c r="E3" s="2" t="s">
        <v>115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62</v>
      </c>
      <c r="X3" s="7">
        <v>0</v>
      </c>
      <c r="Y3" s="7">
        <v>0</v>
      </c>
      <c r="Z3" s="7">
        <v>0</v>
      </c>
      <c r="AA3" s="7">
        <v>0</v>
      </c>
      <c r="AB3" s="7">
        <f>SUM(F3:AA3)</f>
        <v>62</v>
      </c>
    </row>
    <row r="4" spans="1:28" s="7" customFormat="1" ht="77.5" x14ac:dyDescent="0.35">
      <c r="A4" s="7" t="s">
        <v>110</v>
      </c>
      <c r="B4" s="7" t="s">
        <v>113</v>
      </c>
      <c r="C4" s="7" t="s">
        <v>113</v>
      </c>
      <c r="D4" s="2" t="s">
        <v>63</v>
      </c>
      <c r="E4" s="2" t="s">
        <v>116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0</v>
      </c>
      <c r="AB4" s="7">
        <f>SUM(F4:AA4)</f>
        <v>1</v>
      </c>
    </row>
    <row r="5" spans="1:28" s="7" customFormat="1" ht="46.5" x14ac:dyDescent="0.35">
      <c r="A5" s="7" t="s">
        <v>111</v>
      </c>
      <c r="B5" s="2" t="s">
        <v>114</v>
      </c>
      <c r="C5" s="2" t="s">
        <v>114</v>
      </c>
      <c r="D5" s="2" t="s">
        <v>63</v>
      </c>
      <c r="E5" s="2" t="s">
        <v>66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1362</v>
      </c>
      <c r="X5" s="7">
        <v>0</v>
      </c>
      <c r="Y5" s="7">
        <v>0</v>
      </c>
      <c r="Z5" s="7">
        <v>0</v>
      </c>
      <c r="AA5" s="7">
        <v>0</v>
      </c>
      <c r="AB5" s="7">
        <f>SUM(F5:AA5)</f>
        <v>1362</v>
      </c>
    </row>
    <row r="6" spans="1:28" x14ac:dyDescent="0.35">
      <c r="A6" s="7" t="s">
        <v>89</v>
      </c>
      <c r="B6" s="17" t="s">
        <v>102</v>
      </c>
      <c r="C6" s="17" t="s">
        <v>102</v>
      </c>
      <c r="D6" s="18"/>
      <c r="E6" s="18"/>
      <c r="F6" s="9">
        <f>SUBTOTAL(109,Table26[American Sign Language Total])</f>
        <v>0</v>
      </c>
      <c r="G6" s="9">
        <f>SUBTOTAL(109,Table26[Arabic Total])</f>
        <v>0</v>
      </c>
      <c r="H6" s="9">
        <f>SUBTOTAL(109,Table26[Armenian Total])</f>
        <v>0</v>
      </c>
      <c r="I6" s="9">
        <f>SUBTOTAL(109,Table26[Bengali Total])</f>
        <v>0</v>
      </c>
      <c r="J6" s="9">
        <f>SUBTOTAL(109,Table26[Chinese Total])</f>
        <v>0</v>
      </c>
      <c r="K6" s="9">
        <f>SUBTOTAL(109,Table26[Farsi (Persian) Total])</f>
        <v>0</v>
      </c>
      <c r="L6" s="9">
        <f>SUBTOTAL(109,Table26[French Total])</f>
        <v>0</v>
      </c>
      <c r="M6" s="9">
        <f>SUBTOTAL(109,Table26[German Total])</f>
        <v>0</v>
      </c>
      <c r="N6" s="9">
        <f>SUBTOTAL(109,Table26[Hebrew Total])</f>
        <v>0</v>
      </c>
      <c r="O6" s="9">
        <f>SUBTOTAL(109,Table26[Hindi Total])</f>
        <v>0</v>
      </c>
      <c r="P6" s="9">
        <f>SUBTOTAL(109,Table26[Hmong Total])</f>
        <v>0</v>
      </c>
      <c r="Q6" s="9">
        <f>SUBTOTAL(109,Table26[Italian Total])</f>
        <v>0</v>
      </c>
      <c r="R6" s="9">
        <f>SUBTOTAL(109,Table26[Japanese Total])</f>
        <v>0</v>
      </c>
      <c r="S6" s="9">
        <f>SUBTOTAL(109,Table26[Korean Total])</f>
        <v>0</v>
      </c>
      <c r="T6" s="9">
        <f>SUBTOTAL(109,Table26[Portuguese Total])</f>
        <v>0</v>
      </c>
      <c r="U6" s="9">
        <f>SUBTOTAL(109,Table26[Punjabi Total])</f>
        <v>0</v>
      </c>
      <c r="V6" s="9">
        <f>SUBTOTAL(109,Table26[Russian Total])</f>
        <v>0</v>
      </c>
      <c r="W6" s="9">
        <f>SUBTOTAL(109,Table26[Spanish Total])</f>
        <v>1425</v>
      </c>
      <c r="X6" s="9">
        <f>SUBTOTAL(109,Table26[Tagalog (Filipino) Total])</f>
        <v>0</v>
      </c>
      <c r="Y6" s="9">
        <f>SUBTOTAL(109,Table26[Urdu Total])</f>
        <v>0</v>
      </c>
      <c r="Z6" s="9">
        <f>SUBTOTAL(109,Table26[Vietnamese Total])</f>
        <v>0</v>
      </c>
      <c r="AA6" s="9">
        <f>SUBTOTAL(109,Table26[Other Total])</f>
        <v>0</v>
      </c>
      <c r="AB6" s="9">
        <f>SUBTOTAL(109,Table26[Total Seals per LEA])</f>
        <v>1425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167C-4F3A-4818-9E64-83332950FDE0}">
  <dimension ref="A1:AB4"/>
  <sheetViews>
    <sheetView workbookViewId="0"/>
  </sheetViews>
  <sheetFormatPr defaultRowHeight="15.5" x14ac:dyDescent="0.35"/>
  <cols>
    <col min="1" max="1" width="21.53515625" customWidth="1"/>
    <col min="2" max="2" width="30.3046875" customWidth="1"/>
    <col min="3" max="3" width="32.765625" customWidth="1"/>
    <col min="4" max="4" width="30.69140625" customWidth="1"/>
    <col min="5" max="5" width="32.765625" customWidth="1"/>
    <col min="6" max="6" width="12.4609375" customWidth="1"/>
  </cols>
  <sheetData>
    <row r="1" spans="1:28" ht="18.5" thickBot="1" x14ac:dyDescent="0.45">
      <c r="A1" s="8" t="s">
        <v>117</v>
      </c>
    </row>
    <row r="2" spans="1:28" ht="62.5" thickTop="1" x14ac:dyDescent="0.35">
      <c r="A2" s="2" t="s">
        <v>34</v>
      </c>
      <c r="B2" s="7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46.5" x14ac:dyDescent="0.35">
      <c r="A3" s="7" t="s">
        <v>119</v>
      </c>
      <c r="B3" s="7" t="s">
        <v>118</v>
      </c>
      <c r="C3" s="7" t="s">
        <v>118</v>
      </c>
      <c r="D3" s="26" t="s">
        <v>120</v>
      </c>
      <c r="E3" s="26" t="s">
        <v>93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60</v>
      </c>
      <c r="X3" s="7">
        <v>0</v>
      </c>
      <c r="Y3" s="7">
        <v>0</v>
      </c>
      <c r="Z3" s="7">
        <v>0</v>
      </c>
      <c r="AA3" s="7">
        <v>0</v>
      </c>
      <c r="AB3" s="7">
        <f t="shared" ref="AB3" si="0">SUM(F3:AA3)</f>
        <v>60</v>
      </c>
    </row>
    <row r="4" spans="1:28" x14ac:dyDescent="0.35">
      <c r="A4" t="s">
        <v>38</v>
      </c>
      <c r="B4" s="10" t="s">
        <v>81</v>
      </c>
      <c r="C4" s="10" t="s">
        <v>81</v>
      </c>
      <c r="D4" s="19"/>
      <c r="E4" s="19"/>
      <c r="F4" s="4">
        <f>SUBTOTAL(109,Fresno2[American Sign Language Total])</f>
        <v>0</v>
      </c>
      <c r="G4" s="4">
        <f>SUBTOTAL(109,Fresno2[Arabic Total])</f>
        <v>0</v>
      </c>
      <c r="H4" s="4">
        <f>SUBTOTAL(109,Fresno2[Armenian Total])</f>
        <v>0</v>
      </c>
      <c r="I4" s="4">
        <f>SUBTOTAL(109,Fresno2[Bengali Total])</f>
        <v>0</v>
      </c>
      <c r="J4" s="4">
        <f>SUBTOTAL(109,Fresno2[Chinese Total])</f>
        <v>0</v>
      </c>
      <c r="K4" s="4">
        <f>SUBTOTAL(109,Fresno2[Farsi (Persian) Total])</f>
        <v>0</v>
      </c>
      <c r="L4" s="4">
        <f>SUBTOTAL(109,Fresno2[French Total])</f>
        <v>0</v>
      </c>
      <c r="M4" s="4">
        <f>SUBTOTAL(109,Fresno2[German Total])</f>
        <v>0</v>
      </c>
      <c r="N4" s="4">
        <f>SUBTOTAL(109,Fresno2[Hebrew Total])</f>
        <v>0</v>
      </c>
      <c r="O4" s="4">
        <f>SUBTOTAL(109,Fresno2[Hindi Total])</f>
        <v>0</v>
      </c>
      <c r="P4" s="4">
        <f>SUBTOTAL(109,Fresno2[Hmong Total])</f>
        <v>0</v>
      </c>
      <c r="Q4" s="4">
        <f>SUBTOTAL(109,Fresno2[Italian Total])</f>
        <v>0</v>
      </c>
      <c r="R4" s="4">
        <f>SUBTOTAL(109,Fresno2[Japanese Total])</f>
        <v>0</v>
      </c>
      <c r="S4" s="4">
        <f>SUBTOTAL(109,Fresno2[Korean Total])</f>
        <v>0</v>
      </c>
      <c r="T4" s="4">
        <f>SUBTOTAL(109,Fresno2[Portuguese Total])</f>
        <v>0</v>
      </c>
      <c r="U4" s="4">
        <f>SUBTOTAL(109,Fresno2[Punjabi Total])</f>
        <v>0</v>
      </c>
      <c r="V4" s="4">
        <f>SUBTOTAL(109,Fresno2[Russian Total])</f>
        <v>0</v>
      </c>
      <c r="W4" s="4">
        <f>SUBTOTAL(109,Fresno2[Spanish Total])</f>
        <v>60</v>
      </c>
      <c r="X4" s="4">
        <f>SUBTOTAL(109,Fresno2[Tagalog (Filipino) Total])</f>
        <v>0</v>
      </c>
      <c r="Y4" s="4">
        <f>SUBTOTAL(109,Fresno2[Urdu Total])</f>
        <v>0</v>
      </c>
      <c r="Z4" s="4">
        <f>SUBTOTAL(109,Fresno2[Vietnamese Total])</f>
        <v>0</v>
      </c>
      <c r="AA4" s="4">
        <f>SUBTOTAL(109,Fresno2[Other Total])</f>
        <v>0</v>
      </c>
      <c r="AB4">
        <f>SUBTOTAL(109,Fresno2[Total Seals per LEA])</f>
        <v>60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D4DC1-D552-45E9-A457-8690D342DAC2}">
  <dimension ref="A1:AB4"/>
  <sheetViews>
    <sheetView workbookViewId="0"/>
  </sheetViews>
  <sheetFormatPr defaultRowHeight="15.5" x14ac:dyDescent="0.35"/>
  <cols>
    <col min="1" max="1" width="21.53515625" customWidth="1"/>
    <col min="2" max="2" width="30.3046875" customWidth="1"/>
    <col min="3" max="3" width="32.765625" customWidth="1"/>
    <col min="4" max="4" width="30.69140625" customWidth="1"/>
    <col min="5" max="5" width="32.765625" customWidth="1"/>
    <col min="6" max="6" width="12.4609375" customWidth="1"/>
  </cols>
  <sheetData>
    <row r="1" spans="1:28" ht="18.5" thickBot="1" x14ac:dyDescent="0.45">
      <c r="A1" s="8" t="s">
        <v>121</v>
      </c>
    </row>
    <row r="2" spans="1:28" ht="62.5" thickTop="1" x14ac:dyDescent="0.35">
      <c r="A2" s="2" t="s">
        <v>34</v>
      </c>
      <c r="B2" s="7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s="7" customFormat="1" ht="62" x14ac:dyDescent="0.35">
      <c r="A3" s="2" t="s">
        <v>122</v>
      </c>
      <c r="B3" s="7" t="s">
        <v>123</v>
      </c>
      <c r="C3" s="26" t="s">
        <v>68</v>
      </c>
      <c r="D3" s="26" t="s">
        <v>69</v>
      </c>
      <c r="E3" s="26" t="s">
        <v>124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75</v>
      </c>
      <c r="X3" s="7">
        <v>0</v>
      </c>
      <c r="Y3" s="7">
        <v>0</v>
      </c>
      <c r="Z3" s="7">
        <v>0</v>
      </c>
      <c r="AA3" s="7">
        <v>0</v>
      </c>
      <c r="AB3" s="7">
        <f t="shared" ref="AB3" si="0">SUM(F3:AA3)</f>
        <v>75</v>
      </c>
    </row>
    <row r="4" spans="1:28" x14ac:dyDescent="0.35">
      <c r="A4" t="s">
        <v>38</v>
      </c>
      <c r="B4" s="10" t="s">
        <v>81</v>
      </c>
      <c r="C4" s="10" t="s">
        <v>67</v>
      </c>
      <c r="D4" s="19"/>
      <c r="E4" s="19"/>
      <c r="F4" s="4">
        <f>SUBTOTAL(109,Fresno25[American Sign Language Total])</f>
        <v>0</v>
      </c>
      <c r="G4" s="4">
        <f>SUBTOTAL(109,Fresno25[Arabic Total])</f>
        <v>0</v>
      </c>
      <c r="H4" s="4">
        <f>SUBTOTAL(109,Fresno25[Armenian Total])</f>
        <v>0</v>
      </c>
      <c r="I4" s="4">
        <f>SUBTOTAL(109,Fresno25[Bengali Total])</f>
        <v>0</v>
      </c>
      <c r="J4" s="4">
        <f>SUBTOTAL(109,Fresno25[Chinese Total])</f>
        <v>0</v>
      </c>
      <c r="K4" s="4">
        <f>SUBTOTAL(109,Fresno25[Farsi (Persian) Total])</f>
        <v>0</v>
      </c>
      <c r="L4" s="4">
        <f>SUBTOTAL(109,Fresno25[French Total])</f>
        <v>0</v>
      </c>
      <c r="M4" s="4">
        <f>SUBTOTAL(109,Fresno25[German Total])</f>
        <v>0</v>
      </c>
      <c r="N4" s="4">
        <f>SUBTOTAL(109,Fresno25[Hebrew Total])</f>
        <v>0</v>
      </c>
      <c r="O4" s="4">
        <f>SUBTOTAL(109,Fresno25[Hindi Total])</f>
        <v>0</v>
      </c>
      <c r="P4" s="4">
        <f>SUBTOTAL(109,Fresno25[Hmong Total])</f>
        <v>0</v>
      </c>
      <c r="Q4" s="4">
        <f>SUBTOTAL(109,Fresno25[Italian Total])</f>
        <v>0</v>
      </c>
      <c r="R4" s="4">
        <f>SUBTOTAL(109,Fresno25[Japanese Total])</f>
        <v>0</v>
      </c>
      <c r="S4" s="4">
        <f>SUBTOTAL(109,Fresno25[Korean Total])</f>
        <v>0</v>
      </c>
      <c r="T4" s="4">
        <f>SUBTOTAL(109,Fresno25[Portuguese Total])</f>
        <v>0</v>
      </c>
      <c r="U4" s="4">
        <f>SUBTOTAL(109,Fresno25[Punjabi Total])</f>
        <v>0</v>
      </c>
      <c r="V4" s="4">
        <f>SUBTOTAL(109,Fresno25[Russian Total])</f>
        <v>0</v>
      </c>
      <c r="W4" s="4">
        <f>SUBTOTAL(109,Fresno25[Spanish Total])</f>
        <v>75</v>
      </c>
      <c r="X4" s="4">
        <f>SUBTOTAL(109,Fresno25[Tagalog (Filipino) Total])</f>
        <v>0</v>
      </c>
      <c r="Y4" s="4">
        <f>SUBTOTAL(109,Fresno25[Urdu Total])</f>
        <v>0</v>
      </c>
      <c r="Z4" s="4">
        <f>SUBTOTAL(109,Fresno25[Vietnamese Total])</f>
        <v>0</v>
      </c>
      <c r="AA4" s="4">
        <f>SUBTOTAL(109,Fresno25[Other Total])</f>
        <v>0</v>
      </c>
      <c r="AB4">
        <f>SUBTOTAL(109,Fresno25[Total Seals per LEA])</f>
        <v>75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4"/>
  <sheetViews>
    <sheetView zoomScaleNormal="100" workbookViewId="0">
      <pane xSplit="1" ySplit="2" topLeftCell="E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0.84375" customWidth="1"/>
    <col min="2" max="5" width="37.6914062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8" t="s">
        <v>8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ht="31" x14ac:dyDescent="0.35">
      <c r="A3" s="2" t="s">
        <v>125</v>
      </c>
      <c r="B3" s="2" t="s">
        <v>126</v>
      </c>
      <c r="C3" s="16" t="s">
        <v>126</v>
      </c>
      <c r="D3" s="16" t="s">
        <v>120</v>
      </c>
      <c r="E3" s="16" t="s">
        <v>79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175</v>
      </c>
      <c r="Y3" s="7">
        <v>0</v>
      </c>
      <c r="Z3" s="7">
        <v>0</v>
      </c>
      <c r="AA3" s="7">
        <v>0</v>
      </c>
      <c r="AB3" s="7">
        <f t="shared" ref="AB3" si="0">SUM(F3:AA3)</f>
        <v>175</v>
      </c>
    </row>
    <row r="4" spans="1:28" x14ac:dyDescent="0.35">
      <c r="A4" t="s">
        <v>38</v>
      </c>
      <c r="B4" s="10" t="s">
        <v>58</v>
      </c>
      <c r="C4" s="10" t="s">
        <v>58</v>
      </c>
      <c r="D4" s="19"/>
      <c r="E4" s="19"/>
      <c r="F4" s="4">
        <f>SUBTOTAL(109,Kern[American Sign Language Total])</f>
        <v>0</v>
      </c>
      <c r="G4" s="4">
        <f>SUBTOTAL(109,Kern[Arabic Total])</f>
        <v>0</v>
      </c>
      <c r="H4" s="4">
        <f>SUBTOTAL(109,Kern[Armenian Total])</f>
        <v>0</v>
      </c>
      <c r="I4" s="4">
        <f>SUBTOTAL(109,Kern[Bengali Total])</f>
        <v>0</v>
      </c>
      <c r="J4" s="4">
        <f>SUBTOTAL(109,Kern[Chinese Total])</f>
        <v>0</v>
      </c>
      <c r="K4" s="4">
        <f>SUBTOTAL(109,Kern[Farsi (Persian) Total])</f>
        <v>0</v>
      </c>
      <c r="L4" s="4">
        <f>SUBTOTAL(109,Kern[French Total])</f>
        <v>0</v>
      </c>
      <c r="M4" s="4">
        <f>SUBTOTAL(109,Kern[German Total])</f>
        <v>0</v>
      </c>
      <c r="N4" s="4">
        <f>SUBTOTAL(109,Kern[Hebrew Total])</f>
        <v>0</v>
      </c>
      <c r="O4" s="4">
        <f>SUBTOTAL(109,Kern[Hindi Total])</f>
        <v>0</v>
      </c>
      <c r="P4" s="4">
        <f>SUBTOTAL(109,Kern[Hmong Total])</f>
        <v>0</v>
      </c>
      <c r="Q4" s="4">
        <f>SUBTOTAL(109,Kern[Italian Total])</f>
        <v>0</v>
      </c>
      <c r="R4" s="4">
        <f>SUBTOTAL(109,Kern[Japanese Total])</f>
        <v>0</v>
      </c>
      <c r="S4" s="4">
        <f>SUBTOTAL(109,Kern[Korean Total])</f>
        <v>0</v>
      </c>
      <c r="T4" s="4">
        <f>SUBTOTAL(109,Kern[Portuguese Total])</f>
        <v>0</v>
      </c>
      <c r="U4" s="4">
        <f>SUBTOTAL(109,Kern[Punjabi Total])</f>
        <v>0</v>
      </c>
      <c r="V4" s="4">
        <f>SUBTOTAL(109,Kern[Russian Total])</f>
        <v>0</v>
      </c>
      <c r="W4" s="4">
        <f>SUBTOTAL(109,Kern[Spanish Total])</f>
        <v>0</v>
      </c>
      <c r="X4" s="4">
        <f>SUBTOTAL(109,Kern[Tagalog (Filipino) Total])</f>
        <v>175</v>
      </c>
      <c r="Y4" s="4">
        <f>SUBTOTAL(109,Kern[Urdu Total])</f>
        <v>0</v>
      </c>
      <c r="Z4" s="4">
        <f>SUBTOTAL(109,Kern[Vietnamese Total])</f>
        <v>0</v>
      </c>
      <c r="AA4" s="4">
        <f>SUBTOTAL(109,Kern[Other Total])</f>
        <v>0</v>
      </c>
      <c r="AB4" s="4">
        <f>SUBTOTAL(109,Kern[Total Seals per LEA])</f>
        <v>175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BBF56-D0D6-4FBD-89DA-182465395779}">
  <dimension ref="A1:AB4"/>
  <sheetViews>
    <sheetView workbookViewId="0"/>
  </sheetViews>
  <sheetFormatPr defaultRowHeight="15.5" x14ac:dyDescent="0.35"/>
  <cols>
    <col min="1" max="1" width="20.84375" customWidth="1"/>
    <col min="2" max="5" width="37.6914062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1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2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8" t="s">
        <v>127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ht="46.5" x14ac:dyDescent="0.35">
      <c r="A3" s="2" t="s">
        <v>128</v>
      </c>
      <c r="B3" s="2" t="s">
        <v>129</v>
      </c>
      <c r="C3" s="16"/>
      <c r="D3" s="16" t="s">
        <v>77</v>
      </c>
      <c r="E3" s="16" t="s">
        <v>130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1</v>
      </c>
      <c r="T3" s="7">
        <v>0</v>
      </c>
      <c r="U3" s="7">
        <v>1</v>
      </c>
      <c r="V3" s="7">
        <v>1</v>
      </c>
      <c r="W3" s="7">
        <v>65</v>
      </c>
      <c r="X3" s="7">
        <v>1</v>
      </c>
      <c r="Y3" s="7">
        <v>0</v>
      </c>
      <c r="Z3" s="7">
        <v>1</v>
      </c>
      <c r="AA3" s="7">
        <v>0</v>
      </c>
      <c r="AB3" s="7">
        <f t="shared" ref="AB3" si="0">SUM(F3:AA3)</f>
        <v>70</v>
      </c>
    </row>
    <row r="4" spans="1:28" x14ac:dyDescent="0.35">
      <c r="A4" t="s">
        <v>38</v>
      </c>
      <c r="B4" s="10" t="s">
        <v>41</v>
      </c>
      <c r="C4" s="10" t="s">
        <v>67</v>
      </c>
      <c r="D4" s="19"/>
      <c r="E4" s="19"/>
      <c r="F4" s="4">
        <f>SUBTOTAL(109,Kern7[American Sign Language Total])</f>
        <v>0</v>
      </c>
      <c r="G4" s="4">
        <f>SUBTOTAL(109,Kern7[Arabic Total])</f>
        <v>0</v>
      </c>
      <c r="H4" s="4">
        <f>SUBTOTAL(109,Kern7[Armenian Total])</f>
        <v>0</v>
      </c>
      <c r="I4" s="4">
        <f>SUBTOTAL(109,Kern7[Bengali Total])</f>
        <v>0</v>
      </c>
      <c r="J4" s="4">
        <f>SUBTOTAL(109,Kern7[Chinese Total])</f>
        <v>0</v>
      </c>
      <c r="K4" s="4">
        <f>SUBTOTAL(109,Kern7[Farsi (Persian) Total])</f>
        <v>0</v>
      </c>
      <c r="L4" s="4">
        <f>SUBTOTAL(109,Kern7[French Total])</f>
        <v>0</v>
      </c>
      <c r="M4" s="4">
        <f>SUBTOTAL(109,Kern7[German Total])</f>
        <v>0</v>
      </c>
      <c r="N4" s="4">
        <f>SUBTOTAL(109,Kern7[Hebrew Total])</f>
        <v>0</v>
      </c>
      <c r="O4" s="4">
        <f>SUBTOTAL(109,Kern7[Hindi Total])</f>
        <v>0</v>
      </c>
      <c r="P4" s="4">
        <f>SUBTOTAL(109,Kern7[Hmong Total])</f>
        <v>0</v>
      </c>
      <c r="Q4" s="4">
        <f>SUBTOTAL(109,Kern7[Italian Total])</f>
        <v>0</v>
      </c>
      <c r="R4" s="4">
        <f>SUBTOTAL(109,Kern7[Japanese Total])</f>
        <v>0</v>
      </c>
      <c r="S4" s="4">
        <f>SUBTOTAL(109,Kern7[Korean Total])</f>
        <v>1</v>
      </c>
      <c r="T4" s="4">
        <f>SUBTOTAL(109,Kern7[Portuguese Total])</f>
        <v>0</v>
      </c>
      <c r="U4" s="4">
        <f>SUBTOTAL(109,Kern7[Punjabi Total])</f>
        <v>1</v>
      </c>
      <c r="V4" s="4">
        <f>SUBTOTAL(109,Kern7[Russian Total])</f>
        <v>1</v>
      </c>
      <c r="W4" s="4">
        <f>SUBTOTAL(109,Kern7[Spanish Total])</f>
        <v>65</v>
      </c>
      <c r="X4" s="4">
        <f>SUBTOTAL(109,Kern7[Tagalog (Filipino) Total])</f>
        <v>1</v>
      </c>
      <c r="Y4" s="4">
        <f>SUBTOTAL(109,Kern7[Urdu Total])</f>
        <v>0</v>
      </c>
      <c r="Z4" s="4">
        <f>SUBTOTAL(109,Kern7[Vietnamese Total])</f>
        <v>1</v>
      </c>
      <c r="AA4" s="4">
        <f>SUBTOTAL(109,Kern7[Other Total])</f>
        <v>0</v>
      </c>
      <c r="AB4" s="4">
        <f>SUBTOTAL(109,Kern7[Total Seals per LEA])</f>
        <v>70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13"/>
  <sheetViews>
    <sheetView zoomScaleNormal="100" workbookViewId="0">
      <pane xSplit="1" ySplit="2" topLeftCell="B5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2.07421875" style="6" customWidth="1"/>
    <col min="2" max="2" width="58.3046875" style="6" customWidth="1"/>
    <col min="3" max="3" width="39.765625" style="6" customWidth="1"/>
    <col min="4" max="5" width="38.3046875" style="6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1.07421875" bestFit="1" customWidth="1"/>
    <col min="19" max="19" width="9.07421875" bestFit="1" customWidth="1"/>
    <col min="20" max="20" width="12.84375" bestFit="1" customWidth="1"/>
    <col min="21" max="21" width="9.53515625" bestFit="1" customWidth="1"/>
    <col min="22" max="22" width="9.84375" bestFit="1" customWidth="1"/>
    <col min="23" max="23" width="10" bestFit="1" customWidth="1"/>
    <col min="24" max="24" width="10.765625" bestFit="1" customWidth="1"/>
    <col min="25" max="25" width="7.23046875" bestFit="1" customWidth="1"/>
    <col min="26" max="26" width="11.84375" bestFit="1" customWidth="1"/>
    <col min="27" max="27" width="7.69140625" bestFit="1" customWidth="1"/>
    <col min="28" max="28" width="10.84375" bestFit="1" customWidth="1"/>
  </cols>
  <sheetData>
    <row r="1" spans="1:28" ht="18.5" thickBot="1" x14ac:dyDescent="0.45">
      <c r="A1" s="12" t="s">
        <v>1</v>
      </c>
    </row>
    <row r="2" spans="1:28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50</v>
      </c>
      <c r="U2" s="2" t="s">
        <v>56</v>
      </c>
      <c r="V2" s="2" t="s">
        <v>51</v>
      </c>
      <c r="W2" s="2" t="s">
        <v>25</v>
      </c>
      <c r="X2" s="2" t="s">
        <v>46</v>
      </c>
      <c r="Y2" s="2" t="s">
        <v>57</v>
      </c>
      <c r="Z2" s="2" t="s">
        <v>26</v>
      </c>
      <c r="AA2" s="2" t="s">
        <v>27</v>
      </c>
      <c r="AB2" s="2" t="s">
        <v>52</v>
      </c>
    </row>
    <row r="3" spans="1:28" ht="31" x14ac:dyDescent="0.35">
      <c r="A3" s="2" t="s">
        <v>131</v>
      </c>
      <c r="B3" s="2" t="s">
        <v>136</v>
      </c>
      <c r="C3" s="2" t="s">
        <v>136</v>
      </c>
      <c r="D3" s="2" t="s">
        <v>69</v>
      </c>
      <c r="E3" s="16" t="s">
        <v>188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40</v>
      </c>
      <c r="X3" s="7">
        <v>0</v>
      </c>
      <c r="Y3" s="7">
        <v>0</v>
      </c>
      <c r="Z3" s="7">
        <v>0</v>
      </c>
      <c r="AA3" s="7">
        <v>0</v>
      </c>
      <c r="AB3" s="7">
        <f t="shared" ref="AB3:AB12" si="0">SUM(F3:AA3)</f>
        <v>40</v>
      </c>
    </row>
    <row r="4" spans="1:28" ht="31" x14ac:dyDescent="0.35">
      <c r="A4" s="2" t="s">
        <v>76</v>
      </c>
      <c r="B4" s="2" t="s">
        <v>274</v>
      </c>
      <c r="C4" s="2" t="s">
        <v>68</v>
      </c>
      <c r="D4" s="2" t="s">
        <v>69</v>
      </c>
      <c r="E4" s="2" t="s">
        <v>250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70</v>
      </c>
      <c r="X4" s="7">
        <v>0</v>
      </c>
      <c r="Y4" s="7">
        <v>0</v>
      </c>
      <c r="Z4" s="7">
        <v>0</v>
      </c>
      <c r="AA4" s="7">
        <v>0</v>
      </c>
      <c r="AB4" s="7">
        <f t="shared" si="0"/>
        <v>70</v>
      </c>
    </row>
    <row r="5" spans="1:28" ht="31" x14ac:dyDescent="0.35">
      <c r="A5" s="2" t="s">
        <v>70</v>
      </c>
      <c r="B5" s="2" t="s">
        <v>137</v>
      </c>
      <c r="C5" s="2" t="s">
        <v>138</v>
      </c>
      <c r="D5" s="2" t="s">
        <v>69</v>
      </c>
      <c r="E5" s="2" t="s">
        <v>188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189</v>
      </c>
      <c r="X5" s="7">
        <v>0</v>
      </c>
      <c r="Y5" s="7">
        <v>0</v>
      </c>
      <c r="Z5" s="7">
        <v>0</v>
      </c>
      <c r="AA5" s="7">
        <v>0</v>
      </c>
      <c r="AB5" s="7">
        <f t="shared" si="0"/>
        <v>189</v>
      </c>
    </row>
    <row r="6" spans="1:28" ht="31" x14ac:dyDescent="0.35">
      <c r="A6" s="2" t="s">
        <v>139</v>
      </c>
      <c r="B6" s="2" t="s">
        <v>75</v>
      </c>
      <c r="C6" s="2" t="s">
        <v>75</v>
      </c>
      <c r="D6" s="2" t="s">
        <v>69</v>
      </c>
      <c r="E6" s="2" t="s">
        <v>66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152</v>
      </c>
      <c r="X6" s="7">
        <v>0</v>
      </c>
      <c r="Y6" s="7">
        <v>0</v>
      </c>
      <c r="Z6" s="7">
        <v>0</v>
      </c>
      <c r="AA6" s="7">
        <v>0</v>
      </c>
      <c r="AB6" s="7">
        <f t="shared" si="0"/>
        <v>152</v>
      </c>
    </row>
    <row r="7" spans="1:28" ht="409.5" x14ac:dyDescent="0.35">
      <c r="A7" s="2" t="s">
        <v>71</v>
      </c>
      <c r="B7" s="2" t="s">
        <v>278</v>
      </c>
      <c r="C7" s="2" t="s">
        <v>277</v>
      </c>
      <c r="D7" s="2" t="s">
        <v>140</v>
      </c>
      <c r="E7" s="2" t="s">
        <v>248</v>
      </c>
      <c r="F7" s="7">
        <v>2</v>
      </c>
      <c r="G7" s="7">
        <v>20</v>
      </c>
      <c r="H7" s="7">
        <v>154</v>
      </c>
      <c r="I7" s="7">
        <v>3</v>
      </c>
      <c r="J7" s="7">
        <v>533</v>
      </c>
      <c r="K7" s="7">
        <v>8</v>
      </c>
      <c r="L7" s="7">
        <v>193</v>
      </c>
      <c r="M7" s="7">
        <v>2</v>
      </c>
      <c r="N7" s="7">
        <v>10</v>
      </c>
      <c r="O7" s="7">
        <v>4</v>
      </c>
      <c r="P7" s="7">
        <v>0</v>
      </c>
      <c r="Q7" s="7">
        <v>1</v>
      </c>
      <c r="R7" s="7">
        <v>23</v>
      </c>
      <c r="S7" s="7">
        <v>214</v>
      </c>
      <c r="T7" s="7">
        <v>6</v>
      </c>
      <c r="U7" s="7">
        <v>4</v>
      </c>
      <c r="V7" s="7">
        <v>21</v>
      </c>
      <c r="W7" s="7">
        <v>5444</v>
      </c>
      <c r="X7" s="7">
        <v>10</v>
      </c>
      <c r="Y7" s="7">
        <v>1</v>
      </c>
      <c r="Z7" s="7">
        <v>3</v>
      </c>
      <c r="AA7" s="7">
        <v>22</v>
      </c>
      <c r="AB7" s="7">
        <f t="shared" si="0"/>
        <v>6678</v>
      </c>
    </row>
    <row r="8" spans="1:28" ht="62" x14ac:dyDescent="0.35">
      <c r="A8" s="2" t="s">
        <v>132</v>
      </c>
      <c r="B8" s="2" t="s">
        <v>73</v>
      </c>
      <c r="C8" s="2" t="s">
        <v>101</v>
      </c>
      <c r="D8" s="2" t="s">
        <v>80</v>
      </c>
      <c r="E8" s="2" t="s">
        <v>78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500</v>
      </c>
      <c r="X8" s="7">
        <v>0</v>
      </c>
      <c r="Y8" s="7">
        <v>0</v>
      </c>
      <c r="Z8" s="7">
        <v>0</v>
      </c>
      <c r="AA8" s="7">
        <v>0</v>
      </c>
      <c r="AB8" s="7">
        <f t="shared" si="0"/>
        <v>500</v>
      </c>
    </row>
    <row r="9" spans="1:28" ht="62" x14ac:dyDescent="0.35">
      <c r="A9" s="2" t="s">
        <v>133</v>
      </c>
      <c r="B9" s="6" t="s">
        <v>141</v>
      </c>
      <c r="C9" s="6" t="s">
        <v>142</v>
      </c>
      <c r="D9" s="2" t="s">
        <v>69</v>
      </c>
      <c r="E9" s="2" t="s">
        <v>116</v>
      </c>
      <c r="F9" s="7">
        <v>0</v>
      </c>
      <c r="G9" s="7">
        <v>0</v>
      </c>
      <c r="H9" s="7">
        <v>0</v>
      </c>
      <c r="I9" s="9">
        <v>0</v>
      </c>
      <c r="J9" s="9">
        <v>0</v>
      </c>
      <c r="K9" s="9">
        <v>0</v>
      </c>
      <c r="L9" s="7">
        <v>0</v>
      </c>
      <c r="M9" s="7">
        <v>0</v>
      </c>
      <c r="N9" s="9">
        <v>0</v>
      </c>
      <c r="O9" s="9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9">
        <v>0</v>
      </c>
      <c r="V9" s="9">
        <v>0</v>
      </c>
      <c r="W9" s="7">
        <v>200</v>
      </c>
      <c r="X9" s="7">
        <v>0</v>
      </c>
      <c r="Y9" s="9">
        <v>0</v>
      </c>
      <c r="Z9" s="7">
        <v>0</v>
      </c>
      <c r="AA9" s="7">
        <v>0</v>
      </c>
      <c r="AB9" s="7">
        <f>SUM(F9:AA9)</f>
        <v>200</v>
      </c>
    </row>
    <row r="10" spans="1:28" ht="31" x14ac:dyDescent="0.35">
      <c r="A10" s="2" t="s">
        <v>72</v>
      </c>
      <c r="B10" s="2" t="s">
        <v>74</v>
      </c>
      <c r="C10" s="2" t="s">
        <v>74</v>
      </c>
      <c r="D10" s="2" t="s">
        <v>69</v>
      </c>
      <c r="E10" s="2" t="s">
        <v>66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119</v>
      </c>
      <c r="X10" s="7">
        <v>0</v>
      </c>
      <c r="Y10" s="7">
        <v>0</v>
      </c>
      <c r="Z10" s="7">
        <v>0</v>
      </c>
      <c r="AA10" s="7">
        <v>0</v>
      </c>
      <c r="AB10" s="7">
        <f t="shared" si="0"/>
        <v>119</v>
      </c>
    </row>
    <row r="11" spans="1:28" ht="46.5" x14ac:dyDescent="0.35">
      <c r="A11" s="2" t="s">
        <v>134</v>
      </c>
      <c r="B11" s="2" t="s">
        <v>143</v>
      </c>
      <c r="C11" s="2"/>
      <c r="D11" s="2" t="s">
        <v>144</v>
      </c>
      <c r="E11" s="2" t="s">
        <v>66</v>
      </c>
      <c r="F11" s="7">
        <v>0</v>
      </c>
      <c r="G11" s="7">
        <v>0</v>
      </c>
      <c r="H11" s="7">
        <v>0</v>
      </c>
      <c r="I11" s="7">
        <v>0</v>
      </c>
      <c r="J11" s="7">
        <v>100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1</v>
      </c>
      <c r="T11" s="7">
        <v>0</v>
      </c>
      <c r="U11" s="7">
        <v>0</v>
      </c>
      <c r="V11" s="7">
        <v>0</v>
      </c>
      <c r="W11" s="7">
        <v>100</v>
      </c>
      <c r="X11" s="7">
        <v>0</v>
      </c>
      <c r="Y11" s="7">
        <v>0</v>
      </c>
      <c r="Z11" s="7">
        <v>0</v>
      </c>
      <c r="AA11" s="7">
        <v>0</v>
      </c>
      <c r="AB11" s="7">
        <f t="shared" si="0"/>
        <v>201</v>
      </c>
    </row>
    <row r="12" spans="1:28" ht="31" x14ac:dyDescent="0.35">
      <c r="A12" s="2" t="s">
        <v>135</v>
      </c>
      <c r="B12" s="2" t="s">
        <v>145</v>
      </c>
      <c r="C12" s="2"/>
      <c r="D12" s="2" t="s">
        <v>69</v>
      </c>
      <c r="E12" s="2" t="s">
        <v>188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28</v>
      </c>
      <c r="X12" s="7">
        <v>0</v>
      </c>
      <c r="Y12" s="7">
        <v>0</v>
      </c>
      <c r="Z12" s="7">
        <v>0</v>
      </c>
      <c r="AA12" s="7">
        <v>0</v>
      </c>
      <c r="AB12" s="7">
        <f t="shared" si="0"/>
        <v>28</v>
      </c>
    </row>
    <row r="13" spans="1:28" x14ac:dyDescent="0.35">
      <c r="A13" s="6" t="s">
        <v>148</v>
      </c>
      <c r="B13" s="11" t="s">
        <v>276</v>
      </c>
      <c r="C13" s="11" t="s">
        <v>149</v>
      </c>
      <c r="D13" s="20"/>
      <c r="E13" s="20"/>
      <c r="F13" s="4">
        <f>SUBTOTAL(109,LosAngeles[American Sign Language Total])</f>
        <v>2</v>
      </c>
      <c r="G13" s="4">
        <f>SUBTOTAL(109,LosAngeles[Arabic Total])</f>
        <v>20</v>
      </c>
      <c r="H13" s="4">
        <f>SUBTOTAL(109,LosAngeles[Armenian Total])</f>
        <v>154</v>
      </c>
      <c r="I13" s="4">
        <f>SUBTOTAL(109,LosAngeles[Bengali Total])</f>
        <v>3</v>
      </c>
      <c r="J13" s="4">
        <f>SUBTOTAL(109,LosAngeles[Chinese Total])</f>
        <v>633</v>
      </c>
      <c r="K13" s="4">
        <f>SUBTOTAL(109,LosAngeles[Farsi (Persian) Total])</f>
        <v>8</v>
      </c>
      <c r="L13" s="4">
        <f>SUBTOTAL(109,LosAngeles[French Total])</f>
        <v>193</v>
      </c>
      <c r="M13" s="4">
        <f>SUBTOTAL(109,LosAngeles[German Total])</f>
        <v>2</v>
      </c>
      <c r="N13" s="4">
        <f>SUBTOTAL(109,LosAngeles[Hebrew Total])</f>
        <v>10</v>
      </c>
      <c r="O13" s="4">
        <f>SUBTOTAL(109,LosAngeles[Hindi Total])</f>
        <v>4</v>
      </c>
      <c r="P13" s="4">
        <f>SUBTOTAL(109,LosAngeles[Hmong Total])</f>
        <v>0</v>
      </c>
      <c r="Q13" s="4">
        <f>SUBTOTAL(109,LosAngeles[Italian Total])</f>
        <v>1</v>
      </c>
      <c r="R13" s="4">
        <f>SUBTOTAL(109,LosAngeles[Japanese Total])</f>
        <v>23</v>
      </c>
      <c r="S13" s="4">
        <f>SUBTOTAL(109,LosAngeles[Korean Total])</f>
        <v>215</v>
      </c>
      <c r="T13" s="4">
        <f>SUBTOTAL(109,LosAngeles[Portuguese Total])</f>
        <v>6</v>
      </c>
      <c r="U13" s="4">
        <f>SUBTOTAL(109,LosAngeles[Punjabi Total])</f>
        <v>4</v>
      </c>
      <c r="V13" s="4">
        <f>SUBTOTAL(109,LosAngeles[Russian Total])</f>
        <v>21</v>
      </c>
      <c r="W13" s="4">
        <f>SUBTOTAL(109,LosAngeles[Spanish Total])</f>
        <v>6842</v>
      </c>
      <c r="X13" s="4">
        <f>SUBTOTAL(109,LosAngeles[Tagalog (Filipino) Total])</f>
        <v>10</v>
      </c>
      <c r="Y13" s="4">
        <f>SUBTOTAL(109,LosAngeles[Urdu Total])</f>
        <v>1</v>
      </c>
      <c r="Z13" s="4">
        <f>SUBTOTAL(109,LosAngeles[Vietnamese Total])</f>
        <v>3</v>
      </c>
      <c r="AA13" s="4">
        <f>SUBTOTAL(109,LosAngeles[Other Total])</f>
        <v>22</v>
      </c>
      <c r="AB13" s="4">
        <f>SUBTOTAL(109,LosAngeles[Total Seals per LEA])</f>
        <v>8177</v>
      </c>
    </row>
  </sheetData>
  <sortState xmlns:xlrd2="http://schemas.microsoft.com/office/spreadsheetml/2017/richdata2" ref="A2:BH38">
    <sortCondition ref="A2:A38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C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6.69140625" bestFit="1" customWidth="1"/>
    <col min="2" max="2" width="30.4609375" bestFit="1" customWidth="1"/>
    <col min="3" max="5" width="30.4609375" customWidth="1"/>
    <col min="6" max="6" width="16.69140625" bestFit="1" customWidth="1"/>
    <col min="7" max="7" width="8.4609375" bestFit="1" customWidth="1"/>
    <col min="8" max="8" width="11.23046875" bestFit="1" customWidth="1"/>
    <col min="9" max="9" width="9.4609375" bestFit="1" customWidth="1"/>
    <col min="10" max="10" width="9.84375" bestFit="1" customWidth="1"/>
    <col min="11" max="11" width="10.69140625" bestFit="1" customWidth="1"/>
    <col min="12" max="12" width="8.84375" bestFit="1" customWidth="1"/>
    <col min="13" max="13" width="9.69140625" bestFit="1" customWidth="1"/>
    <col min="14" max="14" width="9.3046875" bestFit="1" customWidth="1"/>
    <col min="15" max="15" width="7.4609375" bestFit="1" customWidth="1"/>
    <col min="16" max="16" width="9.07421875" bestFit="1" customWidth="1"/>
    <col min="17" max="17" width="8.07421875" bestFit="1" customWidth="1"/>
    <col min="18" max="18" width="10.07421875" bestFit="1" customWidth="1"/>
    <col min="19" max="19" width="9.07421875" bestFit="1" customWidth="1"/>
    <col min="20" max="20" width="7.23046875" bestFit="1" customWidth="1"/>
    <col min="21" max="21" width="11.84375" bestFit="1" customWidth="1"/>
    <col min="22" max="22" width="9.53515625" bestFit="1" customWidth="1"/>
    <col min="23" max="23" width="9.84375" bestFit="1" customWidth="1"/>
    <col min="24" max="24" width="10" bestFit="1" customWidth="1"/>
    <col min="25" max="25" width="10.765625" bestFit="1" customWidth="1"/>
    <col min="26" max="26" width="7.23046875" bestFit="1" customWidth="1"/>
    <col min="27" max="27" width="11.84375" bestFit="1" customWidth="1"/>
    <col min="28" max="28" width="7.69140625" bestFit="1" customWidth="1"/>
    <col min="29" max="29" width="10.84375" bestFit="1" customWidth="1"/>
  </cols>
  <sheetData>
    <row r="1" spans="1:29" ht="18.5" thickBot="1" x14ac:dyDescent="0.45">
      <c r="A1" s="12" t="s">
        <v>146</v>
      </c>
    </row>
    <row r="2" spans="1:29" ht="47" thickTop="1" x14ac:dyDescent="0.35">
      <c r="A2" s="2" t="s">
        <v>34</v>
      </c>
      <c r="B2" s="2" t="s">
        <v>35</v>
      </c>
      <c r="C2" s="7" t="s">
        <v>60</v>
      </c>
      <c r="D2" s="7" t="s">
        <v>62</v>
      </c>
      <c r="E2" s="2" t="s">
        <v>65</v>
      </c>
      <c r="F2" s="2" t="s">
        <v>19</v>
      </c>
      <c r="G2" s="2" t="s">
        <v>30</v>
      </c>
      <c r="H2" s="2" t="s">
        <v>49</v>
      </c>
      <c r="I2" s="2" t="s">
        <v>53</v>
      </c>
      <c r="J2" s="2" t="s">
        <v>47</v>
      </c>
      <c r="K2" s="2" t="s">
        <v>54</v>
      </c>
      <c r="L2" s="2" t="s">
        <v>20</v>
      </c>
      <c r="M2" s="2" t="s">
        <v>21</v>
      </c>
      <c r="N2" s="2" t="s">
        <v>48</v>
      </c>
      <c r="O2" s="2" t="s">
        <v>55</v>
      </c>
      <c r="P2" s="2" t="s">
        <v>36</v>
      </c>
      <c r="Q2" s="2" t="s">
        <v>31</v>
      </c>
      <c r="R2" s="2" t="s">
        <v>37</v>
      </c>
      <c r="S2" s="2" t="s">
        <v>23</v>
      </c>
      <c r="T2" s="2" t="s">
        <v>24</v>
      </c>
      <c r="U2" s="2" t="s">
        <v>50</v>
      </c>
      <c r="V2" s="2" t="s">
        <v>56</v>
      </c>
      <c r="W2" s="2" t="s">
        <v>51</v>
      </c>
      <c r="X2" s="2" t="s">
        <v>25</v>
      </c>
      <c r="Y2" s="2" t="s">
        <v>46</v>
      </c>
      <c r="Z2" s="2" t="s">
        <v>57</v>
      </c>
      <c r="AA2" s="2" t="s">
        <v>26</v>
      </c>
      <c r="AB2" s="2" t="s">
        <v>27</v>
      </c>
      <c r="AC2" s="2" t="s">
        <v>52</v>
      </c>
    </row>
    <row r="3" spans="1:29" ht="46.5" x14ac:dyDescent="0.35">
      <c r="A3" t="s">
        <v>147</v>
      </c>
      <c r="B3" s="6" t="s">
        <v>150</v>
      </c>
      <c r="C3" s="6" t="s">
        <v>150</v>
      </c>
      <c r="D3" s="2" t="s">
        <v>69</v>
      </c>
      <c r="E3" s="2" t="s">
        <v>66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229</v>
      </c>
      <c r="Y3" s="7">
        <v>0</v>
      </c>
      <c r="Z3" s="7">
        <v>0</v>
      </c>
      <c r="AA3" s="7">
        <v>0</v>
      </c>
      <c r="AB3" s="7">
        <v>0</v>
      </c>
      <c r="AC3" s="7">
        <f t="shared" ref="AC3" si="0">SUM(F3:AB3)</f>
        <v>229</v>
      </c>
    </row>
    <row r="4" spans="1:29" x14ac:dyDescent="0.35">
      <c r="A4" s="7" t="s">
        <v>38</v>
      </c>
      <c r="B4" s="13" t="s">
        <v>58</v>
      </c>
      <c r="C4" s="13" t="s">
        <v>58</v>
      </c>
      <c r="D4" s="21"/>
      <c r="E4" s="21"/>
      <c r="F4" s="7">
        <f>SUBTOTAL(109,Monterey[American Sign Language Total])</f>
        <v>0</v>
      </c>
      <c r="G4" s="7">
        <f>SUBTOTAL(109,Monterey[Arabic Total])</f>
        <v>0</v>
      </c>
      <c r="H4" s="7">
        <f>SUBTOTAL(109,Monterey[Armenian Total])</f>
        <v>0</v>
      </c>
      <c r="I4" s="7">
        <f>SUBTOTAL(109,Monterey[Bengali Total])</f>
        <v>0</v>
      </c>
      <c r="J4" s="7">
        <f>SUBTOTAL(109,Monterey[Chinese Total])</f>
        <v>0</v>
      </c>
      <c r="K4" s="7">
        <f>SUBTOTAL(109,Monterey[Farsi (Persian) Total])</f>
        <v>0</v>
      </c>
      <c r="L4" s="7">
        <f>SUBTOTAL(109,Monterey[French Total])</f>
        <v>0</v>
      </c>
      <c r="M4" s="7">
        <f>SUBTOTAL(109,Monterey[German Total])</f>
        <v>0</v>
      </c>
      <c r="N4" s="7">
        <f>SUBTOTAL(109,Monterey[Hebrew Total])</f>
        <v>0</v>
      </c>
      <c r="O4" s="7">
        <f>SUBTOTAL(109,Monterey[Hindi Total])</f>
        <v>0</v>
      </c>
      <c r="P4" s="7">
        <f>SUBTOTAL(109,Monterey[Hmong Total])</f>
        <v>0</v>
      </c>
      <c r="Q4" s="7">
        <f>SUBTOTAL(109,Monterey[Italian Total])</f>
        <v>0</v>
      </c>
      <c r="R4" s="7">
        <f>SUBTOTAL(109,Monterey[Japanese Total])</f>
        <v>0</v>
      </c>
      <c r="S4" s="7">
        <f>SUBTOTAL(109,Monterey[Korean Total])</f>
        <v>0</v>
      </c>
      <c r="T4" s="7">
        <f>SUBTOTAL(109,Monterey[Latin Total])</f>
        <v>0</v>
      </c>
      <c r="U4" s="7">
        <f>SUBTOTAL(109,Monterey[Portuguese Total])</f>
        <v>0</v>
      </c>
      <c r="V4" s="7">
        <f>SUBTOTAL(109,Monterey[Punjabi Total])</f>
        <v>0</v>
      </c>
      <c r="W4" s="7">
        <f>SUBTOTAL(109,Monterey[Russian Total])</f>
        <v>0</v>
      </c>
      <c r="X4" s="7">
        <f>SUBTOTAL(109,Monterey[Spanish Total])</f>
        <v>229</v>
      </c>
      <c r="Y4" s="7">
        <f>SUBTOTAL(109,Monterey[Tagalog (Filipino) Total])</f>
        <v>0</v>
      </c>
      <c r="Z4" s="7">
        <f>SUBTOTAL(109,Monterey[Urdu Total])</f>
        <v>0</v>
      </c>
      <c r="AA4" s="7">
        <f>SUBTOTAL(109,Monterey[Vietnamese Total])</f>
        <v>0</v>
      </c>
      <c r="AB4" s="7">
        <f>SUBTOTAL(109,Monterey[Other Total])</f>
        <v>0</v>
      </c>
      <c r="AC4" s="7">
        <f>SUBTOTAL(109,Monterey[Total Seals per LEA])</f>
        <v>229</v>
      </c>
    </row>
  </sheetData>
  <conditionalFormatting sqref="A1:E2">
    <cfRule type="duplicateValues" dxfId="2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</vt:i4>
      </vt:variant>
    </vt:vector>
  </HeadingPairs>
  <TitlesOfParts>
    <vt:vector size="27" baseType="lpstr">
      <vt:lpstr>County Totals</vt:lpstr>
      <vt:lpstr>Alameda</vt:lpstr>
      <vt:lpstr>Contra Costa</vt:lpstr>
      <vt:lpstr>Glenn</vt:lpstr>
      <vt:lpstr>Imperial</vt:lpstr>
      <vt:lpstr>Kern</vt:lpstr>
      <vt:lpstr>Lake</vt:lpstr>
      <vt:lpstr>Los Angeles</vt:lpstr>
      <vt:lpstr>Madera</vt:lpstr>
      <vt:lpstr>Orange</vt:lpstr>
      <vt:lpstr>Placer</vt:lpstr>
      <vt:lpstr>Riverside</vt:lpstr>
      <vt:lpstr>Sacramento</vt:lpstr>
      <vt:lpstr>San Bernardino</vt:lpstr>
      <vt:lpstr>San Diego</vt:lpstr>
      <vt:lpstr>San Joaquin</vt:lpstr>
      <vt:lpstr>San Mateo</vt:lpstr>
      <vt:lpstr>Santa Barbara</vt:lpstr>
      <vt:lpstr>Santa Clara</vt:lpstr>
      <vt:lpstr>Santa Cruz</vt:lpstr>
      <vt:lpstr>Shasta</vt:lpstr>
      <vt:lpstr>Ventura</vt:lpstr>
      <vt:lpstr>Yolo</vt:lpstr>
      <vt:lpstr>'Contra Costa'!Alameda</vt:lpstr>
      <vt:lpstr>Alameda</vt:lpstr>
      <vt:lpstr>'Contra Costa'!TableAlameda</vt:lpstr>
      <vt:lpstr>TableAlameda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Biliteracy Participation 2022-23 - Multilingual Learners (Dept of Education)</dc:title>
  <dc:subject>This spreadsheet provides county, district, and school participation information and language totals for the 2022-23 California State Biliteracy Pathway Recognitions program.</dc:subject>
  <dc:creator>Niki Niknia</dc:creator>
  <cp:lastModifiedBy>Annie Abreu Park</cp:lastModifiedBy>
  <dcterms:created xsi:type="dcterms:W3CDTF">2019-08-12T22:55:56Z</dcterms:created>
  <dcterms:modified xsi:type="dcterms:W3CDTF">2024-06-06T16:55:34Z</dcterms:modified>
</cp:coreProperties>
</file>