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13_ncr:1_{BDDBB1D8-C96B-4004-AFB8-3CA9355B9974}" xr6:coauthVersionLast="47" xr6:coauthVersionMax="47" xr10:uidLastSave="{00000000-0000-0000-0000-000000000000}"/>
  <bookViews>
    <workbookView xWindow="29925" yWindow="210" windowWidth="25455" windowHeight="14340" tabRatio="856" xr2:uid="{00000000-000D-0000-FFFF-FFFF00000000}"/>
  </bookViews>
  <sheets>
    <sheet name="County Totals" sheetId="65" r:id="rId1"/>
    <sheet name="Alameda" sheetId="13" r:id="rId2"/>
    <sheet name="Contra Costa" sheetId="94" r:id="rId3"/>
    <sheet name="El Dorado" sheetId="103" r:id="rId4"/>
    <sheet name="Glenn" sheetId="95" r:id="rId5"/>
    <sheet name="Kern" sheetId="25" r:id="rId6"/>
    <sheet name="Los Angeles" sheetId="29" r:id="rId7"/>
    <sheet name="Merced" sheetId="35" r:id="rId8"/>
    <sheet name="Monterey" sheetId="104" r:id="rId9"/>
    <sheet name="Nevada" sheetId="105" r:id="rId10"/>
    <sheet name="Orange" sheetId="38" r:id="rId11"/>
    <sheet name="Riverside" sheetId="70" r:id="rId12"/>
    <sheet name="Sacramento" sheetId="71" r:id="rId13"/>
    <sheet name="San Bernardino" sheetId="73" r:id="rId14"/>
    <sheet name="San Diego" sheetId="74" r:id="rId15"/>
    <sheet name="San Francisco" sheetId="106" r:id="rId16"/>
    <sheet name="San Joaquin" sheetId="99" r:id="rId17"/>
    <sheet name="San Luis Obispo" sheetId="107" r:id="rId18"/>
    <sheet name="San Mateo" sheetId="100" r:id="rId19"/>
    <sheet name="Santa Barbara" sheetId="79" r:id="rId20"/>
    <sheet name="Santa Clara" sheetId="80" r:id="rId21"/>
    <sheet name="Shasta" sheetId="102" r:id="rId22"/>
    <sheet name="Sonoma" sheetId="108" r:id="rId23"/>
    <sheet name="Stanislaus" sheetId="109" r:id="rId24"/>
    <sheet name="Tehama" sheetId="110" r:id="rId25"/>
    <sheet name="Tulare" sheetId="111" r:id="rId26"/>
    <sheet name="Yolo" sheetId="92" r:id="rId27"/>
  </sheets>
  <definedNames>
    <definedName name="Alameda" localSheetId="2">Table26[]</definedName>
    <definedName name="Alameda">Table2[]</definedName>
    <definedName name="Placer">#REF!</definedName>
    <definedName name="TableAlameda" localSheetId="2">Table26[]</definedName>
    <definedName name="TableAlameda">Table2[]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 i="29" l="1"/>
  <c r="AB3" i="94"/>
  <c r="AB4" i="94"/>
  <c r="AB5" i="94"/>
  <c r="AB6" i="71"/>
  <c r="Y29" i="65"/>
  <c r="X29" i="65"/>
  <c r="W29" i="65"/>
  <c r="V29" i="65"/>
  <c r="U29" i="65"/>
  <c r="T29" i="65"/>
  <c r="S29" i="65"/>
  <c r="R29" i="65"/>
  <c r="Q29" i="65"/>
  <c r="P29" i="65"/>
  <c r="O29" i="65"/>
  <c r="N29" i="65"/>
  <c r="M29" i="65"/>
  <c r="L29" i="65"/>
  <c r="K29" i="65"/>
  <c r="J29" i="65"/>
  <c r="I29" i="65"/>
  <c r="H29" i="65"/>
  <c r="G29" i="65"/>
  <c r="F29" i="65"/>
  <c r="E29" i="65"/>
  <c r="D29" i="65"/>
  <c r="AB3" i="111"/>
  <c r="Y28" i="65"/>
  <c r="X28" i="65"/>
  <c r="W28" i="65"/>
  <c r="V28" i="65"/>
  <c r="U28" i="65"/>
  <c r="T28" i="65"/>
  <c r="S28" i="65"/>
  <c r="R28" i="65"/>
  <c r="Q28" i="65"/>
  <c r="P28" i="65"/>
  <c r="O28" i="65"/>
  <c r="N28" i="65"/>
  <c r="M28" i="65"/>
  <c r="L28" i="65"/>
  <c r="K28" i="65"/>
  <c r="J28" i="65"/>
  <c r="I28" i="65"/>
  <c r="H28" i="65"/>
  <c r="G28" i="65"/>
  <c r="F28" i="65"/>
  <c r="E28" i="65"/>
  <c r="D28" i="65"/>
  <c r="AB3" i="110"/>
  <c r="AB4" i="110" s="1"/>
  <c r="Y27" i="65"/>
  <c r="X27" i="65"/>
  <c r="W27" i="65"/>
  <c r="V27" i="65"/>
  <c r="U27" i="65"/>
  <c r="T27" i="65"/>
  <c r="S27" i="65"/>
  <c r="R27" i="65"/>
  <c r="Q27" i="65"/>
  <c r="P27" i="65"/>
  <c r="O27" i="65"/>
  <c r="N27" i="65"/>
  <c r="M27" i="65"/>
  <c r="L27" i="65"/>
  <c r="K27" i="65"/>
  <c r="J27" i="65"/>
  <c r="I27" i="65"/>
  <c r="H27" i="65"/>
  <c r="G27" i="65"/>
  <c r="F27" i="65"/>
  <c r="E27" i="65"/>
  <c r="D27" i="65"/>
  <c r="AB3" i="109"/>
  <c r="AB4" i="109" s="1"/>
  <c r="Y5" i="65"/>
  <c r="Y7" i="65"/>
  <c r="Y8" i="65"/>
  <c r="Y9" i="65"/>
  <c r="Y11" i="65"/>
  <c r="Y12" i="65"/>
  <c r="Y13" i="65"/>
  <c r="Y14" i="65"/>
  <c r="Y15" i="65"/>
  <c r="Y17" i="65"/>
  <c r="Y19" i="65"/>
  <c r="Y20" i="65"/>
  <c r="Y21" i="65"/>
  <c r="Y22" i="65"/>
  <c r="Y23" i="65"/>
  <c r="Y25" i="65"/>
  <c r="Y26" i="65"/>
  <c r="X26" i="65"/>
  <c r="W26" i="65"/>
  <c r="V26" i="65"/>
  <c r="U26" i="65"/>
  <c r="T26" i="65"/>
  <c r="S26" i="65"/>
  <c r="R26" i="65"/>
  <c r="Q26" i="65"/>
  <c r="P26" i="65"/>
  <c r="O26" i="65"/>
  <c r="N26" i="65"/>
  <c r="M26" i="65"/>
  <c r="L26" i="65"/>
  <c r="K26" i="65"/>
  <c r="J26" i="65"/>
  <c r="I26" i="65"/>
  <c r="H26" i="65"/>
  <c r="G26" i="65"/>
  <c r="F26" i="65"/>
  <c r="E26" i="65"/>
  <c r="D26" i="65"/>
  <c r="AB3" i="108"/>
  <c r="AB4" i="111"/>
  <c r="AA4" i="111"/>
  <c r="Z4" i="111"/>
  <c r="Y4" i="111"/>
  <c r="X4" i="111"/>
  <c r="W4" i="111"/>
  <c r="V4" i="111"/>
  <c r="U4" i="111"/>
  <c r="T4" i="111"/>
  <c r="S4" i="111"/>
  <c r="R4" i="111"/>
  <c r="Q4" i="111"/>
  <c r="P4" i="111"/>
  <c r="O4" i="111"/>
  <c r="N4" i="111"/>
  <c r="M4" i="111"/>
  <c r="L4" i="111"/>
  <c r="K4" i="111"/>
  <c r="J4" i="111"/>
  <c r="I4" i="111"/>
  <c r="H4" i="111"/>
  <c r="G4" i="111"/>
  <c r="F4" i="111"/>
  <c r="AA4" i="110"/>
  <c r="Z4" i="110"/>
  <c r="Y4" i="110"/>
  <c r="X4" i="110"/>
  <c r="W4" i="110"/>
  <c r="V4" i="110"/>
  <c r="U4" i="110"/>
  <c r="T4" i="110"/>
  <c r="S4" i="110"/>
  <c r="R4" i="110"/>
  <c r="Q4" i="110"/>
  <c r="P4" i="110"/>
  <c r="O4" i="110"/>
  <c r="N4" i="110"/>
  <c r="M4" i="110"/>
  <c r="L4" i="110"/>
  <c r="K4" i="110"/>
  <c r="J4" i="110"/>
  <c r="I4" i="110"/>
  <c r="H4" i="110"/>
  <c r="G4" i="110"/>
  <c r="F4" i="110"/>
  <c r="AA4" i="109"/>
  <c r="Z4" i="109"/>
  <c r="Y4" i="109"/>
  <c r="X4" i="109"/>
  <c r="W4" i="109"/>
  <c r="V4" i="109"/>
  <c r="U4" i="109"/>
  <c r="T4" i="109"/>
  <c r="S4" i="109"/>
  <c r="R4" i="109"/>
  <c r="Q4" i="109"/>
  <c r="P4" i="109"/>
  <c r="O4" i="109"/>
  <c r="N4" i="109"/>
  <c r="M4" i="109"/>
  <c r="L4" i="109"/>
  <c r="K4" i="109"/>
  <c r="J4" i="109"/>
  <c r="I4" i="109"/>
  <c r="H4" i="109"/>
  <c r="G4" i="109"/>
  <c r="F4" i="109"/>
  <c r="AA4" i="108"/>
  <c r="Z4" i="108"/>
  <c r="Y4" i="108"/>
  <c r="X4" i="108"/>
  <c r="W4" i="108"/>
  <c r="V4" i="108"/>
  <c r="U4" i="108"/>
  <c r="T4" i="108"/>
  <c r="S4" i="108"/>
  <c r="R4" i="108"/>
  <c r="Q4" i="108"/>
  <c r="P4" i="108"/>
  <c r="O4" i="108"/>
  <c r="N4" i="108"/>
  <c r="M4" i="108"/>
  <c r="L4" i="108"/>
  <c r="K4" i="108"/>
  <c r="J4" i="108"/>
  <c r="I4" i="108"/>
  <c r="H4" i="108"/>
  <c r="G4" i="108"/>
  <c r="F4" i="108"/>
  <c r="AB4" i="108"/>
  <c r="AB12" i="80"/>
  <c r="AB8" i="80"/>
  <c r="AB11" i="80"/>
  <c r="AB10" i="80"/>
  <c r="AB6" i="80"/>
  <c r="AB4" i="79"/>
  <c r="AB3" i="79"/>
  <c r="AB5" i="100"/>
  <c r="AB3" i="100"/>
  <c r="AB4" i="100"/>
  <c r="AB6" i="100"/>
  <c r="AB3" i="107"/>
  <c r="R21" i="65"/>
  <c r="Q21" i="65"/>
  <c r="AB4" i="107"/>
  <c r="AA4" i="107"/>
  <c r="Z4" i="107"/>
  <c r="X21" i="65" s="1"/>
  <c r="Y4" i="107"/>
  <c r="W21" i="65" s="1"/>
  <c r="X4" i="107"/>
  <c r="V21" i="65" s="1"/>
  <c r="W4" i="107"/>
  <c r="U21" i="65" s="1"/>
  <c r="V4" i="107"/>
  <c r="T21" i="65" s="1"/>
  <c r="U4" i="107"/>
  <c r="S21" i="65" s="1"/>
  <c r="T4" i="107"/>
  <c r="S4" i="107"/>
  <c r="R4" i="107"/>
  <c r="P21" i="65" s="1"/>
  <c r="Q4" i="107"/>
  <c r="O21" i="65" s="1"/>
  <c r="P4" i="107"/>
  <c r="N21" i="65" s="1"/>
  <c r="O4" i="107"/>
  <c r="M21" i="65" s="1"/>
  <c r="N4" i="107"/>
  <c r="L21" i="65" s="1"/>
  <c r="M4" i="107"/>
  <c r="K21" i="65" s="1"/>
  <c r="L4" i="107"/>
  <c r="J21" i="65" s="1"/>
  <c r="K4" i="107"/>
  <c r="I21" i="65" s="1"/>
  <c r="J4" i="107"/>
  <c r="H21" i="65" s="1"/>
  <c r="I4" i="107"/>
  <c r="G21" i="65" s="1"/>
  <c r="H4" i="107"/>
  <c r="F21" i="65" s="1"/>
  <c r="G4" i="107"/>
  <c r="E21" i="65" s="1"/>
  <c r="F4" i="107"/>
  <c r="D21" i="65" s="1"/>
  <c r="AB3" i="106"/>
  <c r="AA4" i="106"/>
  <c r="Z4" i="106"/>
  <c r="X19" i="65" s="1"/>
  <c r="Y4" i="106"/>
  <c r="W19" i="65" s="1"/>
  <c r="X4" i="106"/>
  <c r="V19" i="65" s="1"/>
  <c r="W4" i="106"/>
  <c r="U19" i="65" s="1"/>
  <c r="V4" i="106"/>
  <c r="T19" i="65" s="1"/>
  <c r="U4" i="106"/>
  <c r="S19" i="65" s="1"/>
  <c r="T4" i="106"/>
  <c r="Q19" i="65" s="1"/>
  <c r="S4" i="106"/>
  <c r="R4" i="106"/>
  <c r="P19" i="65" s="1"/>
  <c r="Q4" i="106"/>
  <c r="O19" i="65" s="1"/>
  <c r="P4" i="106"/>
  <c r="N19" i="65" s="1"/>
  <c r="O4" i="106"/>
  <c r="M19" i="65" s="1"/>
  <c r="N4" i="106"/>
  <c r="L19" i="65" s="1"/>
  <c r="M4" i="106"/>
  <c r="K19" i="65" s="1"/>
  <c r="L4" i="106"/>
  <c r="J19" i="65" s="1"/>
  <c r="K4" i="106"/>
  <c r="I19" i="65" s="1"/>
  <c r="J4" i="106"/>
  <c r="H19" i="65" s="1"/>
  <c r="I4" i="106"/>
  <c r="G19" i="65" s="1"/>
  <c r="H4" i="106"/>
  <c r="F19" i="65" s="1"/>
  <c r="G4" i="106"/>
  <c r="E19" i="65" s="1"/>
  <c r="F4" i="106"/>
  <c r="D19" i="65" s="1"/>
  <c r="AB4" i="106"/>
  <c r="AB17" i="74"/>
  <c r="AB16" i="74"/>
  <c r="AB12" i="74"/>
  <c r="AB3" i="73"/>
  <c r="AB4" i="73"/>
  <c r="AB7" i="71"/>
  <c r="AB3" i="71"/>
  <c r="AB4" i="71"/>
  <c r="AB5" i="70"/>
  <c r="AB6" i="70"/>
  <c r="AB7" i="70"/>
  <c r="AB3" i="70"/>
  <c r="X13" i="65"/>
  <c r="W13" i="65"/>
  <c r="V13" i="65"/>
  <c r="U13" i="65"/>
  <c r="T13" i="65"/>
  <c r="S13" i="65"/>
  <c r="R13" i="65"/>
  <c r="Q13" i="65"/>
  <c r="P13" i="65"/>
  <c r="O13" i="65"/>
  <c r="N13" i="65"/>
  <c r="M13" i="65"/>
  <c r="L13" i="65"/>
  <c r="K13" i="65"/>
  <c r="J13" i="65"/>
  <c r="I13" i="65"/>
  <c r="H13" i="65"/>
  <c r="G13" i="65"/>
  <c r="F13" i="65"/>
  <c r="E13" i="65"/>
  <c r="D13" i="65"/>
  <c r="AC3" i="105"/>
  <c r="AC4" i="105" s="1"/>
  <c r="X12" i="65"/>
  <c r="W12" i="65"/>
  <c r="V12" i="65"/>
  <c r="U12" i="65"/>
  <c r="T12" i="65"/>
  <c r="S12" i="65"/>
  <c r="R12" i="65"/>
  <c r="Q12" i="65"/>
  <c r="P12" i="65"/>
  <c r="O12" i="65"/>
  <c r="N12" i="65"/>
  <c r="M12" i="65"/>
  <c r="L12" i="65"/>
  <c r="K12" i="65"/>
  <c r="J12" i="65"/>
  <c r="I12" i="65"/>
  <c r="H12" i="65"/>
  <c r="G12" i="65"/>
  <c r="F12" i="65"/>
  <c r="E12" i="65"/>
  <c r="D12" i="65"/>
  <c r="AC3" i="104"/>
  <c r="AC3" i="35"/>
  <c r="AC4" i="35"/>
  <c r="AB4" i="105"/>
  <c r="AA4" i="105"/>
  <c r="Z4" i="105"/>
  <c r="Y4" i="105"/>
  <c r="X4" i="105"/>
  <c r="W4" i="105"/>
  <c r="V4" i="105"/>
  <c r="U4" i="105"/>
  <c r="T4" i="105"/>
  <c r="S4" i="105"/>
  <c r="R4" i="105"/>
  <c r="Q4" i="105"/>
  <c r="P4" i="105"/>
  <c r="O4" i="105"/>
  <c r="N4" i="105"/>
  <c r="M4" i="105"/>
  <c r="L4" i="105"/>
  <c r="K4" i="105"/>
  <c r="J4" i="105"/>
  <c r="I4" i="105"/>
  <c r="H4" i="105"/>
  <c r="G4" i="105"/>
  <c r="F4" i="105"/>
  <c r="AC4" i="104"/>
  <c r="AB4" i="104"/>
  <c r="AA4" i="104"/>
  <c r="Z4" i="104"/>
  <c r="Y4" i="104"/>
  <c r="X4" i="104"/>
  <c r="W4" i="104"/>
  <c r="V4" i="104"/>
  <c r="U4" i="104"/>
  <c r="T4" i="104"/>
  <c r="S4" i="104"/>
  <c r="R4" i="104"/>
  <c r="Q4" i="104"/>
  <c r="P4" i="104"/>
  <c r="O4" i="104"/>
  <c r="N4" i="104"/>
  <c r="M4" i="104"/>
  <c r="L4" i="104"/>
  <c r="K4" i="104"/>
  <c r="J4" i="104"/>
  <c r="I4" i="104"/>
  <c r="H4" i="104"/>
  <c r="G4" i="104"/>
  <c r="F4" i="104"/>
  <c r="AB11" i="29"/>
  <c r="AB19" i="29"/>
  <c r="AB7" i="29"/>
  <c r="AB4" i="29"/>
  <c r="AB3" i="29"/>
  <c r="AB18" i="29"/>
  <c r="AB17" i="29"/>
  <c r="AB12" i="29"/>
  <c r="AB9" i="29"/>
  <c r="AB5" i="29"/>
  <c r="AB3" i="25"/>
  <c r="X7" i="65"/>
  <c r="W8" i="65"/>
  <c r="W7" i="65"/>
  <c r="V7" i="65"/>
  <c r="U7" i="65"/>
  <c r="T7" i="65"/>
  <c r="S7" i="65"/>
  <c r="R7" i="65"/>
  <c r="Q7" i="65"/>
  <c r="P7" i="65"/>
  <c r="O7" i="65"/>
  <c r="N7" i="65"/>
  <c r="M7" i="65"/>
  <c r="L7" i="65"/>
  <c r="K7" i="65"/>
  <c r="J7" i="65"/>
  <c r="I7" i="65"/>
  <c r="H7" i="65"/>
  <c r="G7" i="65"/>
  <c r="F7" i="65"/>
  <c r="E7" i="65"/>
  <c r="D7" i="65"/>
  <c r="AA4" i="103"/>
  <c r="Z4" i="103"/>
  <c r="Y4" i="103"/>
  <c r="X4" i="103"/>
  <c r="W4" i="103"/>
  <c r="V4" i="103"/>
  <c r="U4" i="103"/>
  <c r="T4" i="103"/>
  <c r="S4" i="103"/>
  <c r="R4" i="103"/>
  <c r="Q4" i="103"/>
  <c r="P4" i="103"/>
  <c r="O4" i="103"/>
  <c r="N4" i="103"/>
  <c r="M4" i="103"/>
  <c r="L4" i="103"/>
  <c r="K4" i="103"/>
  <c r="J4" i="103"/>
  <c r="I4" i="103"/>
  <c r="H4" i="103"/>
  <c r="G4" i="103"/>
  <c r="F4" i="103"/>
  <c r="AB3" i="103"/>
  <c r="AB4" i="103" s="1"/>
  <c r="AB6" i="13"/>
  <c r="AB3" i="13"/>
  <c r="E25" i="65"/>
  <c r="F25" i="65"/>
  <c r="G25" i="65"/>
  <c r="H25" i="65"/>
  <c r="I25" i="65"/>
  <c r="K25" i="65"/>
  <c r="L25" i="65"/>
  <c r="M25" i="65"/>
  <c r="N25" i="65"/>
  <c r="O25" i="65"/>
  <c r="P25" i="65"/>
  <c r="R25" i="65"/>
  <c r="S25" i="65"/>
  <c r="T25" i="65"/>
  <c r="V25" i="65"/>
  <c r="W25" i="65"/>
  <c r="X25" i="65"/>
  <c r="D25" i="65"/>
  <c r="I20" i="65"/>
  <c r="J20" i="65"/>
  <c r="Q20" i="65"/>
  <c r="R20" i="65"/>
  <c r="D20" i="65"/>
  <c r="E8" i="65"/>
  <c r="F8" i="65"/>
  <c r="G8" i="65"/>
  <c r="H8" i="65"/>
  <c r="I8" i="65"/>
  <c r="J8" i="65"/>
  <c r="K8" i="65"/>
  <c r="L8" i="65"/>
  <c r="M8" i="65"/>
  <c r="N8" i="65"/>
  <c r="O8" i="65"/>
  <c r="P8" i="65"/>
  <c r="Q8" i="65"/>
  <c r="R8" i="65"/>
  <c r="S8" i="65"/>
  <c r="T8" i="65"/>
  <c r="V8" i="65"/>
  <c r="X8" i="65"/>
  <c r="D8" i="65"/>
  <c r="F6" i="94"/>
  <c r="D6" i="65" s="1"/>
  <c r="AB3" i="92"/>
  <c r="AA4" i="102"/>
  <c r="Z4" i="102"/>
  <c r="Y4" i="102"/>
  <c r="X4" i="102"/>
  <c r="W4" i="102"/>
  <c r="U25" i="65" s="1"/>
  <c r="V4" i="102"/>
  <c r="U4" i="102"/>
  <c r="T4" i="102"/>
  <c r="S4" i="102"/>
  <c r="Q25" i="65" s="1"/>
  <c r="R4" i="102"/>
  <c r="Q4" i="102"/>
  <c r="P4" i="102"/>
  <c r="O4" i="102"/>
  <c r="N4" i="102"/>
  <c r="M4" i="102"/>
  <c r="L4" i="102"/>
  <c r="J25" i="65" s="1"/>
  <c r="K4" i="102"/>
  <c r="J4" i="102"/>
  <c r="I4" i="102"/>
  <c r="H4" i="102"/>
  <c r="G4" i="102"/>
  <c r="F4" i="102"/>
  <c r="AB3" i="102"/>
  <c r="AB4" i="102" s="1"/>
  <c r="AB3" i="80"/>
  <c r="AB4" i="80"/>
  <c r="AB5" i="80"/>
  <c r="AB7" i="80"/>
  <c r="AB9" i="80"/>
  <c r="AA7" i="100"/>
  <c r="Z7" i="100"/>
  <c r="X22" i="65" s="1"/>
  <c r="Y7" i="100"/>
  <c r="W22" i="65" s="1"/>
  <c r="X7" i="100"/>
  <c r="V22" i="65" s="1"/>
  <c r="W7" i="100"/>
  <c r="U22" i="65" s="1"/>
  <c r="V7" i="100"/>
  <c r="T22" i="65" s="1"/>
  <c r="U7" i="100"/>
  <c r="S22" i="65" s="1"/>
  <c r="T7" i="100"/>
  <c r="R22" i="65" s="1"/>
  <c r="S7" i="100"/>
  <c r="Q22" i="65" s="1"/>
  <c r="R7" i="100"/>
  <c r="P22" i="65" s="1"/>
  <c r="Q7" i="100"/>
  <c r="O22" i="65" s="1"/>
  <c r="P7" i="100"/>
  <c r="N22" i="65" s="1"/>
  <c r="O7" i="100"/>
  <c r="M22" i="65" s="1"/>
  <c r="N7" i="100"/>
  <c r="L22" i="65" s="1"/>
  <c r="M7" i="100"/>
  <c r="K22" i="65" s="1"/>
  <c r="L7" i="100"/>
  <c r="J22" i="65" s="1"/>
  <c r="K7" i="100"/>
  <c r="I22" i="65" s="1"/>
  <c r="J7" i="100"/>
  <c r="H22" i="65" s="1"/>
  <c r="I7" i="100"/>
  <c r="G22" i="65" s="1"/>
  <c r="H7" i="100"/>
  <c r="F22" i="65" s="1"/>
  <c r="G7" i="100"/>
  <c r="E22" i="65" s="1"/>
  <c r="F7" i="100"/>
  <c r="D22" i="65" s="1"/>
  <c r="AA4" i="99"/>
  <c r="Z4" i="99"/>
  <c r="X20" i="65" s="1"/>
  <c r="Y4" i="99"/>
  <c r="W20" i="65" s="1"/>
  <c r="X4" i="99"/>
  <c r="V20" i="65" s="1"/>
  <c r="W4" i="99"/>
  <c r="U20" i="65" s="1"/>
  <c r="V4" i="99"/>
  <c r="T20" i="65" s="1"/>
  <c r="U4" i="99"/>
  <c r="S20" i="65" s="1"/>
  <c r="T4" i="99"/>
  <c r="S4" i="99"/>
  <c r="R4" i="99"/>
  <c r="P20" i="65" s="1"/>
  <c r="Q4" i="99"/>
  <c r="O20" i="65" s="1"/>
  <c r="P4" i="99"/>
  <c r="N20" i="65" s="1"/>
  <c r="O4" i="99"/>
  <c r="M20" i="65" s="1"/>
  <c r="N4" i="99"/>
  <c r="L20" i="65" s="1"/>
  <c r="M4" i="99"/>
  <c r="K20" i="65" s="1"/>
  <c r="L4" i="99"/>
  <c r="K4" i="99"/>
  <c r="J4" i="99"/>
  <c r="H20" i="65" s="1"/>
  <c r="I4" i="99"/>
  <c r="G20" i="65" s="1"/>
  <c r="H4" i="99"/>
  <c r="F20" i="65" s="1"/>
  <c r="G4" i="99"/>
  <c r="E20" i="65" s="1"/>
  <c r="F4" i="99"/>
  <c r="AB3" i="99"/>
  <c r="AB15" i="74"/>
  <c r="AB13" i="74"/>
  <c r="AB14" i="74"/>
  <c r="AB7" i="38"/>
  <c r="AB3" i="38"/>
  <c r="AB14" i="29"/>
  <c r="AA4" i="95"/>
  <c r="Z4" i="95"/>
  <c r="Y4" i="95"/>
  <c r="X4" i="95"/>
  <c r="W4" i="95"/>
  <c r="U8" i="65" s="1"/>
  <c r="V4" i="95"/>
  <c r="U4" i="95"/>
  <c r="T4" i="95"/>
  <c r="S4" i="95"/>
  <c r="R4" i="95"/>
  <c r="Q4" i="95"/>
  <c r="P4" i="95"/>
  <c r="O4" i="95"/>
  <c r="N4" i="95"/>
  <c r="M4" i="95"/>
  <c r="L4" i="95"/>
  <c r="K4" i="95"/>
  <c r="J4" i="95"/>
  <c r="I4" i="95"/>
  <c r="H4" i="95"/>
  <c r="G4" i="95"/>
  <c r="F4" i="95"/>
  <c r="AB3" i="95"/>
  <c r="AB4" i="95" s="1"/>
  <c r="AA6" i="94"/>
  <c r="Y6" i="65" s="1"/>
  <c r="Z6" i="94"/>
  <c r="X6" i="65" s="1"/>
  <c r="Y6" i="94"/>
  <c r="W6" i="65" s="1"/>
  <c r="X6" i="94"/>
  <c r="V6" i="65" s="1"/>
  <c r="W6" i="94"/>
  <c r="U6" i="65" s="1"/>
  <c r="V6" i="94"/>
  <c r="T6" i="65" s="1"/>
  <c r="U6" i="94"/>
  <c r="S6" i="65" s="1"/>
  <c r="T6" i="94"/>
  <c r="R6" i="65" s="1"/>
  <c r="S6" i="94"/>
  <c r="Q6" i="65" s="1"/>
  <c r="R6" i="94"/>
  <c r="P6" i="65" s="1"/>
  <c r="Q6" i="94"/>
  <c r="O6" i="65" s="1"/>
  <c r="P6" i="94"/>
  <c r="N6" i="65" s="1"/>
  <c r="O6" i="94"/>
  <c r="M6" i="65" s="1"/>
  <c r="N6" i="94"/>
  <c r="L6" i="65" s="1"/>
  <c r="M6" i="94"/>
  <c r="K6" i="65" s="1"/>
  <c r="L6" i="94"/>
  <c r="J6" i="65" s="1"/>
  <c r="K6" i="94"/>
  <c r="I6" i="65" s="1"/>
  <c r="J6" i="94"/>
  <c r="H6" i="65" s="1"/>
  <c r="I6" i="94"/>
  <c r="G6" i="65" s="1"/>
  <c r="H6" i="94"/>
  <c r="F6" i="65" s="1"/>
  <c r="G6" i="94"/>
  <c r="E6" i="65" s="1"/>
  <c r="AB4" i="13"/>
  <c r="Z29" i="65" l="1"/>
  <c r="Z28" i="65"/>
  <c r="Z27" i="65"/>
  <c r="Z26" i="65"/>
  <c r="AB7" i="100"/>
  <c r="Z21" i="65"/>
  <c r="R19" i="65"/>
  <c r="Z19" i="65" s="1"/>
  <c r="Z20" i="65"/>
  <c r="Z13" i="65"/>
  <c r="Z12" i="65"/>
  <c r="Z8" i="65"/>
  <c r="Z7" i="65"/>
  <c r="Z22" i="65"/>
  <c r="AB6" i="94"/>
  <c r="Z6" i="65"/>
  <c r="Z25" i="65"/>
  <c r="AB4" i="99"/>
  <c r="B31" i="65" l="1"/>
  <c r="C31" i="65"/>
  <c r="AA4" i="92" l="1"/>
  <c r="Y30" i="65" s="1"/>
  <c r="Z4" i="92"/>
  <c r="X30" i="65" s="1"/>
  <c r="Y4" i="92"/>
  <c r="W30" i="65" s="1"/>
  <c r="X4" i="92"/>
  <c r="V30" i="65" s="1"/>
  <c r="W4" i="92"/>
  <c r="U30" i="65" s="1"/>
  <c r="V4" i="92"/>
  <c r="T30" i="65" s="1"/>
  <c r="U4" i="92"/>
  <c r="S30" i="65" s="1"/>
  <c r="T4" i="92"/>
  <c r="R30" i="65" s="1"/>
  <c r="S4" i="92"/>
  <c r="Q30" i="65" s="1"/>
  <c r="R4" i="92"/>
  <c r="P30" i="65" s="1"/>
  <c r="Q4" i="92"/>
  <c r="O30" i="65" s="1"/>
  <c r="P4" i="92"/>
  <c r="N30" i="65" s="1"/>
  <c r="O4" i="92"/>
  <c r="M30" i="65" s="1"/>
  <c r="N4" i="92"/>
  <c r="L30" i="65" s="1"/>
  <c r="M4" i="92"/>
  <c r="K30" i="65" s="1"/>
  <c r="L4" i="92"/>
  <c r="J30" i="65" s="1"/>
  <c r="K4" i="92"/>
  <c r="I30" i="65" s="1"/>
  <c r="J4" i="92"/>
  <c r="H30" i="65" s="1"/>
  <c r="I4" i="92"/>
  <c r="G30" i="65" s="1"/>
  <c r="H4" i="92"/>
  <c r="F30" i="65" s="1"/>
  <c r="G4" i="92"/>
  <c r="E30" i="65" s="1"/>
  <c r="F4" i="92"/>
  <c r="D30" i="65" s="1"/>
  <c r="Z30" i="65" l="1"/>
  <c r="AB4" i="92"/>
  <c r="AA13" i="80" l="1"/>
  <c r="Y24" i="65" s="1"/>
  <c r="Z13" i="80"/>
  <c r="X24" i="65" s="1"/>
  <c r="Y13" i="80"/>
  <c r="W24" i="65" s="1"/>
  <c r="X13" i="80"/>
  <c r="V24" i="65" s="1"/>
  <c r="W13" i="80"/>
  <c r="U24" i="65" s="1"/>
  <c r="V13" i="80"/>
  <c r="T24" i="65" s="1"/>
  <c r="U13" i="80"/>
  <c r="S24" i="65" s="1"/>
  <c r="T13" i="80"/>
  <c r="R24" i="65" s="1"/>
  <c r="S13" i="80"/>
  <c r="Q24" i="65" s="1"/>
  <c r="R13" i="80"/>
  <c r="P24" i="65" s="1"/>
  <c r="Q13" i="80"/>
  <c r="O24" i="65" s="1"/>
  <c r="P13" i="80"/>
  <c r="N24" i="65" s="1"/>
  <c r="O13" i="80"/>
  <c r="M24" i="65" s="1"/>
  <c r="N13" i="80"/>
  <c r="L24" i="65" s="1"/>
  <c r="M13" i="80"/>
  <c r="K24" i="65" s="1"/>
  <c r="L13" i="80"/>
  <c r="J24" i="65" s="1"/>
  <c r="K13" i="80"/>
  <c r="I24" i="65" s="1"/>
  <c r="J13" i="80"/>
  <c r="H24" i="65" s="1"/>
  <c r="I13" i="80"/>
  <c r="G24" i="65" s="1"/>
  <c r="H13" i="80"/>
  <c r="F24" i="65" s="1"/>
  <c r="G13" i="80"/>
  <c r="E24" i="65" s="1"/>
  <c r="F13" i="80"/>
  <c r="D24" i="65" s="1"/>
  <c r="Z24" i="65" l="1"/>
  <c r="AB13" i="80"/>
  <c r="AA5" i="79" l="1"/>
  <c r="Z5" i="79"/>
  <c r="X23" i="65" s="1"/>
  <c r="Y5" i="79"/>
  <c r="W23" i="65" s="1"/>
  <c r="X5" i="79"/>
  <c r="V23" i="65" s="1"/>
  <c r="W5" i="79"/>
  <c r="U23" i="65" s="1"/>
  <c r="V5" i="79"/>
  <c r="T23" i="65" s="1"/>
  <c r="U5" i="79"/>
  <c r="S23" i="65" s="1"/>
  <c r="T5" i="79"/>
  <c r="R23" i="65" s="1"/>
  <c r="S5" i="79"/>
  <c r="Q23" i="65" s="1"/>
  <c r="R5" i="79"/>
  <c r="P23" i="65" s="1"/>
  <c r="Q5" i="79"/>
  <c r="O23" i="65" s="1"/>
  <c r="P5" i="79"/>
  <c r="N23" i="65" s="1"/>
  <c r="O5" i="79"/>
  <c r="M23" i="65" s="1"/>
  <c r="N5" i="79"/>
  <c r="L23" i="65" s="1"/>
  <c r="M5" i="79"/>
  <c r="K23" i="65" s="1"/>
  <c r="L5" i="79"/>
  <c r="J23" i="65" s="1"/>
  <c r="K5" i="79"/>
  <c r="I23" i="65" s="1"/>
  <c r="J5" i="79"/>
  <c r="H23" i="65" s="1"/>
  <c r="I5" i="79"/>
  <c r="G23" i="65" s="1"/>
  <c r="H5" i="79"/>
  <c r="F23" i="65" s="1"/>
  <c r="G5" i="79"/>
  <c r="E23" i="65" s="1"/>
  <c r="F5" i="79"/>
  <c r="D23" i="65" s="1"/>
  <c r="AA18" i="74"/>
  <c r="Y18" i="65" s="1"/>
  <c r="Z18" i="74"/>
  <c r="X18" i="65" s="1"/>
  <c r="Y18" i="74"/>
  <c r="W18" i="65" s="1"/>
  <c r="X18" i="74"/>
  <c r="V18" i="65" s="1"/>
  <c r="W18" i="74"/>
  <c r="U18" i="65" s="1"/>
  <c r="V18" i="74"/>
  <c r="T18" i="65" s="1"/>
  <c r="U18" i="74"/>
  <c r="S18" i="65" s="1"/>
  <c r="T18" i="74"/>
  <c r="R18" i="65" s="1"/>
  <c r="S18" i="74"/>
  <c r="Q18" i="65" s="1"/>
  <c r="R18" i="74"/>
  <c r="P18" i="65" s="1"/>
  <c r="Q18" i="74"/>
  <c r="O18" i="65" s="1"/>
  <c r="P18" i="74"/>
  <c r="N18" i="65" s="1"/>
  <c r="O18" i="74"/>
  <c r="M18" i="65" s="1"/>
  <c r="N18" i="74"/>
  <c r="L18" i="65" s="1"/>
  <c r="M18" i="74"/>
  <c r="K18" i="65" s="1"/>
  <c r="L18" i="74"/>
  <c r="J18" i="65" s="1"/>
  <c r="K18" i="74"/>
  <c r="I18" i="65" s="1"/>
  <c r="J18" i="74"/>
  <c r="H18" i="65" s="1"/>
  <c r="I18" i="74"/>
  <c r="G18" i="65" s="1"/>
  <c r="H18" i="74"/>
  <c r="F18" i="65" s="1"/>
  <c r="G18" i="74"/>
  <c r="E18" i="65" s="1"/>
  <c r="F18" i="74"/>
  <c r="D18" i="65" s="1"/>
  <c r="AB5" i="73"/>
  <c r="AA7" i="73"/>
  <c r="Z7" i="73"/>
  <c r="X17" i="65" s="1"/>
  <c r="Y7" i="73"/>
  <c r="W17" i="65" s="1"/>
  <c r="X7" i="73"/>
  <c r="V17" i="65" s="1"/>
  <c r="W7" i="73"/>
  <c r="U17" i="65" s="1"/>
  <c r="V7" i="73"/>
  <c r="T17" i="65" s="1"/>
  <c r="U7" i="73"/>
  <c r="S17" i="65" s="1"/>
  <c r="T7" i="73"/>
  <c r="R17" i="65" s="1"/>
  <c r="S7" i="73"/>
  <c r="Q17" i="65" s="1"/>
  <c r="R7" i="73"/>
  <c r="P17" i="65" s="1"/>
  <c r="Q7" i="73"/>
  <c r="O17" i="65" s="1"/>
  <c r="P7" i="73"/>
  <c r="N17" i="65" s="1"/>
  <c r="O7" i="73"/>
  <c r="M17" i="65" s="1"/>
  <c r="N7" i="73"/>
  <c r="L17" i="65" s="1"/>
  <c r="M7" i="73"/>
  <c r="K17" i="65" s="1"/>
  <c r="L7" i="73"/>
  <c r="J17" i="65" s="1"/>
  <c r="K7" i="73"/>
  <c r="I17" i="65" s="1"/>
  <c r="J7" i="73"/>
  <c r="H17" i="65" s="1"/>
  <c r="I7" i="73"/>
  <c r="G17" i="65" s="1"/>
  <c r="H7" i="73"/>
  <c r="F17" i="65" s="1"/>
  <c r="G7" i="73"/>
  <c r="E17" i="65" s="1"/>
  <c r="F7" i="73"/>
  <c r="D17" i="65" s="1"/>
  <c r="AB6" i="73"/>
  <c r="AA8" i="71"/>
  <c r="Y16" i="65" s="1"/>
  <c r="Z8" i="71"/>
  <c r="X16" i="65" s="1"/>
  <c r="Y8" i="71"/>
  <c r="W16" i="65" s="1"/>
  <c r="X8" i="71"/>
  <c r="V16" i="65" s="1"/>
  <c r="W8" i="71"/>
  <c r="U16" i="65" s="1"/>
  <c r="V8" i="71"/>
  <c r="T16" i="65" s="1"/>
  <c r="U8" i="71"/>
  <c r="S16" i="65" s="1"/>
  <c r="T8" i="71"/>
  <c r="R16" i="65" s="1"/>
  <c r="S8" i="71"/>
  <c r="Q16" i="65" s="1"/>
  <c r="R8" i="71"/>
  <c r="P16" i="65" s="1"/>
  <c r="Q8" i="71"/>
  <c r="O16" i="65" s="1"/>
  <c r="P8" i="71"/>
  <c r="N16" i="65" s="1"/>
  <c r="O8" i="71"/>
  <c r="M16" i="65" s="1"/>
  <c r="N8" i="71"/>
  <c r="L16" i="65" s="1"/>
  <c r="M8" i="71"/>
  <c r="K16" i="65" s="1"/>
  <c r="L8" i="71"/>
  <c r="J16" i="65" s="1"/>
  <c r="K8" i="71"/>
  <c r="I16" i="65" s="1"/>
  <c r="J8" i="71"/>
  <c r="H16" i="65" s="1"/>
  <c r="I8" i="71"/>
  <c r="G16" i="65" s="1"/>
  <c r="H8" i="71"/>
  <c r="F16" i="65" s="1"/>
  <c r="G8" i="71"/>
  <c r="E16" i="65" s="1"/>
  <c r="F8" i="71"/>
  <c r="D16" i="65" s="1"/>
  <c r="AB5" i="71"/>
  <c r="AA9" i="70"/>
  <c r="Z9" i="70"/>
  <c r="X15" i="65" s="1"/>
  <c r="Y9" i="70"/>
  <c r="W15" i="65" s="1"/>
  <c r="X9" i="70"/>
  <c r="V15" i="65" s="1"/>
  <c r="W9" i="70"/>
  <c r="U15" i="65" s="1"/>
  <c r="V9" i="70"/>
  <c r="T15" i="65" s="1"/>
  <c r="U9" i="70"/>
  <c r="S15" i="65" s="1"/>
  <c r="T9" i="70"/>
  <c r="R15" i="65" s="1"/>
  <c r="S9" i="70"/>
  <c r="Q15" i="65" s="1"/>
  <c r="R9" i="70"/>
  <c r="P15" i="65" s="1"/>
  <c r="Q9" i="70"/>
  <c r="O15" i="65" s="1"/>
  <c r="P9" i="70"/>
  <c r="N15" i="65" s="1"/>
  <c r="O9" i="70"/>
  <c r="M15" i="65" s="1"/>
  <c r="N9" i="70"/>
  <c r="L15" i="65" s="1"/>
  <c r="M9" i="70"/>
  <c r="K15" i="65" s="1"/>
  <c r="L9" i="70"/>
  <c r="J15" i="65" s="1"/>
  <c r="K9" i="70"/>
  <c r="I15" i="65" s="1"/>
  <c r="J9" i="70"/>
  <c r="H15" i="65" s="1"/>
  <c r="I9" i="70"/>
  <c r="G15" i="65" s="1"/>
  <c r="H9" i="70"/>
  <c r="F15" i="65" s="1"/>
  <c r="G9" i="70"/>
  <c r="E15" i="65" s="1"/>
  <c r="F9" i="70"/>
  <c r="D15" i="65" s="1"/>
  <c r="AB8" i="70"/>
  <c r="AB4" i="70"/>
  <c r="Y11" i="38"/>
  <c r="W14" i="65" s="1"/>
  <c r="U11" i="38"/>
  <c r="S14" i="65" s="1"/>
  <c r="O11" i="38"/>
  <c r="M14" i="65" s="1"/>
  <c r="K11" i="38"/>
  <c r="I14" i="65" s="1"/>
  <c r="I11" i="38"/>
  <c r="G14" i="65" s="1"/>
  <c r="Z5" i="35"/>
  <c r="W11" i="65" s="1"/>
  <c r="V5" i="35"/>
  <c r="S11" i="65" s="1"/>
  <c r="O5" i="35"/>
  <c r="M11" i="65" s="1"/>
  <c r="K5" i="35"/>
  <c r="I11" i="65" s="1"/>
  <c r="I5" i="35"/>
  <c r="G11" i="65" s="1"/>
  <c r="Z17" i="65" l="1"/>
  <c r="Z18" i="65"/>
  <c r="Z23" i="65"/>
  <c r="Z16" i="65"/>
  <c r="Z15" i="65"/>
  <c r="AB5" i="79"/>
  <c r="AB18" i="74"/>
  <c r="AB7" i="73"/>
  <c r="AB8" i="71"/>
  <c r="AB9" i="70"/>
  <c r="I20" i="29" l="1"/>
  <c r="G10" i="65" s="1"/>
  <c r="K20" i="29"/>
  <c r="I10" i="65" s="1"/>
  <c r="O20" i="29"/>
  <c r="M10" i="65" s="1"/>
  <c r="U20" i="29"/>
  <c r="S10" i="65" s="1"/>
  <c r="Y20" i="29"/>
  <c r="W10" i="65" s="1"/>
  <c r="I5" i="25"/>
  <c r="G9" i="65" s="1"/>
  <c r="K5" i="25"/>
  <c r="I9" i="65" s="1"/>
  <c r="O5" i="25"/>
  <c r="M9" i="65" s="1"/>
  <c r="U5" i="25"/>
  <c r="S9" i="65" s="1"/>
  <c r="Y5" i="25"/>
  <c r="W9" i="65" s="1"/>
  <c r="AB5" i="13"/>
  <c r="AB7" i="13"/>
  <c r="Y8" i="13"/>
  <c r="W5" i="65" s="1"/>
  <c r="U8" i="13"/>
  <c r="S5" i="65" s="1"/>
  <c r="O8" i="13"/>
  <c r="M5" i="65" s="1"/>
  <c r="K8" i="13"/>
  <c r="I5" i="65" s="1"/>
  <c r="I8" i="13"/>
  <c r="G5" i="65" s="1"/>
  <c r="M31" i="65" l="1"/>
  <c r="S31" i="65"/>
  <c r="W31" i="65"/>
  <c r="G31" i="65"/>
  <c r="I31" i="65"/>
  <c r="AB4" i="38"/>
  <c r="AB5" i="38"/>
  <c r="AB6" i="38"/>
  <c r="AB8" i="38"/>
  <c r="AB9" i="38"/>
  <c r="AB10" i="38"/>
  <c r="AB8" i="29"/>
  <c r="AB10" i="29"/>
  <c r="AB13" i="29"/>
  <c r="AB15" i="29"/>
  <c r="AB16" i="29"/>
  <c r="AB4" i="25"/>
  <c r="AB11" i="38" l="1"/>
  <c r="AC5" i="35"/>
  <c r="AB20" i="29"/>
  <c r="AB5" i="25"/>
  <c r="AB8" i="13"/>
  <c r="V11" i="38" l="1"/>
  <c r="T14" i="65" s="1"/>
  <c r="N11" i="38"/>
  <c r="L14" i="65" s="1"/>
  <c r="J11" i="38"/>
  <c r="H14" i="65" s="1"/>
  <c r="W5" i="35"/>
  <c r="T11" i="65" s="1"/>
  <c r="N5" i="35"/>
  <c r="L11" i="65" s="1"/>
  <c r="J5" i="35"/>
  <c r="H11" i="65" s="1"/>
  <c r="J20" i="29"/>
  <c r="H10" i="65" s="1"/>
  <c r="N20" i="29"/>
  <c r="L10" i="65" s="1"/>
  <c r="V20" i="29"/>
  <c r="T10" i="65" s="1"/>
  <c r="V5" i="25"/>
  <c r="T9" i="65" s="1"/>
  <c r="J5" i="25"/>
  <c r="H9" i="65" s="1"/>
  <c r="N5" i="25"/>
  <c r="L9" i="65" s="1"/>
  <c r="V8" i="13" l="1"/>
  <c r="T5" i="65" s="1"/>
  <c r="T8" i="13"/>
  <c r="R5" i="65" s="1"/>
  <c r="H8" i="13"/>
  <c r="F5" i="65" s="1"/>
  <c r="T31" i="65" l="1"/>
  <c r="F11" i="38" l="1"/>
  <c r="D14" i="65" s="1"/>
  <c r="G11" i="38"/>
  <c r="E14" i="65" s="1"/>
  <c r="H11" i="38"/>
  <c r="F14" i="65" s="1"/>
  <c r="L11" i="38"/>
  <c r="J14" i="65" s="1"/>
  <c r="M11" i="38"/>
  <c r="K14" i="65" s="1"/>
  <c r="P11" i="38"/>
  <c r="N14" i="65" s="1"/>
  <c r="Q11" i="38"/>
  <c r="O14" i="65" s="1"/>
  <c r="R11" i="38"/>
  <c r="P14" i="65" s="1"/>
  <c r="S11" i="38"/>
  <c r="Q14" i="65" s="1"/>
  <c r="T11" i="38"/>
  <c r="R14" i="65" s="1"/>
  <c r="W11" i="38"/>
  <c r="U14" i="65" s="1"/>
  <c r="X11" i="38"/>
  <c r="V14" i="65" s="1"/>
  <c r="Z11" i="38"/>
  <c r="X14" i="65" s="1"/>
  <c r="AA11" i="38"/>
  <c r="F5" i="35"/>
  <c r="D11" i="65" s="1"/>
  <c r="G5" i="35"/>
  <c r="E11" i="65" s="1"/>
  <c r="H5" i="35"/>
  <c r="F11" i="65" s="1"/>
  <c r="L5" i="35"/>
  <c r="J11" i="65" s="1"/>
  <c r="M5" i="35"/>
  <c r="K11" i="65" s="1"/>
  <c r="P5" i="35"/>
  <c r="N11" i="65" s="1"/>
  <c r="Q5" i="35"/>
  <c r="O11" i="65" s="1"/>
  <c r="R5" i="35"/>
  <c r="P11" i="65" s="1"/>
  <c r="S5" i="35"/>
  <c r="Q11" i="65" s="1"/>
  <c r="T5" i="35"/>
  <c r="U5" i="35"/>
  <c r="R11" i="65" s="1"/>
  <c r="X5" i="35"/>
  <c r="U11" i="65" s="1"/>
  <c r="Y5" i="35"/>
  <c r="V11" i="65" s="1"/>
  <c r="AA5" i="35"/>
  <c r="X11" i="65" s="1"/>
  <c r="AB5" i="35"/>
  <c r="F20" i="29"/>
  <c r="D10" i="65" s="1"/>
  <c r="G20" i="29"/>
  <c r="E10" i="65" s="1"/>
  <c r="H20" i="29"/>
  <c r="F10" i="65" s="1"/>
  <c r="L20" i="29"/>
  <c r="J10" i="65" s="1"/>
  <c r="M20" i="29"/>
  <c r="K10" i="65" s="1"/>
  <c r="P20" i="29"/>
  <c r="N10" i="65" s="1"/>
  <c r="Q20" i="29"/>
  <c r="O10" i="65" s="1"/>
  <c r="R20" i="29"/>
  <c r="P10" i="65" s="1"/>
  <c r="S20" i="29"/>
  <c r="Q10" i="65" s="1"/>
  <c r="T20" i="29"/>
  <c r="R10" i="65" s="1"/>
  <c r="W20" i="29"/>
  <c r="U10" i="65" s="1"/>
  <c r="X20" i="29"/>
  <c r="V10" i="65" s="1"/>
  <c r="Z20" i="29"/>
  <c r="X10" i="65" s="1"/>
  <c r="AA20" i="29"/>
  <c r="Y10" i="65" s="1"/>
  <c r="Z11" i="65" l="1"/>
  <c r="Z10" i="65"/>
  <c r="Z14" i="65"/>
  <c r="F5" i="25"/>
  <c r="D9" i="65" s="1"/>
  <c r="G5" i="25"/>
  <c r="E9" i="65" s="1"/>
  <c r="H5" i="25"/>
  <c r="F9" i="65" s="1"/>
  <c r="L5" i="25"/>
  <c r="J9" i="65" s="1"/>
  <c r="M5" i="25"/>
  <c r="K9" i="65" s="1"/>
  <c r="P5" i="25"/>
  <c r="N9" i="65" s="1"/>
  <c r="Q5" i="25"/>
  <c r="O9" i="65" s="1"/>
  <c r="R5" i="25"/>
  <c r="P9" i="65" s="1"/>
  <c r="S5" i="25"/>
  <c r="Q9" i="65" s="1"/>
  <c r="T5" i="25"/>
  <c r="R9" i="65" s="1"/>
  <c r="W5" i="25"/>
  <c r="U9" i="65" s="1"/>
  <c r="X5" i="25"/>
  <c r="V9" i="65" s="1"/>
  <c r="Z5" i="25"/>
  <c r="X9" i="65" s="1"/>
  <c r="AA5" i="25"/>
  <c r="F8" i="13"/>
  <c r="D5" i="65" s="1"/>
  <c r="AA8" i="13"/>
  <c r="G8" i="13"/>
  <c r="E5" i="65" s="1"/>
  <c r="J8" i="13"/>
  <c r="H5" i="65" s="1"/>
  <c r="H31" i="65" s="1"/>
  <c r="L8" i="13"/>
  <c r="J5" i="65" s="1"/>
  <c r="M8" i="13"/>
  <c r="K5" i="65" s="1"/>
  <c r="N8" i="13"/>
  <c r="L5" i="65" s="1"/>
  <c r="L31" i="65" s="1"/>
  <c r="P8" i="13"/>
  <c r="N5" i="65" s="1"/>
  <c r="Q8" i="13"/>
  <c r="O5" i="65" s="1"/>
  <c r="R8" i="13"/>
  <c r="P5" i="65" s="1"/>
  <c r="S8" i="13"/>
  <c r="Q5" i="65" s="1"/>
  <c r="W8" i="13"/>
  <c r="U5" i="65" s="1"/>
  <c r="X8" i="13"/>
  <c r="V5" i="65" s="1"/>
  <c r="Z8" i="13"/>
  <c r="X5" i="65" s="1"/>
  <c r="Z9" i="65" l="1"/>
  <c r="Z5" i="65"/>
  <c r="X31" i="65"/>
  <c r="Y31" i="65"/>
  <c r="N31" i="65"/>
  <c r="O31" i="65"/>
  <c r="D31" i="65"/>
  <c r="V31" i="65"/>
  <c r="K31" i="65"/>
  <c r="U31" i="65"/>
  <c r="R31" i="65"/>
  <c r="F31" i="65"/>
  <c r="Q31" i="65"/>
  <c r="E31" i="65"/>
  <c r="P31" i="65"/>
  <c r="J31" i="65"/>
  <c r="Z31" i="65" l="1"/>
</calcChain>
</file>

<file path=xl/sharedStrings.xml><?xml version="1.0" encoding="utf-8"?>
<sst xmlns="http://schemas.openxmlformats.org/spreadsheetml/2006/main" count="1367" uniqueCount="350">
  <si>
    <t>Riverside</t>
  </si>
  <si>
    <t>Los Angeles</t>
  </si>
  <si>
    <t>Alameda</t>
  </si>
  <si>
    <t>Orange</t>
  </si>
  <si>
    <t>San Bernardino</t>
  </si>
  <si>
    <t>Sacramento</t>
  </si>
  <si>
    <t>San Diego</t>
  </si>
  <si>
    <t>Kern</t>
  </si>
  <si>
    <t>Vista Unified</t>
  </si>
  <si>
    <t>Santa Clara</t>
  </si>
  <si>
    <t>Santa Barbara</t>
  </si>
  <si>
    <t>Yolo</t>
  </si>
  <si>
    <t>San Diego Unified</t>
  </si>
  <si>
    <t>Newport-Mesa Unified</t>
  </si>
  <si>
    <t>California Department of Education</t>
  </si>
  <si>
    <t>Participating Counties</t>
  </si>
  <si>
    <t>Participating Schools Total</t>
  </si>
  <si>
    <t>American Sign Language Total</t>
  </si>
  <si>
    <t>French Total</t>
  </si>
  <si>
    <t>German Total</t>
  </si>
  <si>
    <t xml:space="preserve"> Japanese Total</t>
  </si>
  <si>
    <t>Korean Total</t>
  </si>
  <si>
    <t>Latin Total</t>
  </si>
  <si>
    <t>Spanish Total</t>
  </si>
  <si>
    <t>Vietnamese Total</t>
  </si>
  <si>
    <t>Other Total</t>
  </si>
  <si>
    <t xml:space="preserve">Sacramento </t>
  </si>
  <si>
    <t>Participating Districts Total</t>
  </si>
  <si>
    <t>Arabic Total</t>
  </si>
  <si>
    <t>Italian Total</t>
  </si>
  <si>
    <t xml:space="preserve">Pleasanton Unified </t>
  </si>
  <si>
    <t xml:space="preserve">San Leandro Unified </t>
  </si>
  <si>
    <t>Participating Districts</t>
  </si>
  <si>
    <t>Participating Schools</t>
  </si>
  <si>
    <t>Hmong Total</t>
  </si>
  <si>
    <t>Japanese Total</t>
  </si>
  <si>
    <t>Total: 1</t>
  </si>
  <si>
    <t>Total: 2</t>
  </si>
  <si>
    <t>Total: 4</t>
  </si>
  <si>
    <t>4</t>
  </si>
  <si>
    <t>Placentia-Yorba Linda Unified</t>
  </si>
  <si>
    <t>Saddleback Valley Unified</t>
  </si>
  <si>
    <t>Twin Rivers Unified</t>
  </si>
  <si>
    <t>Tagalog (Filipino) Total</t>
  </si>
  <si>
    <t>Chinese Total</t>
  </si>
  <si>
    <t>Hebrew Total</t>
  </si>
  <si>
    <t>Armenian Total</t>
  </si>
  <si>
    <t>Portuguese Total</t>
  </si>
  <si>
    <t>Russian Total</t>
  </si>
  <si>
    <t>Total Seals per LEA</t>
  </si>
  <si>
    <t>Bengali Total</t>
  </si>
  <si>
    <t>Farsi (Persian) Total</t>
  </si>
  <si>
    <t>Hindi Total</t>
  </si>
  <si>
    <t>Punjabi Total</t>
  </si>
  <si>
    <t>Urdu Total</t>
  </si>
  <si>
    <t>3</t>
  </si>
  <si>
    <t>Valley View Elementary</t>
  </si>
  <si>
    <t>Dual Language School(s)</t>
  </si>
  <si>
    <t>Participating School(s)</t>
  </si>
  <si>
    <t>Program Model(s) Offered</t>
  </si>
  <si>
    <t>Dual-Language Immersion (Two-Way Immersion)</t>
  </si>
  <si>
    <t>Biliteracy Pathway Recognitions Offered</t>
  </si>
  <si>
    <t>Biliteracy Program Participation Recognition</t>
  </si>
  <si>
    <t>0</t>
  </si>
  <si>
    <t>None</t>
  </si>
  <si>
    <t>Dual-Language Immersion (Two-Way immersion)</t>
  </si>
  <si>
    <t>El Rancho Unified School District</t>
  </si>
  <si>
    <t>Los Angeles Unified School District</t>
  </si>
  <si>
    <t>Linda Verde School</t>
  </si>
  <si>
    <t>Structured English Immersion</t>
  </si>
  <si>
    <t>Biliteracy Program Participation Recognition,  Biliteracy Attainment Recognition</t>
  </si>
  <si>
    <t>Biliteracy Attainment Recognition</t>
  </si>
  <si>
    <t>1</t>
  </si>
  <si>
    <t>Glenview Elementary School</t>
  </si>
  <si>
    <t>Home Language Development Recognition</t>
  </si>
  <si>
    <t>Biliteracy Program Participation Recognition, Biliteracy Attainment Recognition</t>
  </si>
  <si>
    <t>Ontario-Montclair</t>
  </si>
  <si>
    <t>South Bay Union School District</t>
  </si>
  <si>
    <t>Nestor Language Academy Charter; Sunnyslope Elementary</t>
  </si>
  <si>
    <t>2</t>
  </si>
  <si>
    <t>Hayward Unified</t>
  </si>
  <si>
    <t>Contra Costa</t>
  </si>
  <si>
    <t>Antioch Unified</t>
  </si>
  <si>
    <t>John Muir Elementary; Fremont Elementary</t>
  </si>
  <si>
    <t>Biliteracy Program Participation Recognition; Local Recognition</t>
  </si>
  <si>
    <t>Biliteracy Program Participation Recognition; Home Language Development Recognition; Biliteracy Attainment Recognition; Local Recognition</t>
  </si>
  <si>
    <t>Glenn</t>
  </si>
  <si>
    <t>Hamilton Elementary School</t>
  </si>
  <si>
    <t>Hamilton Unified</t>
  </si>
  <si>
    <t>Dual-Language Immersion (Two-Way immersion); Structured English Immersion</t>
  </si>
  <si>
    <t>Monrovia Unified</t>
  </si>
  <si>
    <t>Montebello Unified</t>
  </si>
  <si>
    <t>Pomona Unified</t>
  </si>
  <si>
    <t>Lancaster School District</t>
  </si>
  <si>
    <t>Dual-Language Immersion (Two-Way immersion); Development Bilingual; Structured English Immersion</t>
  </si>
  <si>
    <t>Anaheim Union High School District</t>
  </si>
  <si>
    <t>Dual-Language Immersion (Two-Way immersion); One-Way Immersion</t>
  </si>
  <si>
    <t xml:space="preserve">Dual-Language Immersion (Two-Way immersion), </t>
  </si>
  <si>
    <t>10</t>
  </si>
  <si>
    <t>Hemet Unified</t>
  </si>
  <si>
    <t>San Jacinto Unified</t>
  </si>
  <si>
    <t>Edward Hyatt World Language Academy</t>
  </si>
  <si>
    <t>San Bernardino City Unified</t>
  </si>
  <si>
    <t>Biliteracy Program Participation Recognition; Home Language Development Recognition; Biliteracy Attainment Recognition</t>
  </si>
  <si>
    <t>Biliteracy Program Participation Recognition; Biliteracy Attainment Recognition</t>
  </si>
  <si>
    <t>Dual-Language Immersion (Two-Way immersion); Development Bilingual; One-Way Immersion</t>
  </si>
  <si>
    <t>Valley Center-Pauma Unified</t>
  </si>
  <si>
    <t>San Joaquin</t>
  </si>
  <si>
    <t>Escalon Unified</t>
  </si>
  <si>
    <t>Collegeville Elementary School</t>
  </si>
  <si>
    <t>38</t>
  </si>
  <si>
    <t>San Mateo</t>
  </si>
  <si>
    <t>Home Language Development Recognition; Biliteracy Attainment Recognition</t>
  </si>
  <si>
    <t>South San Francisco Unified School District</t>
  </si>
  <si>
    <t>Guadalupe Union School District</t>
  </si>
  <si>
    <t>Mary Buren Elementary School; Kermit McKenzie Intermediate School</t>
  </si>
  <si>
    <t>Shasta</t>
  </si>
  <si>
    <t>Alum Rock Union Elementary</t>
  </si>
  <si>
    <t>Cupertino Union</t>
  </si>
  <si>
    <t xml:space="preserve">Evergreen Elementary </t>
  </si>
  <si>
    <t>Morgan Hill Unified</t>
  </si>
  <si>
    <t xml:space="preserve">Oak Grove </t>
  </si>
  <si>
    <t xml:space="preserve">Sunnyvale </t>
  </si>
  <si>
    <t>Holly Oak Elementary School</t>
  </si>
  <si>
    <t>Biliteracy Program Participation Recognition; Biliteracy Attainment Recognition; Local Recognition</t>
  </si>
  <si>
    <t>Biliteracy Program Participation Recognition;  Biliteracy Attainment Recognition</t>
  </si>
  <si>
    <t>Tree of Life International Charter School</t>
  </si>
  <si>
    <t>Woodland Joint Unified</t>
  </si>
  <si>
    <t>8</t>
  </si>
  <si>
    <t>Dual-Language Immersion (Two-Way immersion); Native Speakers Courses; Structured English Immersion</t>
  </si>
  <si>
    <t>Recognitions Total</t>
  </si>
  <si>
    <t>54</t>
  </si>
  <si>
    <t>Total: 6</t>
  </si>
  <si>
    <t>2023–24 Biliteracy Pathway Recognition: List of Participating Counties, Districts, and Schools</t>
  </si>
  <si>
    <t xml:space="preserve">Fremont Unified </t>
  </si>
  <si>
    <t>Burbank; Cherryland; Glassbrook; Harder; Longwood; Palma Ceia; Park; Schafer Park; Stonebrae; Tyrrell</t>
  </si>
  <si>
    <t>Bancroft Middle School; John Muir Middle School; Washington Elementary; Jefferson Elementary; Halkin Elementary</t>
  </si>
  <si>
    <t>Bancroft Middle School; Washington Elementary; Jefferson Elementary; Halkin Elementary</t>
  </si>
  <si>
    <t>Dual-Language Immersion (Two-Way Immersion); Development Bilingual</t>
  </si>
  <si>
    <t>San Lorenzo Unified School District/KIPP Public Schools Northern California</t>
  </si>
  <si>
    <t>KIPP King Collegiate High School</t>
  </si>
  <si>
    <t>One-Way Immersion; Native Speakers Courses; Structured English Immersion</t>
  </si>
  <si>
    <t>Total: 5</t>
  </si>
  <si>
    <t>William Hopkins Middle School; Lila Bringhurst Elementary School; John Blacow Elementary School</t>
  </si>
  <si>
    <t>John Swett Unified</t>
  </si>
  <si>
    <t>Rodeo Hills Elementary School; Carquinez Middle School</t>
  </si>
  <si>
    <t>El Dorado</t>
  </si>
  <si>
    <t>Placerville Union</t>
  </si>
  <si>
    <t>Louisiana Schnell Elementary</t>
  </si>
  <si>
    <t>Lamont Elementary</t>
  </si>
  <si>
    <t>Lamont Elementary School; Alicante Avenue Elementary School; Myrtle Avenue Elementary School</t>
  </si>
  <si>
    <t>Richland Union</t>
  </si>
  <si>
    <t>Golden Oak Elementary</t>
  </si>
  <si>
    <t xml:space="preserve">ABC Unified </t>
  </si>
  <si>
    <t xml:space="preserve">Acton-Agua Dulce Unified </t>
  </si>
  <si>
    <t>Baldwin Park Unified</t>
  </si>
  <si>
    <t>Duarte Unified</t>
  </si>
  <si>
    <t>Hacienda La Puente Unified</t>
  </si>
  <si>
    <t>Lynwood Unified</t>
  </si>
  <si>
    <t>Mountain View Elementary School District</t>
  </si>
  <si>
    <t>Santa Clarita Valley International</t>
  </si>
  <si>
    <t xml:space="preserve">Santa Monica-Malibu Unified </t>
  </si>
  <si>
    <t>South Pasadena Unified</t>
  </si>
  <si>
    <t>Total: 16</t>
  </si>
  <si>
    <t>Niemes Elementary School</t>
  </si>
  <si>
    <t>California Pacific Charter - Los Angeles</t>
  </si>
  <si>
    <t>Baldwin Park High School; Sierra Vista High School</t>
  </si>
  <si>
    <t>Duarte High School</t>
  </si>
  <si>
    <t>South Ranchito Dual Language Academy; North Park Academy of the Arts;  Rivera Middle School;  The STEAM Academy @ Burke</t>
  </si>
  <si>
    <t>South Ranchito Dual Language Academy; Rivera Middle School</t>
  </si>
  <si>
    <t>Los Altos Elementary; Valinda School of Academics; Newtom Middle School;Wedgeworth Elementary; Cedarlane Academy</t>
  </si>
  <si>
    <t>Dual-Language Immersion (Two-Way immersion); Foreign Language Elementary Experience (FLEX); Native Speakers Courses; Structured English Immersion</t>
  </si>
  <si>
    <t>Monroe Elementary; Plymouth Elementary</t>
  </si>
  <si>
    <t>Bella Vista Elementary</t>
  </si>
  <si>
    <t>Willard F. Payne Elementary School; Parkview School K-8</t>
  </si>
  <si>
    <t>Pomona High School</t>
  </si>
  <si>
    <t>Heritage Language or Indigenous Language</t>
  </si>
  <si>
    <t>John Adams Middle School</t>
  </si>
  <si>
    <t>Will Rogers Elementary; Cesar Chavez Middle school</t>
  </si>
  <si>
    <t>29</t>
  </si>
  <si>
    <t>18</t>
  </si>
  <si>
    <t>Merced</t>
  </si>
  <si>
    <t>Monterey</t>
  </si>
  <si>
    <t>Nevada</t>
  </si>
  <si>
    <t xml:space="preserve">Atwater Elementary  </t>
  </si>
  <si>
    <t>Hilmar Unified</t>
  </si>
  <si>
    <t>Juniper Elementary School</t>
  </si>
  <si>
    <t>Elim Elementary</t>
  </si>
  <si>
    <t>Monterey Peninsula Unified</t>
  </si>
  <si>
    <t>Dual Language Academy of the Monterey Peninsula</t>
  </si>
  <si>
    <t>Grass Valley</t>
  </si>
  <si>
    <t>Bell Hill Academy; Lyman Gilmore</t>
  </si>
  <si>
    <t>Brookhurst; Orangeview; Walker; Dale; Sycamore; Ball; South; lexington;Cambridge Virtual Academy</t>
  </si>
  <si>
    <t>Sycamore; Brookhurst; Dale; South</t>
  </si>
  <si>
    <t>Dual-Language Immersion (Two-Way immersion); Transitional Bilingual; Development Bilingual; One-Way Immersion; Heritage Language or Indigenous Language; Foreign Language Elementary Experience (FLEX); Native Speakers Courses; Structured English Immersion</t>
  </si>
  <si>
    <t>Fullerton Elementary</t>
  </si>
  <si>
    <t xml:space="preserve">Lowell Joint  </t>
  </si>
  <si>
    <t>Westminster</t>
  </si>
  <si>
    <t>Ladera Vista Jr. High School of the Arts</t>
  </si>
  <si>
    <t xml:space="preserve"> Biliteracy Attainment Recognition</t>
  </si>
  <si>
    <t>Jordan Elementary School</t>
  </si>
  <si>
    <t>Mariners Elementary School; Whittier Elementary; College Park Elementary; Ensign Intermediate School; Costa Mesa Middle School</t>
  </si>
  <si>
    <t>Dual-Language Immersion (Two-Way immersion); One-Way Immersion; Structured English Immersion; Other</t>
  </si>
  <si>
    <t>Orange County Educational Arts Academy</t>
  </si>
  <si>
    <t>Olivewood DLI TK; Gates DLI Elementary; Los Alisos Intermediate School; Laguna Hills High School</t>
  </si>
  <si>
    <t>Olivewood DLI TK; Gates DLI Elementary School</t>
  </si>
  <si>
    <t>Anderson Elementary School; Clegg Elementary School; DeMille Elementary School; Eastwood Elementary School; Finley Elementary School; Fryberger Elementary School, Hayden Elementary School; Meairs Elementary School; Schmitt Elementary School; Schroeder Elementary School; Sequoia Elementary School; Webber Elementary School; Willmore Elementary School; Johnson Middle School; Stacey Middle School; Warner Middle School</t>
  </si>
  <si>
    <t>Willmore Elementary School; DeMille Elementary School</t>
  </si>
  <si>
    <t>Total: 8</t>
  </si>
  <si>
    <t xml:space="preserve">Corona Norco Unified </t>
  </si>
  <si>
    <t xml:space="preserve">Lake Elsinore Unified </t>
  </si>
  <si>
    <t>Moreno Valley Unified</t>
  </si>
  <si>
    <t>Palo Verde Unified</t>
  </si>
  <si>
    <t>Cesar Chavez Academy; Garretson Elementary School; George Washington Elementary School; Harada Elementary School; Home Gardens Academy; Vandermolen Elementary School; Philistine Rondo School of Discovery; Rosa Parks Elementary School</t>
  </si>
  <si>
    <t>Acacia Middle School; Academy Of Innovation; Dartmouth Middle School; Diamond Valley Middle School; Hamilton High School; Rancho Viejo Middle School; Hemet Dual Language Academy; Harmony Elementary; Hemet High School; Little Lake Elementary School; Ramona Elementary; Tahquitz High School; West Valley High School; Western Center Academy</t>
  </si>
  <si>
    <t>Hemet Dual Language Academy</t>
  </si>
  <si>
    <t>Railroad Canyon Elementary School</t>
  </si>
  <si>
    <t>Armada Elementary; Sunnymead Elementary; Creekside Elementary; Butterfield Language Academy; Mountain View Middle; Badger Springs; Butterfield Language Academy; Vista Del Lago High School</t>
  </si>
  <si>
    <t>Palo Verde High School</t>
  </si>
  <si>
    <t>Structured English Immersion; FOREIGN LANGUAGE : SPANISH I-IV &amp; AP SPANISH</t>
  </si>
  <si>
    <t>Megan Cope Elementary; De Anza Elementary; Estudillo Elementary; Edward Hyatt World Language Academy; Park Hill Elementary; Record Elementary; San Jacinto Elementary; San Jacinto Leadership Academy; Monte Vista Middle School; North Mountain Middle School; San Jacinto Technology School</t>
  </si>
  <si>
    <t>Dual-Language Immersion (Two-Way immersion); Foreign Language Elementary Experience (FLEX); Structured English Immersion</t>
  </si>
  <si>
    <t>43</t>
  </si>
  <si>
    <t>11</t>
  </si>
  <si>
    <t>Folsom Cordova Unified</t>
  </si>
  <si>
    <t>Natomas Charter School</t>
  </si>
  <si>
    <t>Robla Unified</t>
  </si>
  <si>
    <t>Blanche Sprentz Elementary, Cordova Gardens Elementary, Cordova Meadows Elementary, Carl H. Sundahl Elementary, Cordova Villa Elementary, Empire Oaks Elementary, Folsom Hills Elementary, Gold Ridge Elementary, Innovations Academy at Folsom Cordova, Mather Heights Elementary, Mangini Ranch Elementary, Natoma Station Elementary, Navigator Elementary, Oak Chan Elementary, Peter J. Shields Elementary, Rancho Cordova Elementary, Russell Ranch Elementary, Riverview Stem Academy, Sandra J. Gallardo Elementary, Theodore Judah Elementary, Williamson Elementary, White Rock Elementary, Folsom Cordova Community Charter Homeschool, Folsom Middle School, Mills Middle School, Sutter Middle School, W. E. Mitchell Middle School</t>
  </si>
  <si>
    <t>Foreign Language in Elementary Schools (FLES); Structured English Immersion</t>
  </si>
  <si>
    <t>New Hope Charter School</t>
  </si>
  <si>
    <t>Heritage Language or Indigenous Language; Native Speakers Courses</t>
  </si>
  <si>
    <t>Las Palmas Elementary; Madison Elementary; Martin Luther King Jr. Technology Academy</t>
  </si>
  <si>
    <t>Colton Joint Unified</t>
  </si>
  <si>
    <t>Hesperia Unified</t>
  </si>
  <si>
    <t>Grand Terrace Elementary</t>
  </si>
  <si>
    <t>Joshua Circle Elementary School; Kingston Elementary School</t>
  </si>
  <si>
    <t>Central Language Academy; Euclid Elementary School; Arroyo Elementary; Berlyn Elementary; Buena Vista Arts-Integrated; Corona Elementary; De Anza Middle School; Del Norte Elementary; Edison Academy of Differentiated Learning; Hawthorne Elementary; Howard Elementary; Lehigh Elementary; Lincoln Elementary; Mission Elementary; Monte Vista Elementary; Montera Elementary; Moreno Elementary; Oaks Middle School; Online Academy; Ramona Elementary; Ray Wiltsey Middle School; Richard Haynes Elementary; Serrano Middle School; Sultana Elementary; Vernon Middle School; Vina Danks Middle School; Vineyard Elementary.</t>
  </si>
  <si>
    <t>Central Language Academy; Euclid Elementary School; Montera Elementary</t>
  </si>
  <si>
    <t>Dual-Language Immersion (Two-Way immersion); Foreign Language in Elementary Schools (FLES); Native Speakers Courses; Structured English Immersion</t>
  </si>
  <si>
    <t>Anton; Belvedere; Bing Wong; Bonnie Oehl; Bradley; Brown; Cypress; Gomez; Henry; Hillside; Jones; Lankershim; Lincoln; Lytle Creek; Marshall; Muscoy; Paakuma; Riley; Roberts; Roosevelt; Salinas; Urbita; Vermont; Virtual Academy; Warm Springs; Wilson</t>
  </si>
  <si>
    <t>Dual-Language Immersion (Two-Way immersion);  Foreign Language in Elementary Schools (FLES); Structured English Immersion</t>
  </si>
  <si>
    <t>57</t>
  </si>
  <si>
    <t>5</t>
  </si>
  <si>
    <t>San Diego County Office of Education</t>
  </si>
  <si>
    <t>Warner Unified</t>
  </si>
  <si>
    <t>Dual Language Immersion North County</t>
  </si>
  <si>
    <t>Adams 90:10 S (K-5); Balboa 90:10 S (UTK-5); Burbank 50:50 S (K-5); Chavez 80:20 S (UTK-5); Cherokee Point 90:10 S (UTK-5); Encanto 50:50 S (K-5); Field 90:10 S (K-5); Kimbrough 50:50 S (K-5); Fay 90:10 S (UTK-5); Golden Hill UTK-8 50:50 W; Language Academy K-8 90:10 W; Sherman 50:50 W (UTK-5); Boone 90:10 S (K-5); Barnard Mandarin Immersion W 80:20, Grades 1-5  50:50 (K-5); Gage 90:10 S (K-5); Longfellow UTK-8 W Total Immersion 100% in UTK-2, English instruction added at 3rd and above; John Muir UTK-8 90:10 W; Tierrasanta 50:50 S (K-5); Juarez   90:10  W (UTK-5); Language Academy K-8 W Total Immersion 100% in K-2, English instruction added at 3rd and above, French Immersion; Carson 90:10 S (UTK-5); Central 90:10 S (UTK-5); Edison 50:50 S (K-5); Hamilton 90:10 S (K-5); Linda Vista 80:20 S (UTK-5); Rosa Parks  80:20 S (UTK-5; Bell, 6-8 Spanish, Tagalog; Clark, 6-8 Spanish; De Portola (Spanish); Golden Hill K-8, Spanish; Innovation, 6-8 Spanish, ASL ; Knox, 6-8 Spanish; Language Academy K-8, French/Spanish; Logan Memorial Educational Complex (LMEC) (Spanish); Longfellow K-8, Spanish, French; Mann, 6-8 Spanish; Montgomery, 6-8  Spanish; John Muir K-8, (Spanish); Pacific Beach, 6-8  Mandarin;  Pershing, 6-8 Spanish; Roosevelt, 6-8 Spanish; Taft Middle, 6-8 Spanish;  Wilson, 6-8 Spanish</t>
  </si>
  <si>
    <t>Biliteracy Program Participation Recognition, Local Recognition</t>
  </si>
  <si>
    <t>Valley Center Primary School; Lilac School; Pauma School; Valley Center Elementary; Valley Center Middle School</t>
  </si>
  <si>
    <t>Hannalei Elementary; Grapevine Elementary; Alamosa Park Elementary</t>
  </si>
  <si>
    <t>California Pacific Charter of San Diego</t>
  </si>
  <si>
    <t>Total: 10</t>
  </si>
  <si>
    <t>64</t>
  </si>
  <si>
    <t>San Francisco</t>
  </si>
  <si>
    <t>San Francisco Unified</t>
  </si>
  <si>
    <t>Alvarado ES; Bryant ES; Buena Vista Horace Mann K-8; Carmichael (Bessie) K-8; Chavez (Cesar) ES; Chinese Immersion School at DeAvila ES; Clarendon ES; Cleveland ES; Flynn (Leonard R) ES; Garfield ES; Glen Park ES; Harte (Bret) ES; Huerta (Dolores) ES; King (Thomas Starr) ES; Lau (Gordon J) ES; Lee (Edwin and Anita) Newcomer ES; Lilienthal (Claire) K-8; Longfellow ES; Marshall ES; Mission Education Center ES; Monroe ES; Moscone (George R) ES; Ortega (Jose) ES; Parker (Jean) ES; Parks (Rosa) ES; Redding ES; Revere (Paul) K-8; Sanchez ES; Serra (Junipero) ES; Spring Valley Science ES; Sutro ES; Taylor (Edward R) ES; Tenderloin Community ES; Ulloa ES; Visitacion Valley ES; Webster (Daniel) ES; West Portal ES; Yu (Alice Fong) K-8</t>
  </si>
  <si>
    <t>Alvarado ES; Buena Vista Horace Mann K-8; Chinese Immersion School at DeAvila ES; Flynn (Leonard R) ES; Garfield ES; Harte (Bret) ES; Huerta (Dolores) ES; King (Thomas Starr) ES; Lilienthal (Claire) K-8; Marshall ES; Monroe ES; Ortega (Jose) ES; Revere (Paul) K-8; Webster (Daniel) ES; West Portal ES; Yu (Alice Fong) K-8</t>
  </si>
  <si>
    <t>Dual-Language Immersion (Two-Way immersion); Transitional Bilingual; Development Bilingual; One-Way Immersion; Foreign Language in Elementary Schools (FLES)</t>
  </si>
  <si>
    <t>16</t>
  </si>
  <si>
    <t>San Luis Obispo</t>
  </si>
  <si>
    <t xml:space="preserve">Paso Robles Joint Unified </t>
  </si>
  <si>
    <t>Flamson Middle School</t>
  </si>
  <si>
    <t>Dual-Language Immersion (Two-Way immersion); Structured English Immersion; Newcomers</t>
  </si>
  <si>
    <t xml:space="preserve">Cabrillo Unified </t>
  </si>
  <si>
    <t>Alvin S. Hatch Elementary School</t>
  </si>
  <si>
    <t>Redwood City</t>
  </si>
  <si>
    <t>Kennedy Middle School Hoover Community School</t>
  </si>
  <si>
    <t>Dual-Language Immersion (Two-Way immersion); Development Bilingual</t>
  </si>
  <si>
    <t>San Mateo-Foster City</t>
  </si>
  <si>
    <t>Fiesta Gardens International School; College Park Elementary School; Bayside Academy; Abbott Middle School</t>
  </si>
  <si>
    <t>Fiesta Gardens International School; College Park Elementary School</t>
  </si>
  <si>
    <t>Dual-Language Immersion (Two-Way immersion); One-Way Immersion; Foreign Language in Elementary Schools (FLES); Structured English Immersion</t>
  </si>
  <si>
    <t>Westborough Middle; Monte Verde Elementary; Ponderosa Elementary; Sunshine Gardens Elementary; Los Cerritos Elementary; Spruce Elementary; Buri Buri Elementary; Skyline Elementary</t>
  </si>
  <si>
    <t>Alvin S. Hatch Elementary School; Manuel F. Cunha Intermediate School</t>
  </si>
  <si>
    <t>15</t>
  </si>
  <si>
    <t>Adelante Charter</t>
  </si>
  <si>
    <t>Adelante Charter School</t>
  </si>
  <si>
    <t>Los Gatos Union</t>
  </si>
  <si>
    <t>Mt. Pleasant Elementary</t>
  </si>
  <si>
    <t>San Jose Unified</t>
  </si>
  <si>
    <t>Santa Clara County Office of Education</t>
  </si>
  <si>
    <t>Adelante Dual Language Academy ; Adelante II Dual Language Academy; Painter Vietnamese Immersion Program</t>
  </si>
  <si>
    <t>John Muir Elementary School; Joaquin Miller Middle School</t>
  </si>
  <si>
    <t>John Muir Elementary School</t>
  </si>
  <si>
    <t>Lexington Elementary School</t>
  </si>
  <si>
    <t>Foreign Language Elementary Experience (FLEX)</t>
  </si>
  <si>
    <t>P. A. Walsh; San Martin Gwinn Environmental Science Academy</t>
  </si>
  <si>
    <t>Ida Jew Academy</t>
  </si>
  <si>
    <t>Edenvale Elementary</t>
  </si>
  <si>
    <t>One-Way Immersion</t>
  </si>
  <si>
    <t>Walter L. Bachrodt Elementary School; Merritt Trace Elementary School; River Glen Elementary School; Willow Glen Elementary School; Gardner Elementary School; Herbert Hoover Middle School;  Muwekma Ohlone Middle School</t>
  </si>
  <si>
    <t>River Glen K-8 School; Herbert Hoover Middle School; Willow Glen Middle School;</t>
  </si>
  <si>
    <t>Dual-Language Immersion (Two-Way immersion); Foreign Language in Middle Schools</t>
  </si>
  <si>
    <t>Bullis Charter School</t>
  </si>
  <si>
    <t>Foreign Language in Elementary Schools (FLES)</t>
  </si>
  <si>
    <t>San Miguel Elementary School; Columbia Middle School</t>
  </si>
  <si>
    <t>San Miguel Elementary School; Columbia Middle Schoo</t>
  </si>
  <si>
    <t>Biliteracy Program Participation Recognition; Home Language Development Recognition;   Biliteracy Attainment Recognition</t>
  </si>
  <si>
    <t>21</t>
  </si>
  <si>
    <t>13</t>
  </si>
  <si>
    <t>Sonoma</t>
  </si>
  <si>
    <t>Stanislaus</t>
  </si>
  <si>
    <t>Tehama</t>
  </si>
  <si>
    <t>Tulare</t>
  </si>
  <si>
    <t xml:space="preserve">Guerneville </t>
  </si>
  <si>
    <t>California Pacific Charter - Sonoma</t>
  </si>
  <si>
    <t xml:space="preserve">Newman Crows Landing Unified </t>
  </si>
  <si>
    <t>Von Renner Elementary</t>
  </si>
  <si>
    <t>Gerber Union Elementary; Tehama County Department of Education</t>
  </si>
  <si>
    <t>Gerber Elementary; Lincoln Street School</t>
  </si>
  <si>
    <t>Biliteracy Program Participation Recognition; Home Language Development Recognition</t>
  </si>
  <si>
    <t>Cutler Orosi Joint Unified</t>
  </si>
  <si>
    <t>Golden Valley Elementary School; Cutler Elementary School</t>
  </si>
  <si>
    <t>Beamer Elementary; Dingle Elementary; Woodland Prairie Elementary; Douglass Middle School; Lee Middle School; Gibson Elementary; Maxwell Elementary; Ramon S. Tafoya; SciTech Academy; Spring Lake Elementary; Whitehead Elementary; Zamora Elementary; Woodland High School</t>
  </si>
  <si>
    <t>Beamer Elementary; Dingle Elementary; Woodland Prairie Elementary; Douglass Middle School; Lee Middle School</t>
  </si>
  <si>
    <t>San Juan Unified</t>
  </si>
  <si>
    <t>Thomas Edison Language Institute</t>
  </si>
  <si>
    <t>33</t>
  </si>
  <si>
    <t>West Contra Costa Unified</t>
  </si>
  <si>
    <t>Washington Elementary; West County Mandarin K-8; Stewart Elementary; Dover Elementary; Downer Elementary; Ford Elementary; Grant Elementary; Coronado Elementary; Lake Elementary; Lincoln Elementary; Korematsu Middle School.</t>
  </si>
  <si>
    <t>Washington Elementary; West County Mandarin K-8</t>
  </si>
  <si>
    <t>Total: 3</t>
  </si>
  <si>
    <t>Culver City Unified School District</t>
  </si>
  <si>
    <t>Farragut; Lin Howe; La Ballona; El Rincon; El Marino; Culver City Middle School</t>
  </si>
  <si>
    <t>El Marino La Ballona Culver City Middle School</t>
  </si>
  <si>
    <t>Dual-Language Immersion (Two-Way immersion); Heritage Language or Indigenous Language; Structured English Immersion</t>
  </si>
  <si>
    <t>Marengo Elementary; Monterey Hills Elementary; South Pasadena Middle School; South Pasadena High School</t>
  </si>
  <si>
    <t>Dual-Language Immersion (Two-Way immersion); Foreign Language Elementary Experience (FLEX); Foreign Language in Elementary Schools (FLES); Native Speakers Courses</t>
  </si>
  <si>
    <t>Grand Total: 26</t>
  </si>
  <si>
    <t>Cajon Valley Union School District</t>
  </si>
  <si>
    <t>Lexington Elementary</t>
  </si>
  <si>
    <t>Development Bilingual</t>
  </si>
  <si>
    <t>Chula Vista</t>
  </si>
  <si>
    <t>Leonardo da Vinci Health Sciences Charter School</t>
  </si>
  <si>
    <t>Chula Vista Elementary School District</t>
  </si>
  <si>
    <t>EastLake; Lauderbach; Harborside; Lauderbach J Calvin; Camarena, Enrigue S.; Clear View; Hedenkamp, Anne &amp; William; Heritage; Jeffers, Fahari L.; Loma Verde; Lost Altos; Rice, Lilian J.; Silver Wing; Valley Vista; Liberty; Muraoka, Saburo; Salt Creek; Tiffany, Burton C.; Valle Lindo; Veterans</t>
  </si>
  <si>
    <t>Dehesa</t>
  </si>
  <si>
    <t>Cabrillo Point Academy</t>
  </si>
  <si>
    <t>Escondido Union School District</t>
  </si>
  <si>
    <t>Lincoln Elementary, Farr Avenue Elementary, Pioneer Elementary, Glen View Elementary, and Mission Middle School.</t>
  </si>
  <si>
    <t>109th St El;112th St El;116th St El;118th St El;122nd St El;135th St El;153rd St El;156th St El;15th St El;186th St El;1st St El;20th St El;24th St El;28th St El;2nd St El;32nd St USC PA Mag;3rd St El;42nd St El;4th St El;4th St PC;52nd St El;54th St El;61st St El;66th St El;6th Ave El;74th St El;75th St El;92nd St El;93rd St El;95th St El;96th St El;9th St El;Acad Enrich Sci Mag;Adams MS;Aldama El;Alexander SCS;Alexandria Ave El;Alta California El;Alta Loma El;Ambler Ave El;Amestoy El;Andasol Ave El;Annandale El;Anton El;Apperson St El;Arlington Hts El;Arminta St El;Ascot Ave El;Atwater Ave El;Audubon MS;Aurora El;Baca Arts Acad;Balboa El G/HG/HA Mag;Bancroft MS;Bandini St El;Barrett El;Barton Hill El;Bassett St El;Beachy Ave El;Beckford CES;Beethoven St El;Bellingham El;Berendo MS;Bertrand Ave El;Bethune MS;Blythe St El;Braddock Dr El;Bridges School;Bright El;Broad Ave El;Broadacres Av El;Broadous El;Broadway El;Brockton Ave El;Brooklyn School;Buchanan St El;Burbank Blvd El;Burroughs MS;Burton St El;Bushnell Way El;Byrd MS;Cabrillo Ave El;Cahuenga El;Calabash CA;Calahan St El;Calvert CES;Camellia Ave El;Canfield Ave El;Canoga Park El;Canoga Pk MS;Cantara St El;Canterbury Ave El;Cardenas El;Carnegie MS;Caroldale LC;Carpenter Comm Chtr;Carson St El;Carson-Gore Academy;Carthay El ES Mag;Castelar St El;Castle Hts El;Castlebay Ln Chtr;Catskill Ave El;Century Park El;Chandler El;Chapman El;Charnock Road El;Chase St El;Chatsworth UP/CD Mag;Chavez El;Cienega El;Cimarron Ave El;City of Angels;City Terrace El;Clifford St M/T Mag;Clover Ave El;Cochran MS;Coeur D Alene Ave El;Cohasset St El;Coldwater Cyn El;Colfax CEl;Columbus Ave El;Commonwlth Ave El;Community El Mag CS;Corona Ave El;Coughlin El;Cowan Ave El;Crescent Hts Bl El Mg;Crestwood St STEAM Mg;Curtiss MS;Dahlia Hts El;Danube Ave El;Darby Ave El;Dayton Heights El;De la Torre Jr El;Dearborn El CA;Del Amo El;Del Olmo El;Denker Ave El;Dixie Cyn CC;Dodson MS;Dominguez El;Drew MS;Dyer St El;Eagle Rock El;Eagle Rock HS;Eastman Ave El;Edison MS;El Dorado Ave El;El Oro Way CES;El Sereno MS;Elizabeth LC;Elysian Hts Arts Mag;Emelita St El;Encino CEl;Erwin El;Escalante El;Escutia PC;Esperanza El;Estrella El;Euclid Ave El;Fair Ave El;Fairburn Ave El;Farmdale El;Fernangeles El;Fishburn Ave El;Fleming MS;Fletcher Dr El;Florence Ave El;Flournoy El;Ford Blvd El;Foshay LC;Franklin HS;Fries Ave El;Frost MS;Fullbright Ave El;Fulton College Prep;Gage MS;GAL King Sch for STEM;Garden Grove El;Gardena El;Garza PC;Gates St El;Gault St El;Germain Acad AA;Gledhill St El;Glen Alta El;Glenfeliz Blvd El;Gompers MS;Graham El;Granada El;Grand Vw Bl El;Grant El;Gratts LA for YS;Gridley-Montanez El;Griffith MS STEAM Mg;Gulf Ave El;Haddon Ave El;Hale CA;Hancock Park El;Harbor City El;Harding St El;Harmony El;Harrison St El;Hart St El;Harte Prep MS;Harvard El;Haskell El STEAM Mag;Haynes CES;Hazeltine Ave El;Heliotrope Ave El;Henry MS;Herrick Ave El;Hesby Oaks Lead Chtr;Hillcrest Dr El;Hillside El;Hobart Blvd El;Hollenbeck MS;Hollywood El;Holmes MS;Hooper Ave El;Hooper Ave PC;Hubbard St El;Huerta El;Humphreys Ave El;Huntington Dr El;Huntngtn Pk El;Independence El;International St LC;Ivanhoe El;Jones PC;Justice St Acad Chtr;Kenter Canyon EC;Kentwood El;Kester Ave El;Kim Academy;Kim El;King Jr El;King MS Mag Flm/Mdia;Kingsley El;Kittridge St El;Knollwood Prep Acad;Knox El;Korenstein El;La Salle Ave El;LACES Mag;Lafayette Park PC;Lake Balboa CP K-12;Lake St Primary;Lane El;Langdon Ave El;Lassen El;Latona Ave El;Laurel CACT Mag;Lawrence MS;Lawson Acad A/M/S El;Le Conte MS;Lee El Med Hlth Mag;Lemay St El;Lexington Ave PC;Liberty Blvd El;Liggett St El;Limerick Ave El;Lizarraga El;Lockhurst Dr CEl;Logan Academy;Loma Vista El;Lomita El M/S/T Mag;Lorena St El;Loreto St El;Lorne St El;Los Angeles Acad MS;Los Feliz STEMM Mag;MacArthur Pk El VAPA;MaCES Mag;Mack El;Maclay MS;Madison El;Madison MS;Magnolia Ave El;Main St El;Malabar St El;Manhattan Place El;Maple PC;Mar Vista El;Marianna Ave El;Mariposa-Nabi PC;Mark Twain MS;Markham MS;Marlton School;Marvin El;Mayall St Ac A/T Mag;Mayberry St El;McKinley Ave El;Melrose Ave El M/S Mg;Melvin Ave El;Menlo Ave El;Meyler St El;Micheltorena St El;Middleton St El;Middleton St PC;Miles Ave El;Miller El;Miramonte El;Monlux El;Montara Ave El;Moore M/S/T Acad;Morningside El;Mosk El;Mount Gleason MS;Mountain View El;Mulholland MS;Multnomah St El;Napa St El;Nestle Ave Charter;Nevada Ave El;Nevin Ave El;Newcastle El;Nightingale MS;Nimitz MS;Nobel CMS;Noble Ave El;Normandie Ave El;Normont El;Northridge MS;Obama El;Obama Glbl Prep Acad;Ochoa LC;Olive Vista MS;Olympic PC;Open Charter Mag;Orchard Academies 2C;Osceola St El;Overland Ave El;Oxnard St El;Pacific Blvd School;Pacoima MS;Palms MS;Panorama City El;Park Ave El;Park Wstn Pl El;Parks LC;Parmelee Ave El;Parthenia Ac Art Tec;Paseo del Rey El;Pinewood Ave El;Plasencia El;Playa Vista El;Plummer El;Poindexter LaMotte El;Politi El;Pomelo Community CS;Porter MS;Porter Ranch School;Portola CM;President Ave El;Primary Academy;Pt Fermin El Mr/S Mg;Queen Anne Pl El;Ramona El;Ranchito Ave El;Reed MS;Reseda Charter HS;Reseda El;Revere CMS;RFK Ambsdr Glbl Edu;RFK Ambsdr Glbl Ldsh;RFK New Open Wld;RFK UCLA Comm Sch;Richland Ave El;Rio Vista El;Riordan PC;Roscoe El;Roscomare Rd El;Rosewood UP/UD Mag;Rowan Ave El;Roybal-Allard El;Russell El;San Fernando El;San Fernando MS;San Gabriel Ave El;San Jose St El;San Miguel El;San Pedro St El;Santana Art Ac;Saticoy El;Saturn St El;Science Ac STEM Mag;Sendak El;Sepulveda MS;Serrania Ave CES;Sharp Ave El;Shenandoah St El;Sheridan St El;Sherman Oaks El CS;Shirley Ave El;Sierra Park El;SOCES Mag;Sotomayor Art/Sci Mag;South Gate MS;South Park El;South Shores El PA Mg;Southeast MS;Stagg St El;Stanford Ave El;Stanford Ave PC;State St El;Sterry El;Stevenson CCP;Stonehurst STEAM Mag;Stoner Ave El;Strathern St El;Sunny Brae Ave El;Superior St El;Sutter MS;Sylmar El;Sylvan Park El;Taper Ave El;Telfair Ave El;Toluca Lake El;Topeka Dr CAS;Towne Ave El;Trinity St El;Tulsa St El;Tweedy El;VA Arts &amp; Entmt;VA Business &amp; Entrep;VA Computer Science;VA IntStudies Wld Lg;VA LDSRP &amp; Pub Srvc;VA STEAM;Valerio St El;Van Ness Ave El;Van Nuys El;Van Nuys MS;Vanalden Ave El;Vena Ave El;Vermont Ave El;Vernon City El;Victory Blvd El;Vine St El;Vintage El M/S/T Mag;Virgil MS;Virginia Rd El;Vista del Valle Acad;Vista MS;VOCES Mag;Wadsworth Ave El;Walnut Park El;Walnut Park MS STEM;Washington PC;Webster MS;Weigand Ave El;Welby Way CEl;West Athens El;West Vernon Ave El;Westminster MTES Mag;Westwood CEl;White El;White MS;Wilbur CEA;Willow El;Wilmington Park El;Wilmington STEAM Mag;Wilshire Crest El;Wilshire Park El;Wilton Pl El;Wisdom El;Wonderland Ave El;Woodcrest El;Woodlake ECC;Woodland Hills Acad;Woodland Hills CES;Woodlawn Ave El;Wright Eng Des Mag; 116th Street Elementary DL Two-Way Im Spanish;118th Street Elementary DL Two-Way Im Spanish;122nd Street Elementary DL Two-Way Im Spanish;135th Street Elementary DL Two-Way Im Spanish;153rd Street Elementary DL Two-Way Im Spanish;20th Street Elementary DL Two-Way Im Spanish;28th Street Elementary DL One-Way Im Spanish;2nd Street Elementary DL Two-Way Im Spanish;3rd Street Elementary DL Two-Way Im Korean;4th Street Primary Center DL Two-Way Im Spanish;61st Street Elementary DL Two-Way Im Spanish;75Th Street Elementary DL Two-Way Im Spanish;96th Street Elementary DL Two-Way Im Spanish;Aldama Elementary DL Two-Way Im Spanish;Alexandria Avenue Elementary DL Two-Way Im Spanish;Alta Loma Elementary DL Two-Way Im Spanish;Ambler Avenue Elementary DL Two-Way Im Spanish;Amestoy El DL Two-Way Im Japanese;Arlington Heights Elementary DL Two-Way Im Spanish;Atwater Avenue Elementary DL Two-Way Im Spanish;Aurora Elementary DL Two-Way Im Spanish;Bandini Street Elementary DL Two-Way Im Spanish;Bassett Street Elementary DL Two-Way Im Spanish;Braddock Drive Elementary DL Two-Way Im Mandarin;Broadway Elementary DL Two-Way Im Mandarin;Broadway Elementary DL Two-Way Im Spanish;Bushnell Way Elementary DL Two-Way Im Spanish;Cahuenga Elementary DL One-Way Im Spanish;Cahuenga Elementary DL Two-Way Im Korean;Camellia Avenue Elementary DL Two-Way Im Spanish;Carlos Santana Arts Academy DL Two-Way Im Spanish;Carson-Gore Elementary DL Two-Way Im Spanish;Castelar Street Elementary DL Two-Way Im Mandarin;Catskill Avenue Elementary DL Two-Way Im Spanish;Chapman Elementary DL Two-Way Im Mandarin;Charles H Kim Elementary DL One-Way Im Korean;Charles H Kim Elementary DL Two-Way Im Spanish;Cienega Elementary DL Two-Way Im Spanish;City Terrace Elementary DL Two-Way Im Mandarin;Cohasset Street Elementary DL One-Way Im Spanish;Coldwater Canyon DL Two-Way Im Spanish;Cowan Avenue Elementary DL World Lang Im Spanish;Denker Avenue Elementary DL Two-Way Im Korean;Dominguez Elementary DL Two-Way Im Spanish;Dr Theodore T Alexander Jr Science Ctr DL Two-Way Im Spanish;Eastman Avenue Elementary DL One &amp; Two-Way Im Spanish;Elizabeth LC DL Two-Way Im Arabic;Ellen Ochoa LC DL Two-Way Im Spanish;Euclid Avenue Elementary DL Two-Way Im Spanish;Farmdale Elementary DL Two-Way Im Spanish;Fernangeles DL One &amp; Two-Way Im Spanish;Fishburn Avenue Elementary DL Two-Way Im Spanish;Florence Avenue Elementary DL Two-Way Im Spanish;Florence Nightingale Middle School;Florence Nightingale Middle School Bus Entrprshp Tech Magnet;Flournoy Elementary DL Two-Way Im Spanish;Ford Boulevard Elementary DL Two-Way Im Spanish;Gardena Elementary DL Two-Way Im Spanish;Gates Street Elementary DL Two-Way Im Mandarin;Gates Street Elementary DL Two-Way Im Spanish;Graham Elementary DL Two-Way Im Spanish;Grand View Boulevard Elementary DL Two-Way Im Spanish;Gratts LA For YS DL One-Way Im Spanish;Gridley-Montanez Elementary DL Two-Way Im Spanish;Harmony Elementary DL Two-Way Im Spanish;Harrison Street Elementary DL Two-Way Im Spanish;Hazeltine Avenue Elementary DL Two-Way Im Spanish;Hillcrest Drive Elementary DL Two-Way Im Spanish;Hobart Boulevard Elementary DL Two-Way Im Spanish;Humphreys Avenue Elementary DL Two-Way Im Spanish;Huntington Drive Elementary DL Two-Way, N.E.W. Academy of Science and Art</t>
  </si>
  <si>
    <t xml:space="preserve"> 116th Street Elementary DL Two-Way Im Spanish;118th Street Elementary DL Two-Way Im Spanish;122nd Street Elementary DL Two-Way Im Spanish;135th Street Elementary DL Two-Way Im Spanish;153rd Street Elementary DL Two-Way Im Spanish;20th Street Elementary DL Two-Way Im Spanish;28th Street Elementary DL One-Way Im Spanish;2nd Street Elementary DL Two-Way Im Spanish;3rd Street Elementary DL Two-Way Im Korean;4th Street Primary Center DL Two-Way Im Spanish;61st Street Elementary DL Two-Way Im Spanish;75Th Street Elementary DL Two-Way Im Spanish;96th Street Elementary DL Two-Way Im Spanish;Aldama Elementary DL Two-Way Im Spanish;Alexandria Avenue Elementary DL Two-Way Im Spanish;Alta Loma Elementary DL Two-Way Im Spanish;Ambler Avenue Elementary DL Two-Way Im Spanish;Amestoy El DL Two-Way Im Japanese;Arlington Heights Elementary DL Two-Way Im Spanish;Atwater Avenue Elementary DL Two-Way Im Spanish;Aurora Elementary DL Two-Way Im Spanish;Bandini Street Elementary DL Two-Way Im Spanish;Bassett Street Elementary DL Two-Way Im Spanish;Braddock Drive Elementary DL Two-Way Im Mandarin;Broadway Elementary DL Two-Way Im Mandarin;Broadway Elementary DL Two-Way Im Spanish;Bushnell Way Elementary DL Two-Way Im Spanish;Cahuenga Elementary DL One-Way Im Spanish;Cahuenga Elementary DL Two-Way Im Korean;Camellia Avenue Elementary DL Two-Way Im Spanish;Carlos Santana Arts Academy DL Two-Way Im Spanish;Carson-Gore Elementary DL Two-Way Im Spanish;Castelar Street Elementary DL Two-Way Im Mandarin;Catskill Avenue Elementary DL Two-Way Im Spanish;Chapman Elementary DL Two-Way Im Mandarin;Charles H Kim Elementary DL One-Way Im Korean;Charles H Kim Elementary DL Two-Way Im Spanish;Cienega Elementary DL Two-Way Im Spanish;City Terrace Elementary DL Two-Way Im Mandarin;Cohasset Street Elementary DL One-Way Im Spanish;Coldwater Canyon DL Two-Way Im Spanish;Cowan Avenue Elementary DL World Lang Im Spanish;Denker Avenue Elementary DL Two-Way Im Korean;Dominguez Elementary DL Two-Way Im Spanish;Dr Theodore T Alexander Jr Science Ctr DL Two-Way Im Spanish;Eastman Avenue Elementary DL One &amp; Two-Way Im Spanish;Elizabeth LC DL Two-Way Im Arabic;Ellen Ochoa LC DL Two-Way Im Spanish;Euclid Avenue Elementary DL Two-Way Im Spanish;Farmdale Elementary DL Two-Way Im Spanish;Fernangeles DL One &amp; Two-Way Im Spanish;Fishburn Avenue Elementary DL Two-Way Im Spanish;Florence Avenue Elementary DL Two-Way Im Spanish;Florence Nightingale Middle School;Florence Nightingale Middle School Bus Entrprshp Tech Magnet;Flournoy Elementary DL Two-Way Im Spanish;Ford Boulevard Elementary DL Two-Way Im Spanish;Gardena Elementary DL Two-Way Im Spanish;Gates Street Elementary DL Two-Way Im Mandarin;Gates Street Elementary DL Two-Way Im Spanish;Graham Elementary DL Two-Way Im Spanish;Grand View Boulevard Elementary DL Two-Way Im Spanish;Gratts LA For YS DL One-Way Im Spanish;Gridley-Montanez Elementary DL Two-Way Im Spanish;Harmony Elementary DL Two-Way Im Spanish;Harrison Street Elementary DL Two-Way Im Spanish;Hazeltine Avenue Elementary DL Two-Way Im Spanish;Hillcrest Drive Elementary DL Two-Way Im Spanish;Hobart Boulevard Elementary DL Two-Way Im Spanish;Humphreys Avenue Elementary DL Two-Way Im Spanish;Huntington Drive Elementary DL Two-Way Im Spanish;Huntington Park  Elementary DL Two-Way Im Spanish;John W Mack Elementary DL Two-Way Im Spanish;Judith F Baca Arts Acad DL Two-Way Im Spanish;Kingsley Elementary DL Two-Way Im Spanish;Kittridge Street Elementary DL Two-Way Im Armenian;Kittridge Street Elementary DL Two-Way Im Spanish;La Salle Avenue Elementary DL Two-Way Im Spanish;Lassen Elementary DL Two-Way Im Spanish;Latona Avenue Elementary DL Two-Way Im Spanish;Limerick Avenue Elementary DL Two-Way Im Spanish;Lorena Street Elementary DL Two-Way Im Spanish;Loreto Street Elementary DL Two-Way Im Spanish;Lucille Roybal-Allard Elementary DL Two-Way Im Spanish;Macarthur Park VPA DL Two-Way Im Spanish;Madison Elementary DL Two-Way Im Spanish;Magnolia Avenue Elementary DL One &amp; Two-Way Im Spanish;Main Street Elementary DL Two-Way Im Spanish;Martin Luther King Jr El DL Two-Way Im Spanish;Mayberry Street Elementary DL Two-Way Im Spanish;Menlo Avenue Elementary DL Two-Way Im Spanish;Meyler Street Elementary DL Two-Way Im Spanish;Micheltorena Street DL Two-Way Im Spanish;Miles Avenue Elementary DL Two-Way Im Spanish;Miramonte Elementary DL Two-Way Im Spanish;Montara Avenue Elementary DL Two-Way Im Spanish;Mountain View Elementary DL Two-Way Im Armenian;Napa Street Elementary DL Two-Way Im Spanish;Nevada Avenue Elementary DL Two-Way Im Spanish;Normandie Avenue Elementary DL Two-Way Im Spanish;Normont Elementary DL Two-Way Im Spanish;Park Avenue Elementary DL Two-Way Im Spanish;Parmelee Avenue Elementary DL Two-Way Im Spanish;Paseo del Rey DL Two-Way Im Spanish;President Avenue Elementary DL Two-Way Im Spanish;Queen Anne Place Elementary DL Two-Way Im Spanish;Ranchito Avenue Elementary DL Two-Way Im Spanish;RFK Comm Schls - Ambassador Sch - Glbl Ed DL One-Way Im Span;RFK Comm Schls - Ambassador Sch - Glbl Ed DL Two-Way Im Kor;RFK Comm Schls - UCLA Community School DL One-Way Im Spanish;Ricardo Lizarraga Elementary DL Two-Way Im Spanish;Richard Riordan Primary Center DL Two-Way Im French;Richland Avenue Elementary DL Two-Way Im French;Roscoe Elementary DL Two-Way Ime Spanish;San Fernando Elementary DL Two-Way Im Spanish;San Gabriel Avenue Elementary DL Two-Way Im Spanish;San Miguel Elementary DL Two-Way Im Spanish;Saticoy Elementary DL Two-Way Im Armenian;Stanford Avenue Elementary DL Two-Way Im Spanish;State Street Elementary DL Two-Way Im Spanish;Stoner Avenue Elementary DL One-Way Im Spanish;Telfair Avenue Elementary DL Two-Way Im Spanish;Virginia Road Elementary DL Two-Way Im Spanish;Vista del Valle Dual Language Academy DL Two-Way Im Spanish;Walnut Park Elementary DL Two-Way Im Spanish;Washington Primary Center DL Two-Way Im Spanish;William R Anton Elementary DL Two-Way Im Spanish;Willow Elementary DL Two-Way Im Spanish;Wilshire Crest Elementary DL Two-Way Im Spanish;Wilton Place Elementary DL Two-Way Im Korean;Wilton Place Elementary DL Two-Way Im Spanish;Woodlawn Avenue Elementary DL Two-Way Im SpanishN.E.W. Academy of Science and Arts</t>
  </si>
  <si>
    <t>Dual-Language Immersion (Two-Way immersion); One-Way Immersion; Heritage Language or Indigenous Language; Development Bilingual; Structured English Immersion</t>
  </si>
  <si>
    <t>Keiller Leadership Academy</t>
  </si>
  <si>
    <t>Foreign Language Elementary Experience (FLEX); Structured English Immersion</t>
  </si>
  <si>
    <t>King-Chavez Preparatory Academy</t>
  </si>
  <si>
    <t>Oceanside Unified</t>
  </si>
  <si>
    <t>Foussat Elementary Pablo Tac School of the Arts César Chávez Middle School</t>
  </si>
  <si>
    <t>Ramona City Unified</t>
  </si>
  <si>
    <t>Ramona Community Montessori School; Ramona Elementary School; Olive Peirce Middle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</si>
</sst>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18" x14ac:knownFonts="1">
    <font>
      <sz val="12"/>
      <color theme="1"/>
      <name val="Arial"/>
      <family val="2"/>
    </font>
    <font>
      <sz val="12"/>
      <color theme="1"/>
      <name val="Arial"/>
      <family val="2"/>
    </font>
    <font>
      <sz val="18"/>
      <color theme="3"/>
      <name val="Calibri Light"/>
      <family val="2"/>
      <scheme val="major"/>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b/>
      <sz val="14"/>
      <name val="Arial"/>
      <family val="2"/>
    </font>
    <font>
      <b/>
      <sz val="1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s>
  <borders count="10">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slantDashDot">
        <color rgb="FF002060"/>
      </left>
      <right/>
      <top/>
      <bottom/>
      <diagonal/>
    </border>
  </borders>
  <cellStyleXfs count="42">
    <xf numFmtId="0" fontId="0" fillId="0" borderId="0"/>
    <xf numFmtId="0" fontId="2" fillId="0" borderId="0" applyNumberFormat="0" applyFill="0" applyBorder="0" applyAlignment="0" applyProtection="0"/>
    <xf numFmtId="0" fontId="17" fillId="0" borderId="0" applyNumberFormat="0" applyFill="0" applyAlignment="0" applyProtection="0"/>
    <xf numFmtId="0" fontId="16"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3" applyNumberFormat="0" applyAlignment="0" applyProtection="0"/>
    <xf numFmtId="0" fontId="8" fillId="6" borderId="4" applyNumberFormat="0" applyAlignment="0" applyProtection="0"/>
    <xf numFmtId="0" fontId="9" fillId="6" borderId="3" applyNumberFormat="0" applyAlignment="0" applyProtection="0"/>
    <xf numFmtId="0" fontId="10" fillId="0" borderId="5" applyNumberFormat="0" applyFill="0" applyAlignment="0" applyProtection="0"/>
    <xf numFmtId="0" fontId="11" fillId="7" borderId="6" applyNumberFormat="0" applyAlignment="0" applyProtection="0"/>
    <xf numFmtId="0" fontId="12" fillId="0" borderId="0" applyNumberFormat="0" applyFill="0" applyBorder="0" applyAlignment="0" applyProtection="0"/>
    <xf numFmtId="0" fontId="1" fillId="8" borderId="7" applyNumberFormat="0" applyFont="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5" fillId="32" borderId="0" applyNumberFormat="0" applyBorder="0" applyAlignment="0" applyProtection="0"/>
  </cellStyleXfs>
  <cellXfs count="30">
    <xf numFmtId="0" fontId="0" fillId="0" borderId="0" xfId="0"/>
    <xf numFmtId="0" fontId="17" fillId="0" borderId="0" xfId="2"/>
    <xf numFmtId="0" fontId="0" fillId="0" borderId="0" xfId="0" applyAlignment="1">
      <alignment vertical="center" wrapText="1"/>
    </xf>
    <xf numFmtId="0" fontId="0" fillId="0" borderId="9" xfId="0" applyBorder="1" applyAlignment="1">
      <alignment vertical="center" wrapText="1"/>
    </xf>
    <xf numFmtId="3" fontId="0" fillId="0" borderId="0" xfId="0" applyNumberFormat="1"/>
    <xf numFmtId="3" fontId="0" fillId="0" borderId="9" xfId="0" applyNumberFormat="1" applyBorder="1"/>
    <xf numFmtId="0" fontId="0" fillId="0" borderId="0" xfId="0" applyAlignment="1">
      <alignment wrapText="1"/>
    </xf>
    <xf numFmtId="0" fontId="0" fillId="0" borderId="0" xfId="0" applyAlignment="1">
      <alignment vertical="center"/>
    </xf>
    <xf numFmtId="0" fontId="16" fillId="0" borderId="1" xfId="3"/>
    <xf numFmtId="3" fontId="0" fillId="0" borderId="0" xfId="0" applyNumberFormat="1" applyAlignment="1">
      <alignment vertical="center"/>
    </xf>
    <xf numFmtId="0" fontId="0" fillId="0" borderId="0" xfId="0" applyAlignment="1">
      <alignment horizontal="right"/>
    </xf>
    <xf numFmtId="0" fontId="0" fillId="0" borderId="0" xfId="0" applyAlignment="1">
      <alignment horizontal="right" wrapText="1"/>
    </xf>
    <xf numFmtId="0" fontId="16" fillId="0" borderId="1" xfId="3" applyAlignment="1">
      <alignment wrapText="1"/>
    </xf>
    <xf numFmtId="0" fontId="0" fillId="0" borderId="0" xfId="0" applyAlignment="1">
      <alignment horizontal="right" vertical="center"/>
    </xf>
    <xf numFmtId="3" fontId="0" fillId="0" borderId="0" xfId="0" applyNumberFormat="1" applyAlignment="1">
      <alignment vertical="center" wrapText="1"/>
    </xf>
    <xf numFmtId="3" fontId="0" fillId="0" borderId="9" xfId="0" applyNumberFormat="1" applyBorder="1" applyAlignment="1">
      <alignment horizontal="right"/>
    </xf>
    <xf numFmtId="0" fontId="0" fillId="33" borderId="0" xfId="0" applyFill="1" applyAlignment="1">
      <alignment wrapText="1"/>
    </xf>
    <xf numFmtId="0" fontId="0" fillId="0" borderId="0" xfId="0" applyAlignment="1">
      <alignment horizontal="right" vertical="center" wrapText="1"/>
    </xf>
    <xf numFmtId="0" fontId="0" fillId="34" borderId="0" xfId="0" applyFill="1" applyAlignment="1">
      <alignment horizontal="right" vertical="center" wrapText="1"/>
    </xf>
    <xf numFmtId="0" fontId="0" fillId="35" borderId="0" xfId="0" applyFill="1" applyAlignment="1">
      <alignment horizontal="right"/>
    </xf>
    <xf numFmtId="0" fontId="0" fillId="34" borderId="0" xfId="0" applyFill="1" applyAlignment="1">
      <alignment horizontal="right" wrapText="1"/>
    </xf>
    <xf numFmtId="0" fontId="0" fillId="34" borderId="0" xfId="0" applyFill="1" applyAlignment="1">
      <alignment horizontal="right" vertical="center"/>
    </xf>
    <xf numFmtId="0" fontId="0" fillId="34" borderId="0" xfId="0" applyFill="1"/>
    <xf numFmtId="0" fontId="0" fillId="36" borderId="0" xfId="0" applyFill="1" applyAlignment="1">
      <alignment horizontal="right" wrapText="1"/>
    </xf>
    <xf numFmtId="3" fontId="0" fillId="0" borderId="0" xfId="0" applyNumberFormat="1" applyAlignment="1">
      <alignment horizontal="right"/>
    </xf>
    <xf numFmtId="0" fontId="0" fillId="33" borderId="0" xfId="0" applyFill="1" applyAlignment="1">
      <alignment vertical="center" wrapText="1"/>
    </xf>
    <xf numFmtId="164" fontId="0" fillId="0" borderId="0" xfId="0" applyNumberFormat="1"/>
    <xf numFmtId="0" fontId="0" fillId="0" borderId="0" xfId="0" applyAlignment="1"/>
    <xf numFmtId="3" fontId="0" fillId="0" borderId="0" xfId="0" applyNumberFormat="1" applyAlignment="1"/>
    <xf numFmtId="3"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57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fgColor indexed="64"/>
          <bgColor theme="6" tint="0.79998168889431442"/>
        </patternFill>
      </fill>
      <alignment horizontal="right" vertical="bottom" textRotation="0" wrapText="1" indent="0" justifyLastLine="0" shrinkToFit="0" readingOrder="0"/>
    </dxf>
    <dxf>
      <fill>
        <patternFill patternType="solid">
          <fgColor indexed="64"/>
          <bgColor theme="6" tint="0.79998168889431442"/>
        </patternFill>
      </fill>
    </dxf>
    <dxf>
      <alignment horizontal="right" vertical="bottom" textRotation="0" wrapText="1" indent="0" justifyLastLine="0" shrinkToFit="0" readingOrder="0"/>
    </dxf>
    <dxf>
      <alignment horizontal="right" vertical="bottom" textRotation="0" wrapText="1"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numFmt numFmtId="3" formatCode="#,##0"/>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fgColor indexed="64"/>
          <bgColor theme="6" tint="0.79998168889431442"/>
        </patternFill>
      </fill>
      <alignment horizontal="right" vertical="bottom"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bottom" textRotation="0" wrapText="1" indent="0" justifyLastLine="0" shrinkToFit="0" readingOrder="0"/>
    </dxf>
    <dxf>
      <alignment horizontal="right" vertical="bottom" textRotation="0" wrapText="1" indent="0" justifyLastLine="0" shrinkToFit="0" readingOrder="0"/>
    </dxf>
    <dxf>
      <font>
        <b/>
      </font>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right" vertical="bottom"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wrapText="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numFmt numFmtId="3" formatCode="#,##0"/>
    </dxf>
    <dxf>
      <numFmt numFmtId="3" formatCode="#,##0"/>
      <alignment horizontal="general" vertical="center" textRotation="0"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right" vertical="bottom"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fill>
        <patternFill patternType="solid">
          <fgColor indexed="64"/>
          <bgColor theme="6" tint="0.79998168889431442"/>
        </patternFill>
      </fill>
      <alignment horizontal="right" vertical="center" textRotation="0" wrapText="0" indent="0" justifyLastLine="0" shrinkToFit="0" readingOrder="0"/>
    </dxf>
    <dxf>
      <alignment horizontal="general" vertical="center"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right" vertical="center" textRotation="0" wrapText="0" indent="0" justifyLastLine="0" shrinkToFit="0" readingOrder="0"/>
    </dxf>
    <dxf>
      <alignment horizontal="general" vertical="bottom" textRotation="0" wrapText="1"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3" formatCode="#,##0"/>
    </dxf>
    <dxf>
      <numFmt numFmtId="0" formatCode="General"/>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fill>
        <patternFill patternType="solid">
          <fgColor indexed="64"/>
          <bgColor theme="2" tint="-9.9978637043366805E-2"/>
        </patternFill>
      </fill>
      <alignment horizontal="right" vertical="bottom" textRotation="0" wrapText="0" indent="0" justifyLastLine="0" shrinkToFit="0" readingOrder="0"/>
    </dxf>
    <dxf>
      <fill>
        <patternFill patternType="solid">
          <fgColor indexed="64"/>
          <bgColor theme="8" tint="0.79998168889431442"/>
        </patternFill>
      </fill>
      <alignment horizontal="general" vertical="bottom" textRotation="0" wrapText="1" indent="0" justifyLastLine="0" shrinkToFit="0" readingOrder="0"/>
    </dxf>
    <dxf>
      <fill>
        <patternFill patternType="solid">
          <fgColor indexed="64"/>
          <bgColor theme="2" tint="-9.9978637043366805E-2"/>
        </patternFill>
      </fill>
      <alignment horizontal="right" vertical="bottom" textRotation="0" wrapText="0" indent="0" justifyLastLine="0" shrinkToFit="0" readingOrder="0"/>
    </dxf>
    <dxf>
      <fill>
        <patternFill patternType="solid">
          <fgColor indexed="64"/>
          <bgColor theme="8" tint="0.79998168889431442"/>
        </patternFill>
      </fill>
      <alignment horizontal="general" vertical="bottom" textRotation="0" wrapText="1" indent="0" justifyLastLine="0" shrinkToFit="0" readingOrder="0"/>
    </dxf>
    <dxf>
      <alignment horizontal="right" vertical="bottom" textRotation="0" wrapText="0" indent="0" justifyLastLine="0" shrinkToFit="0" readingOrder="0"/>
    </dxf>
    <dxf>
      <fill>
        <patternFill patternType="solid">
          <fgColor indexed="64"/>
          <bgColor theme="8" tint="0.79998168889431442"/>
        </patternFill>
      </fill>
      <alignment horizontal="general" vertical="bottom" textRotation="0" wrapText="1" indent="0" justifyLastLine="0" shrinkToFit="0" readingOrder="0"/>
    </dxf>
    <dxf>
      <alignment horizontal="right" vertical="bottom"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0" formatCode="General"/>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wrapText="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numFmt numFmtId="3" formatCode="#,##0"/>
    </dxf>
    <dxf>
      <alignment horizontal="general" vertical="center" textRotation="0" indent="0" justifyLastLine="0" shrinkToFit="0" readingOrder="0"/>
    </dxf>
    <dxf>
      <fill>
        <patternFill patternType="solid">
          <fgColor indexed="64"/>
          <bgColor theme="2" tint="-9.9978637043366805E-2"/>
        </patternFill>
      </fill>
      <alignment horizontal="right" vertical="bottom" textRotation="0" wrapText="0" indent="0" justifyLastLine="0" shrinkToFit="0" readingOrder="0"/>
    </dxf>
    <dxf>
      <alignment horizontal="general" vertical="center" textRotation="0" indent="0" justifyLastLine="0" shrinkToFit="0" readingOrder="0"/>
    </dxf>
    <dxf>
      <fill>
        <patternFill patternType="solid">
          <fgColor indexed="64"/>
          <bgColor theme="2" tint="-9.9978637043366805E-2"/>
        </patternFill>
      </fill>
      <alignment horizontal="right" vertical="bottom" textRotation="0" wrapText="0" indent="0" justifyLastLine="0" shrinkToFit="0" readingOrder="0"/>
    </dxf>
    <dxf>
      <alignment horizontal="general" vertical="center" textRotation="0" indent="0" justifyLastLine="0" shrinkToFit="0" readingOrder="0"/>
    </dxf>
    <dxf>
      <alignment horizontal="right" vertical="bottom" textRotation="0" wrapText="0" indent="0" justifyLastLine="0" shrinkToFit="0" readingOrder="0"/>
    </dxf>
    <dxf>
      <alignment horizontal="general" vertical="center" textRotation="0" indent="0" justifyLastLine="0" shrinkToFit="0" readingOrder="0"/>
    </dxf>
    <dxf>
      <alignment horizontal="right" vertical="bottom" textRotation="0" wrapText="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alignment horizontal="general" vertical="center" textRotation="0"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alignment horizontal="general" vertical="center" textRotation="0" indent="0" justifyLastLine="0" shrinkToFit="0" readingOrder="0"/>
    </dxf>
    <dxf>
      <alignment horizontal="right" vertical="center" textRotation="0" wrapText="1" indent="0" justifyLastLine="0" shrinkToFit="0" readingOrder="0"/>
    </dxf>
    <dxf>
      <alignment horizontal="general" vertical="center" textRotation="0" indent="0" justifyLastLine="0" shrinkToFit="0" readingOrder="0"/>
    </dxf>
    <dxf>
      <alignment horizontal="right"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alignment horizontal="general" vertical="center" textRotation="0"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alignment horizontal="general" vertical="center" textRotation="0" indent="0" justifyLastLine="0" shrinkToFit="0" readingOrder="0"/>
    </dxf>
    <dxf>
      <alignment horizontal="right" vertical="center" textRotation="0" wrapText="1" indent="0" justifyLastLine="0" shrinkToFit="0" readingOrder="0"/>
    </dxf>
    <dxf>
      <alignment horizontal="general" vertical="center" textRotation="0" indent="0" justifyLastLine="0" shrinkToFit="0" readingOrder="0"/>
    </dxf>
    <dxf>
      <alignment horizontal="right"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fill>
        <patternFill patternType="solid">
          <fgColor indexed="64"/>
          <bgColor theme="6" tint="0.79998168889431442"/>
        </patternFill>
      </fill>
      <alignment horizontal="right"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numFmt numFmtId="3" formatCode="#,##0"/>
      <border diagonalUp="0" diagonalDown="0" outline="0">
        <left style="slantDashDot">
          <color rgb="FF002060"/>
        </left>
        <right/>
        <top/>
        <bottom/>
      </border>
    </dxf>
    <dxf>
      <numFmt numFmtId="3" formatCode="#,##0"/>
      <border diagonalUp="0" diagonalDown="0">
        <left style="slantDashDot">
          <color rgb="FF002060"/>
        </left>
        <right/>
        <top/>
        <bottom/>
        <vertical/>
        <horizontal/>
      </border>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border diagonalUp="0" diagonalDown="0" outline="0">
        <left style="slantDashDot">
          <color rgb="FF002060"/>
        </left>
        <right/>
        <top/>
        <bottom/>
      </border>
    </dxf>
    <dxf>
      <numFmt numFmtId="3" formatCode="#,##0"/>
    </dxf>
    <dxf>
      <numFmt numFmtId="3" formatCode="#,##0"/>
      <alignment horizontal="right" vertical="bottom" textRotation="0" wrapText="0" indent="0" justifyLastLine="0" shrinkToFit="0" readingOrder="0"/>
      <border diagonalUp="0" diagonalDown="0" outline="0">
        <left style="slantDashDot">
          <color rgb="FF002060"/>
        </left>
        <right/>
        <top/>
        <bottom/>
      </border>
    </dxf>
    <dxf>
      <numFmt numFmtId="3" formatCode="#,##0"/>
      <alignment horizontal="right" vertical="bottom" textRotation="0" wrapText="0" indent="0" justifyLastLine="0" shrinkToFit="0" readingOrder="0"/>
    </dxf>
    <dxf>
      <numFmt numFmtId="3" formatCode="#,##0"/>
      <border diagonalUp="0" diagonalDown="0" outline="0">
        <left style="slantDashDot">
          <color rgb="FF002060"/>
        </left>
        <right/>
        <top/>
        <bottom/>
      </border>
    </dxf>
    <dxf>
      <numFmt numFmtId="3" formatCode="#,##0"/>
    </dxf>
    <dxf>
      <alignment horizontal="general" vertical="center" textRotation="0" indent="0" justifyLastLine="0" shrinkToFit="0" readingOrder="0"/>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0" displayName="Table30" ref="A4:Z31" totalsRowCount="1" headerRowDxfId="1572">
  <autoFilter ref="A4:Z30" xr:uid="{00000000-0009-0000-0100-000003000000}"/>
  <tableColumns count="26">
    <tableColumn id="1" xr3:uid="{00000000-0010-0000-0000-000001000000}" name="Participating Counties" totalsRowLabel="Grand Total: 26"/>
    <tableColumn id="14" xr3:uid="{00000000-0010-0000-0000-00000E000000}" name="Participating Districts Total" totalsRowFunction="sum" dataDxfId="1571" totalsRowDxfId="1570"/>
    <tableColumn id="2" xr3:uid="{00000000-0010-0000-0000-000002000000}" name="Participating Schools Total" totalsRowFunction="sum" dataDxfId="1569" totalsRowDxfId="1568"/>
    <tableColumn id="3" xr3:uid="{00000000-0010-0000-0000-000003000000}" name="American Sign Language Total" totalsRowFunction="sum" dataDxfId="1567" totalsRowDxfId="1566"/>
    <tableColumn id="16" xr3:uid="{00000000-0010-0000-0000-000010000000}" name="Arabic Total" totalsRowFunction="custom" dataDxfId="1565" totalsRowDxfId="1564">
      <totalsRowFormula>SUM(Table30[Arabic Total])</totalsRowFormula>
    </tableColumn>
    <tableColumn id="4" xr3:uid="{00000000-0010-0000-0000-000004000000}" name="Armenian Total" totalsRowFunction="custom" dataDxfId="1563" totalsRowDxfId="1562">
      <totalsRowFormula>SUM(Table30[Armenian Total])</totalsRowFormula>
    </tableColumn>
    <tableColumn id="25" xr3:uid="{2ABA664A-E8B0-4D22-8437-B4C70F95B82A}" name="Bengali Total" totalsRowFunction="sum" dataDxfId="1561" totalsRowDxfId="1560"/>
    <tableColumn id="20" xr3:uid="{A914807D-E889-483A-ADDF-BE02EB53BF33}" name="Chinese Total" totalsRowFunction="sum" dataDxfId="1559" totalsRowDxfId="1558"/>
    <tableColumn id="26" xr3:uid="{FD98A12A-0143-4242-81A3-34C677FE4A71}" name="Farsi (Persian) Total" totalsRowFunction="sum" dataDxfId="1557" totalsRowDxfId="1556"/>
    <tableColumn id="5" xr3:uid="{00000000-0010-0000-0000-000005000000}" name="French Total" totalsRowFunction="custom" dataDxfId="1555" totalsRowDxfId="1554">
      <totalsRowFormula>SUM(Table30[French Total])</totalsRowFormula>
    </tableColumn>
    <tableColumn id="6" xr3:uid="{00000000-0010-0000-0000-000006000000}" name="German Total" totalsRowFunction="custom" dataDxfId="1553" totalsRowDxfId="1552">
      <totalsRowFormula>SUM(Table30[German Total])</totalsRowFormula>
    </tableColumn>
    <tableColumn id="21" xr3:uid="{19C03BA0-B38D-45F2-A2EC-57BEF06FBF1E}" name="Hebrew Total" totalsRowFunction="sum" dataDxfId="1551" totalsRowDxfId="1550"/>
    <tableColumn id="27" xr3:uid="{ADEA0ECF-F7AA-4A76-8A5B-51ACF45FB2EB}" name="Hindi Total" totalsRowFunction="sum" dataDxfId="1549" totalsRowDxfId="1548"/>
    <tableColumn id="19" xr3:uid="{00000000-0010-0000-0000-000013000000}" name="Hmong Total" totalsRowFunction="sum" dataDxfId="1547" totalsRowDxfId="1546"/>
    <tableColumn id="17" xr3:uid="{00000000-0010-0000-0000-000011000000}" name="Italian Total" totalsRowFunction="custom" dataDxfId="1545" totalsRowDxfId="1544">
      <totalsRowFormula>SUM(Table30[Italian Total])</totalsRowFormula>
    </tableColumn>
    <tableColumn id="7" xr3:uid="{00000000-0010-0000-0000-000007000000}" name=" Japanese Total" totalsRowFunction="custom" dataDxfId="1543" totalsRowDxfId="1542">
      <totalsRowFormula>SUM(Table30[[ Japanese Total]])</totalsRowFormula>
    </tableColumn>
    <tableColumn id="8" xr3:uid="{00000000-0010-0000-0000-000008000000}" name="Korean Total" totalsRowFunction="custom" dataDxfId="1541" totalsRowDxfId="1540">
      <totalsRowFormula>SUM(Table30[Korean Total])</totalsRowFormula>
    </tableColumn>
    <tableColumn id="10" xr3:uid="{00000000-0010-0000-0000-00000A000000}" name="Portuguese Total" totalsRowFunction="custom" dataDxfId="1539" totalsRowDxfId="1538">
      <totalsRowFormula>SUM(Table30[Portuguese Total])</totalsRowFormula>
    </tableColumn>
    <tableColumn id="28" xr3:uid="{D9DD0500-AD4F-48AB-89A0-C0974236759F}" name="Punjabi Total" totalsRowFunction="sum" dataDxfId="1537" totalsRowDxfId="1536"/>
    <tableColumn id="22" xr3:uid="{B88E38BA-52D9-417F-8881-4CB801534474}" name="Russian Total" totalsRowFunction="sum" dataDxfId="1535" totalsRowDxfId="1534"/>
    <tableColumn id="11" xr3:uid="{00000000-0010-0000-0000-00000B000000}" name="Spanish Total" totalsRowFunction="custom" dataDxfId="1533" totalsRowDxfId="1532">
      <totalsRowFormula>SUM(Table30[Spanish Total])</totalsRowFormula>
    </tableColumn>
    <tableColumn id="18" xr3:uid="{00000000-0010-0000-0000-000012000000}" name="Tagalog (Filipino) Total" totalsRowFunction="custom" dataDxfId="1531" totalsRowDxfId="1530">
      <totalsRowFormula>SUM(Table30[Tagalog (Filipino) Total])</totalsRowFormula>
    </tableColumn>
    <tableColumn id="29" xr3:uid="{D65FAEDB-F328-4F66-A9FD-0B2D132FF5A0}" name="Urdu Total" totalsRowFunction="sum" dataDxfId="1529" totalsRowDxfId="1528"/>
    <tableColumn id="12" xr3:uid="{00000000-0010-0000-0000-00000C000000}" name="Vietnamese Total" totalsRowFunction="custom" dataDxfId="1527" totalsRowDxfId="1526">
      <totalsRowFormula>SUM(Table30[Vietnamese Total])</totalsRowFormula>
    </tableColumn>
    <tableColumn id="13" xr3:uid="{00000000-0010-0000-0000-00000D000000}" name="Other Total" totalsRowFunction="custom" dataDxfId="1525" totalsRowDxfId="1524">
      <totalsRowFormula>SUM(Table30[Other Total])</totalsRowFormula>
    </tableColumn>
    <tableColumn id="15" xr3:uid="{00000000-0010-0000-0000-00000F000000}" name="Recognitions Total" totalsRowFunction="custom" dataDxfId="1523" totalsRowDxfId="1522">
      <calculatedColumnFormula>SUM(Table30[[#This Row],[American Sign Language Total]:[Other Total]])</calculatedColumnFormula>
      <totalsRowFormula>SUM(Table30[Recognitions Total])</totalsRowFormula>
    </tableColumn>
  </tableColumns>
  <tableStyleInfo name="TableStyleMedium8" showFirstColumn="0" showLastColumn="0" showRowStripes="1" showColumnStripes="0"/>
  <extLst>
    <ext xmlns:x14="http://schemas.microsoft.com/office/spreadsheetml/2009/9/main" uri="{504A1905-F514-4f6f-8877-14C23A59335A}">
      <x14:table altTextSummary="This table includes the total number of counties, districts, and schools that participated in the 2022-23 California State Seal of Biliteracy program and also includes language totals for every county."/>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B1B3E9F-C63A-4802-BA6E-F92D63EFF29D}" name="Monterey1415" displayName="Monterey1415" ref="A2:AC4" totalsRowCount="1" headerRowDxfId="1116" dataDxfId="1115">
  <autoFilter ref="A2:AC3" xr:uid="{8B1B3E9F-C63A-4802-BA6E-F92D63EFF29D}"/>
  <tableColumns count="29">
    <tableColumn id="1" xr3:uid="{68ED37D3-96F2-4342-8B87-AC038DF86685}" name="Participating Districts" totalsRowLabel="Total: 1" dataDxfId="1114" totalsRowDxfId="1113"/>
    <tableColumn id="2" xr3:uid="{A46AD2D4-1D6D-41C7-AAD4-B230FA884640}" name="Participating Schools" totalsRowLabel="2" dataDxfId="1112" totalsRowDxfId="1111"/>
    <tableColumn id="29" xr3:uid="{B48AF05D-9D65-4722-A154-021CE06D6ABC}" name="Dual Language School(s)" totalsRowLabel="2" dataDxfId="1110" totalsRowDxfId="1109"/>
    <tableColumn id="28" xr3:uid="{4EE7574C-84CB-48FF-9A7E-DFF61E2D24E2}" name="Program Model(s) Offered" dataDxfId="1108" totalsRowDxfId="1107"/>
    <tableColumn id="27" xr3:uid="{CAB825BA-6A05-461C-95AE-A490DB376D4C}" name="Biliteracy Pathway Recognitions Offered" dataDxfId="1106" totalsRowDxfId="1105"/>
    <tableColumn id="3" xr3:uid="{F5FF3974-9BA5-468B-AF7B-26C4AA301C35}" name="American Sign Language Total" totalsRowFunction="sum" dataDxfId="1104" totalsRowDxfId="1103"/>
    <tableColumn id="4" xr3:uid="{0212E4CB-5681-4CD7-BED7-F5026986B27A}" name="Arabic Total" totalsRowFunction="sum" dataDxfId="1102" totalsRowDxfId="1101"/>
    <tableColumn id="5" xr3:uid="{62A09C7F-212B-4725-88F7-445ECB5EFF2B}" name="Armenian Total" totalsRowFunction="sum" dataDxfId="1100" totalsRowDxfId="1099"/>
    <tableColumn id="22" xr3:uid="{B506B5DC-C610-42CB-A52E-F82D30959872}" name="Bengali Total" totalsRowFunction="sum" dataDxfId="1098" totalsRowDxfId="1097"/>
    <tableColumn id="18" xr3:uid="{201A2A33-6C51-4270-BB87-132B1C55ABF0}" name="Chinese Total" totalsRowFunction="sum" dataDxfId="1096" totalsRowDxfId="1095"/>
    <tableColumn id="23" xr3:uid="{68DBD2B9-EFBB-40D2-9DB2-14EC68D07991}" name="Farsi (Persian) Total" totalsRowFunction="sum" dataDxfId="1094" totalsRowDxfId="1093"/>
    <tableColumn id="6" xr3:uid="{4BD0F693-6693-4470-AD5C-9B53B8009BCD}" name="French Total" totalsRowFunction="sum" dataDxfId="1092" totalsRowDxfId="1091"/>
    <tableColumn id="7" xr3:uid="{0B7444A9-AEC3-4BB8-B911-357FCDF28A01}" name="German Total" totalsRowFunction="sum" dataDxfId="1090" totalsRowDxfId="1089"/>
    <tableColumn id="19" xr3:uid="{60A815B8-74BC-49F6-B52E-81A0BAA5356E}" name="Hebrew Total" totalsRowFunction="sum" dataDxfId="1088" totalsRowDxfId="1087"/>
    <tableColumn id="24" xr3:uid="{7ACBF7E1-4362-4DFB-B136-E17D899E41EA}" name="Hindi Total" totalsRowFunction="sum" dataDxfId="1086" totalsRowDxfId="1085"/>
    <tableColumn id="8" xr3:uid="{1E46DAED-B288-4817-A092-3CC580F3ADCE}" name="Hmong Total" totalsRowFunction="sum" dataDxfId="1084" totalsRowDxfId="1083"/>
    <tableColumn id="9" xr3:uid="{C9D01888-21DC-476F-80E7-FC48137EC9AF}" name="Italian Total" totalsRowFunction="sum" dataDxfId="1082" totalsRowDxfId="1081"/>
    <tableColumn id="10" xr3:uid="{31180635-269F-4F2A-A21F-4C9700DDF5FD}" name="Japanese Total" totalsRowFunction="sum" dataDxfId="1080" totalsRowDxfId="1079"/>
    <tableColumn id="11" xr3:uid="{323B5F3A-8049-4660-AC75-CCFD8E2D4941}" name="Korean Total" totalsRowFunction="sum" dataDxfId="1078" totalsRowDxfId="1077"/>
    <tableColumn id="12" xr3:uid="{4445195C-0DA3-4225-87A5-7F5116900D34}" name="Latin Total" totalsRowFunction="sum" dataDxfId="1076" totalsRowDxfId="1075"/>
    <tableColumn id="13" xr3:uid="{8215DAC1-FE4B-45E3-9097-F85BBE61668D}" name="Portuguese Total" totalsRowFunction="sum" dataDxfId="1074" totalsRowDxfId="1073"/>
    <tableColumn id="25" xr3:uid="{CF152DE7-E355-4902-BFDA-0CB3308F6FC0}" name="Punjabi Total" totalsRowFunction="sum" dataDxfId="1072" totalsRowDxfId="1071"/>
    <tableColumn id="20" xr3:uid="{BA4C3B96-5606-4F5E-8F7A-1B13955C37FB}" name="Russian Total" totalsRowFunction="sum" dataDxfId="1070" totalsRowDxfId="1069"/>
    <tableColumn id="14" xr3:uid="{F34F8D4D-BCC7-4A41-8361-4BC9D3764CE3}" name="Spanish Total" totalsRowFunction="sum" dataDxfId="1068" totalsRowDxfId="1067"/>
    <tableColumn id="15" xr3:uid="{A22FAF31-0849-41C9-80A2-E439632BD722}" name="Tagalog (Filipino) Total" totalsRowFunction="sum" dataDxfId="1066" totalsRowDxfId="1065"/>
    <tableColumn id="26" xr3:uid="{CF92C185-A0A2-43F0-9BC1-A59EAD041314}" name="Urdu Total" totalsRowFunction="sum" dataDxfId="1064" totalsRowDxfId="1063"/>
    <tableColumn id="16" xr3:uid="{3D0E5B26-9095-4DC6-8E38-E6126E3DC0BF}" name="Vietnamese Total" totalsRowFunction="sum" dataDxfId="1062" totalsRowDxfId="1061"/>
    <tableColumn id="17" xr3:uid="{86B5B767-180A-4794-B215-7F05E724328C}" name="Other Total" totalsRowFunction="sum" dataDxfId="1060" totalsRowDxfId="1059"/>
    <tableColumn id="21" xr3:uid="{CF73BC0A-73F5-4F1C-A54D-9F5C58DFF043}" name="Total Seals per LEA" totalsRowFunction="sum" dataDxfId="1058" totalsRowDxfId="1057">
      <calculatedColumnFormula>SUM(Monterey1415[[#This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Madera county and also includes language total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A000000}" name="Orange" displayName="Orange" ref="A2:AB11" totalsRowCount="1" headerRowDxfId="1056" dataDxfId="1055">
  <autoFilter ref="A2:AB10" xr:uid="{00000000-0009-0000-0100-00001C000000}"/>
  <tableColumns count="28">
    <tableColumn id="1" xr3:uid="{00000000-0010-0000-1A00-000001000000}" name="Participating Districts" totalsRowLabel="Total: 8" dataDxfId="1054"/>
    <tableColumn id="2" xr3:uid="{00000000-0010-0000-1A00-000002000000}" name="Participating Schools" totalsRowLabel="38" dataDxfId="1053" totalsRowDxfId="1052"/>
    <tableColumn id="29" xr3:uid="{F9BC4367-5A93-49FB-B6CE-33B1D4353EF5}" name="Dual Language School(s)" totalsRowLabel="10" dataDxfId="1051" totalsRowDxfId="1050"/>
    <tableColumn id="28" xr3:uid="{C3A9841F-63F4-4A33-B62C-618C08BF7F27}" name="Program Model(s) Offered" dataDxfId="1049" totalsRowDxfId="1048"/>
    <tableColumn id="27" xr3:uid="{577A68A2-CC24-4880-A682-853621D9E4F8}" name="Biliteracy Pathway Recognitions Offered" dataDxfId="1047" totalsRowDxfId="1046"/>
    <tableColumn id="3" xr3:uid="{00000000-0010-0000-1A00-000003000000}" name="American Sign Language Total" totalsRowFunction="sum" dataDxfId="1045" totalsRowDxfId="1044"/>
    <tableColumn id="4" xr3:uid="{00000000-0010-0000-1A00-000004000000}" name="Arabic Total" totalsRowFunction="sum" dataDxfId="1043" totalsRowDxfId="1042"/>
    <tableColumn id="5" xr3:uid="{00000000-0010-0000-1A00-000005000000}" name="Armenian Total" totalsRowFunction="sum" dataDxfId="1041" totalsRowDxfId="1040"/>
    <tableColumn id="22" xr3:uid="{BEC5B8F8-0052-4540-8B1F-97F0070100C7}" name="Bengali Total" totalsRowFunction="sum" dataDxfId="1039" totalsRowDxfId="1038"/>
    <tableColumn id="18" xr3:uid="{8223933F-D118-438E-910B-279B6408CF7B}" name="Chinese Total" totalsRowFunction="sum" dataDxfId="1037" totalsRowDxfId="1036"/>
    <tableColumn id="23" xr3:uid="{B3AF8C8D-6436-4FD1-9551-AD022BAA54B2}" name="Farsi (Persian) Total" totalsRowFunction="sum" dataDxfId="1035" totalsRowDxfId="1034"/>
    <tableColumn id="6" xr3:uid="{00000000-0010-0000-1A00-000006000000}" name="French Total" totalsRowFunction="sum" dataDxfId="1033" totalsRowDxfId="1032"/>
    <tableColumn id="7" xr3:uid="{00000000-0010-0000-1A00-000007000000}" name="German Total" totalsRowFunction="sum" dataDxfId="1031" totalsRowDxfId="1030"/>
    <tableColumn id="19" xr3:uid="{4D6FD13B-B658-4F71-A61A-1DB91BD88B21}" name="Hebrew Total" totalsRowFunction="sum" dataDxfId="1029" totalsRowDxfId="1028"/>
    <tableColumn id="24" xr3:uid="{28A278E2-4E02-4ECC-9C26-A547F610F6EA}" name="Hindi Total" totalsRowFunction="sum" dataDxfId="1027" totalsRowDxfId="1026"/>
    <tableColumn id="8" xr3:uid="{00000000-0010-0000-1A00-000008000000}" name="Hmong Total" totalsRowFunction="sum" dataDxfId="1025" totalsRowDxfId="1024"/>
    <tableColumn id="9" xr3:uid="{00000000-0010-0000-1A00-000009000000}" name="Italian Total" totalsRowFunction="sum" dataDxfId="1023" totalsRowDxfId="1022"/>
    <tableColumn id="10" xr3:uid="{00000000-0010-0000-1A00-00000A000000}" name="Japanese Total" totalsRowFunction="sum" dataDxfId="1021" totalsRowDxfId="1020"/>
    <tableColumn id="11" xr3:uid="{00000000-0010-0000-1A00-00000B000000}" name="Korean Total" totalsRowFunction="sum" dataDxfId="1019" totalsRowDxfId="1018"/>
    <tableColumn id="13" xr3:uid="{00000000-0010-0000-1A00-00000D000000}" name="Portuguese Total" totalsRowFunction="sum" dataDxfId="1017" totalsRowDxfId="1016"/>
    <tableColumn id="25" xr3:uid="{B8AFE11C-E726-4232-B6B1-688BB21ADE88}" name="Punjabi Total" totalsRowFunction="sum" dataDxfId="1015" totalsRowDxfId="1014"/>
    <tableColumn id="20" xr3:uid="{E22B6DF9-A50D-4738-946C-611C4C7AB73C}" name="Russian Total" totalsRowFunction="sum" dataDxfId="1013" totalsRowDxfId="1012"/>
    <tableColumn id="14" xr3:uid="{00000000-0010-0000-1A00-00000E000000}" name="Spanish Total" totalsRowFunction="sum" dataDxfId="1011" totalsRowDxfId="1010"/>
    <tableColumn id="15" xr3:uid="{00000000-0010-0000-1A00-00000F000000}" name="Tagalog (Filipino) Total" totalsRowFunction="sum" dataDxfId="1009" totalsRowDxfId="1008"/>
    <tableColumn id="26" xr3:uid="{C4719311-8D6C-49F9-B6A6-CF5077CBDCCD}" name="Urdu Total" totalsRowFunction="sum" dataDxfId="1007" totalsRowDxfId="1006"/>
    <tableColumn id="16" xr3:uid="{00000000-0010-0000-1A00-000010000000}" name="Vietnamese Total" totalsRowFunction="sum" dataDxfId="1005" totalsRowDxfId="1004"/>
    <tableColumn id="17" xr3:uid="{00000000-0010-0000-1A00-000011000000}" name="Other Total" totalsRowFunction="sum" dataDxfId="1003" totalsRowDxfId="1002"/>
    <tableColumn id="21" xr3:uid="{3248FBB5-5A9A-4D33-9291-32757DD2C77C}" name="Total Seals per LEA" totalsRowFunction="sum" dataDxfId="1001" totalsRowDxfId="1000">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Orange county and also includes language total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596B7B67-19B0-48DC-BEA3-26339CF84C45}" name="Riverside" displayName="Riverside" ref="A2:AB9" totalsRowCount="1" headerRowDxfId="999" dataDxfId="998">
  <autoFilter ref="A2:AB8" xr:uid="{00000000-0009-0000-0100-00001C000000}"/>
  <tableColumns count="28">
    <tableColumn id="1" xr3:uid="{9340B01F-1A05-4E5D-BB2A-EC4B6893D9E2}" name="Participating Districts" totalsRowLabel="Total: 6" dataDxfId="997"/>
    <tableColumn id="2" xr3:uid="{441E0BBE-F327-4251-8696-B926BE90B295}" name="Participating Schools" totalsRowLabel="43" dataDxfId="996" totalsRowDxfId="995"/>
    <tableColumn id="29" xr3:uid="{4B59165D-96A4-4C72-93DD-2811384C5FA2}" name="Dual Language School(s)" totalsRowLabel="11" totalsRowDxfId="994"/>
    <tableColumn id="28" xr3:uid="{8F333E9C-7024-412B-9D9F-0889AEF0B46C}" name="Program Model(s) Offered" totalsRowDxfId="993"/>
    <tableColumn id="27" xr3:uid="{4AADC0BC-2B69-4742-A84D-1AAE9E0932C3}" name="Biliteracy Pathway Recognitions Offered" totalsRowDxfId="992"/>
    <tableColumn id="3" xr3:uid="{46814A71-10E0-4E2F-A2AF-A34AB67FFBA3}" name="American Sign Language Total" totalsRowFunction="sum" dataDxfId="991" totalsRowDxfId="990"/>
    <tableColumn id="4" xr3:uid="{C9996DB7-08C0-4107-AE75-B6E20064D5A1}" name="Arabic Total" totalsRowFunction="sum" dataDxfId="989" totalsRowDxfId="988"/>
    <tableColumn id="5" xr3:uid="{90DA33C4-141D-4B99-91EF-11A25A48E409}" name="Armenian Total" totalsRowFunction="sum" dataDxfId="987" totalsRowDxfId="986"/>
    <tableColumn id="22" xr3:uid="{18154CC8-3CBF-4191-AA48-E85B381D83AB}" name="Bengali Total" totalsRowFunction="sum" dataDxfId="985" totalsRowDxfId="984"/>
    <tableColumn id="18" xr3:uid="{90C9E0BF-535C-4084-B04D-B12980533972}" name="Chinese Total" totalsRowFunction="sum" dataDxfId="983" totalsRowDxfId="982"/>
    <tableColumn id="23" xr3:uid="{1D279E02-F60A-4F44-B69A-1515D46585AE}" name="Farsi (Persian) Total" totalsRowFunction="sum" dataDxfId="981" totalsRowDxfId="980"/>
    <tableColumn id="6" xr3:uid="{D1E08C2F-2641-45AD-BD57-E678C3230743}" name="French Total" totalsRowFunction="sum" dataDxfId="979" totalsRowDxfId="978"/>
    <tableColumn id="7" xr3:uid="{33F4AE9C-8556-415C-8882-5F3D7EC36C37}" name="German Total" totalsRowFunction="sum" dataDxfId="977" totalsRowDxfId="976"/>
    <tableColumn id="19" xr3:uid="{EF190E85-527F-42E2-9BD9-ACDD288CCDED}" name="Hebrew Total" totalsRowFunction="sum" dataDxfId="975" totalsRowDxfId="974"/>
    <tableColumn id="24" xr3:uid="{3C1C0E98-F23B-4F75-8777-FCD3A78AA430}" name="Hindi Total" totalsRowFunction="sum" dataDxfId="973" totalsRowDxfId="972"/>
    <tableColumn id="8" xr3:uid="{033E7B13-325D-4709-9B68-946599D9C54B}" name="Hmong Total" totalsRowFunction="sum" dataDxfId="971" totalsRowDxfId="970"/>
    <tableColumn id="9" xr3:uid="{D3B3E8FF-7246-41EE-B915-B8E87C426C49}" name="Italian Total" totalsRowFunction="sum" dataDxfId="969" totalsRowDxfId="968"/>
    <tableColumn id="10" xr3:uid="{082C9316-6C99-4A33-8CA7-3F235E15C4C6}" name="Japanese Total" totalsRowFunction="sum" dataDxfId="967" totalsRowDxfId="966"/>
    <tableColumn id="11" xr3:uid="{143CF8B1-CC92-4F5D-BBF6-548FA7A788E3}" name="Korean Total" totalsRowFunction="sum" dataDxfId="965" totalsRowDxfId="964"/>
    <tableColumn id="13" xr3:uid="{44E367E7-1CE0-43CC-8F53-95C99EB95C60}" name="Portuguese Total" totalsRowFunction="sum" dataDxfId="963" totalsRowDxfId="962"/>
    <tableColumn id="25" xr3:uid="{DC914B4B-13B8-4402-8A6A-7FA57A35B9E9}" name="Punjabi Total" totalsRowFunction="sum" dataDxfId="961" totalsRowDxfId="960"/>
    <tableColumn id="20" xr3:uid="{3B553FA9-6CE6-4ACA-962E-8525D209CF9E}" name="Russian Total" totalsRowFunction="sum" dataDxfId="959" totalsRowDxfId="958"/>
    <tableColumn id="14" xr3:uid="{182CD7ED-C642-4B55-BE98-3F7F0EA82362}" name="Spanish Total" totalsRowFunction="sum" dataDxfId="957" totalsRowDxfId="956"/>
    <tableColumn id="15" xr3:uid="{A5580846-75C6-4133-8959-CC0CEAFA3388}" name="Tagalog (Filipino) Total" totalsRowFunction="sum" dataDxfId="955" totalsRowDxfId="954"/>
    <tableColumn id="26" xr3:uid="{639573B1-57F3-44A9-A46A-0C95755BB90C}" name="Urdu Total" totalsRowFunction="sum" dataDxfId="953" totalsRowDxfId="952"/>
    <tableColumn id="16" xr3:uid="{11F31E84-C285-439D-9FC2-44C6AFCE8580}" name="Vietnamese Total" totalsRowFunction="sum" dataDxfId="951" totalsRowDxfId="950"/>
    <tableColumn id="17" xr3:uid="{ACAEF0ED-CE01-43A3-8382-E203D2685A84}" name="Other Total" totalsRowFunction="sum" dataDxfId="949" totalsRowDxfId="948"/>
    <tableColumn id="21" xr3:uid="{1D604675-79C8-49AF-B60B-C33AFD9104DF}" name="Total Seals per LEA" totalsRowFunction="sum" dataDxfId="947" totalsRowDxfId="946">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Riverside county and also includes language total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AED1D1E-BFF8-48CA-BB13-464EA4C98191}" name="Sacramento" displayName="Sacramento" ref="A2:AB8" totalsRowCount="1" headerRowDxfId="945" dataDxfId="944">
  <autoFilter ref="A2:AB7" xr:uid="{00000000-0009-0000-0100-00001C000000}"/>
  <tableColumns count="28">
    <tableColumn id="1" xr3:uid="{AC47114C-30B5-4E0E-A33B-1320B0FE1953}" name="Participating Districts" totalsRowLabel="Total: 5" dataDxfId="943"/>
    <tableColumn id="2" xr3:uid="{097EE7F6-F724-447B-8A74-EE9043FBA1A5}" name="Participating Schools" totalsRowLabel="33" dataDxfId="942" totalsRowDxfId="941"/>
    <tableColumn id="29" xr3:uid="{6FB39633-CA6D-4137-BFAA-B1C4B6A39F09}" name="Dual Language School(s)" totalsRowLabel="4" dataDxfId="940" totalsRowDxfId="939"/>
    <tableColumn id="28" xr3:uid="{3A18F491-A70B-4844-975B-4011875568FE}" name="Program Model(s) Offered" dataDxfId="938" totalsRowDxfId="937"/>
    <tableColumn id="27" xr3:uid="{FFAE03BF-393C-4AFC-BC59-1D46D016C19F}" name="Biliteracy Pathway Recognitions Offered" dataDxfId="936" totalsRowDxfId="935"/>
    <tableColumn id="3" xr3:uid="{F802752F-E592-4AD9-9E34-727D7B790393}" name="American Sign Language Total" totalsRowFunction="sum" dataDxfId="934" totalsRowDxfId="933"/>
    <tableColumn id="4" xr3:uid="{A87EC60C-7E8D-47D8-9988-1A3E5A0A64B3}" name="Arabic Total" totalsRowFunction="sum" dataDxfId="932" totalsRowDxfId="931"/>
    <tableColumn id="5" xr3:uid="{2F4B4761-C9DB-4ED3-8DA6-D9CE1559611A}" name="Armenian Total" totalsRowFunction="sum" dataDxfId="930" totalsRowDxfId="929"/>
    <tableColumn id="22" xr3:uid="{40681821-56DD-48A4-B0C4-056A26916499}" name="Bengali Total" totalsRowFunction="sum" dataDxfId="928" totalsRowDxfId="927"/>
    <tableColumn id="18" xr3:uid="{A284FB60-BBA9-49EF-AE0B-23497AB00F32}" name="Chinese Total" totalsRowFunction="sum" dataDxfId="926" totalsRowDxfId="925"/>
    <tableColumn id="23" xr3:uid="{3D2B7CD5-38F1-4F53-B171-3329E5AF7DAC}" name="Farsi (Persian) Total" totalsRowFunction="sum" dataDxfId="924" totalsRowDxfId="923"/>
    <tableColumn id="6" xr3:uid="{D421053F-6BD7-49AF-80FE-2AE5672D94B7}" name="French Total" totalsRowFunction="sum" dataDxfId="922" totalsRowDxfId="921"/>
    <tableColumn id="7" xr3:uid="{85BF34AD-BB27-430D-9958-CB217E5F2FEB}" name="German Total" totalsRowFunction="sum" dataDxfId="920" totalsRowDxfId="919"/>
    <tableColumn id="19" xr3:uid="{847ED280-B5B3-407A-A1FE-8411160818FD}" name="Hebrew Total" totalsRowFunction="sum" dataDxfId="918" totalsRowDxfId="917"/>
    <tableColumn id="24" xr3:uid="{E8D447F7-E6B7-4063-A962-7BC5FD06357F}" name="Hindi Total" totalsRowFunction="sum" dataDxfId="916" totalsRowDxfId="915"/>
    <tableColumn id="8" xr3:uid="{8B41B5F7-1B16-4C3B-BB36-8842F07E34FC}" name="Hmong Total" totalsRowFunction="sum" dataDxfId="914" totalsRowDxfId="913"/>
    <tableColumn id="9" xr3:uid="{CE396192-96B5-442A-A0D4-87814E0661E5}" name="Italian Total" totalsRowFunction="sum" dataDxfId="912" totalsRowDxfId="911"/>
    <tableColumn id="10" xr3:uid="{28284205-C4B0-407D-8622-6D84A91E6970}" name="Japanese Total" totalsRowFunction="sum" dataDxfId="910" totalsRowDxfId="909"/>
    <tableColumn id="11" xr3:uid="{F49DE8E9-7255-4503-B6AC-524137A086EB}" name="Korean Total" totalsRowFunction="sum" dataDxfId="908" totalsRowDxfId="907"/>
    <tableColumn id="13" xr3:uid="{C2CB4E37-A603-47E5-AB63-114649CAC4DA}" name="Portuguese Total" totalsRowFunction="sum" dataDxfId="906" totalsRowDxfId="905"/>
    <tableColumn id="25" xr3:uid="{8DE100AF-574B-4795-BC32-C236BF999E2C}" name="Punjabi Total" totalsRowFunction="sum" dataDxfId="904" totalsRowDxfId="903"/>
    <tableColumn id="20" xr3:uid="{90C8DEC8-5273-4033-BD15-A2C660956664}" name="Russian Total" totalsRowFunction="sum" dataDxfId="902" totalsRowDxfId="901"/>
    <tableColumn id="14" xr3:uid="{AB9141C3-8398-434E-BECA-AEB9777CC7EA}" name="Spanish Total" totalsRowFunction="sum" dataDxfId="900" totalsRowDxfId="899"/>
    <tableColumn id="15" xr3:uid="{86B504A7-8D45-42EC-8AC1-7F27E9686278}" name="Tagalog (Filipino) Total" totalsRowFunction="sum" dataDxfId="898" totalsRowDxfId="897"/>
    <tableColumn id="26" xr3:uid="{85D347EB-6349-4B11-A68B-E7730DD7ABCC}" name="Urdu Total" totalsRowFunction="sum" dataDxfId="896" totalsRowDxfId="895"/>
    <tableColumn id="16" xr3:uid="{353ED0EF-2B69-400F-A6AE-8D3D69598735}" name="Vietnamese Total" totalsRowFunction="sum" dataDxfId="894" totalsRowDxfId="893"/>
    <tableColumn id="17" xr3:uid="{0F6D5104-B0F7-483F-8C77-748A4BEE135C}" name="Other Total" totalsRowFunction="sum" dataDxfId="892" totalsRowDxfId="891"/>
    <tableColumn id="21" xr3:uid="{44740C32-A304-4E20-89FA-557ED033C542}" name="Total Seals per LEA" totalsRowFunction="sum" dataDxfId="890" totalsRowDxfId="889">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cramento county and also includes language total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956C8D0A-4471-47F7-9346-9E97B7C5E073}" name="SanBernardino" displayName="SanBernardino" ref="A2:AB7" totalsRowCount="1" headerRowDxfId="888" dataDxfId="887">
  <autoFilter ref="A2:AB6" xr:uid="{00000000-0009-0000-0100-00001C000000}"/>
  <tableColumns count="28">
    <tableColumn id="1" xr3:uid="{EC0A1EFA-786C-4E19-93A9-08870DEE1B0C}" name="Participating Districts" totalsRowLabel="Total: 4" dataDxfId="886"/>
    <tableColumn id="2" xr3:uid="{271FEC12-90FC-4C21-85F6-1D2CA6D5B86F}" name="Participating Schools" totalsRowLabel="57" dataDxfId="885" totalsRowDxfId="884"/>
    <tableColumn id="29" xr3:uid="{85A6629C-6E51-413E-BFC6-062B1BAE0C03}" name="Dual Language School(s)" totalsRowLabel="5" dataDxfId="883" totalsRowDxfId="882"/>
    <tableColumn id="28" xr3:uid="{96D05FC4-AA6A-4127-ACCF-313EA7D1DB50}" name="Program Model(s) Offered" dataDxfId="881" totalsRowDxfId="880"/>
    <tableColumn id="27" xr3:uid="{9D503C66-8DA5-4AA5-B9C1-8975C4464115}" name="Biliteracy Pathway Recognitions Offered" dataDxfId="879" totalsRowDxfId="878"/>
    <tableColumn id="3" xr3:uid="{E932DEB6-FD7C-45E6-B245-8CD590C46797}" name="American Sign Language Total" totalsRowFunction="sum" dataDxfId="877" totalsRowDxfId="876"/>
    <tableColumn id="4" xr3:uid="{275B9E7B-B9C8-4449-A290-00590A6C7D25}" name="Arabic Total" totalsRowFunction="sum" dataDxfId="875" totalsRowDxfId="874"/>
    <tableColumn id="5" xr3:uid="{31AA25CD-5E64-4989-BBA9-2D11525E3EA9}" name="Armenian Total" totalsRowFunction="sum" dataDxfId="873" totalsRowDxfId="872"/>
    <tableColumn id="22" xr3:uid="{E88CF52D-3680-417E-80A1-0B1910BD9CBD}" name="Bengali Total" totalsRowFunction="sum" dataDxfId="871" totalsRowDxfId="870"/>
    <tableColumn id="18" xr3:uid="{E368FADA-2BC0-4524-8E34-F953DA27C24E}" name="Chinese Total" totalsRowFunction="sum" dataDxfId="869" totalsRowDxfId="868"/>
    <tableColumn id="23" xr3:uid="{659F07D7-A4FC-4535-97C6-EE72C942A72B}" name="Farsi (Persian) Total" totalsRowFunction="sum" dataDxfId="867" totalsRowDxfId="866"/>
    <tableColumn id="6" xr3:uid="{C4A31468-B2BF-44B1-AD4E-09D177F7691E}" name="French Total" totalsRowFunction="sum" dataDxfId="865" totalsRowDxfId="864"/>
    <tableColumn id="7" xr3:uid="{0C5BFFD9-06CA-4D26-A548-31AF4A8E44F6}" name="German Total" totalsRowFunction="sum" dataDxfId="863" totalsRowDxfId="862"/>
    <tableColumn id="19" xr3:uid="{AB262A80-17A7-4E5E-9856-538AFCEA78F3}" name="Hebrew Total" totalsRowFunction="sum" dataDxfId="861" totalsRowDxfId="860"/>
    <tableColumn id="24" xr3:uid="{F93F660D-2B39-433C-B733-93A8929E8337}" name="Hindi Total" totalsRowFunction="sum" dataDxfId="859" totalsRowDxfId="858"/>
    <tableColumn id="8" xr3:uid="{5330CC2E-B645-44B9-BB26-F1109260A6A5}" name="Hmong Total" totalsRowFunction="sum" dataDxfId="857" totalsRowDxfId="856"/>
    <tableColumn id="9" xr3:uid="{FD8E51EC-AC6F-4FA1-A28D-98C1C6D9E38C}" name="Italian Total" totalsRowFunction="sum" dataDxfId="855" totalsRowDxfId="854"/>
    <tableColumn id="10" xr3:uid="{46AB8625-2D53-43CB-A010-248646EC007F}" name="Japanese Total" totalsRowFunction="sum" dataDxfId="853" totalsRowDxfId="852"/>
    <tableColumn id="11" xr3:uid="{86D28320-39DF-4BC3-B9F4-5A499EF32E58}" name="Korean Total" totalsRowFunction="sum" dataDxfId="851" totalsRowDxfId="850"/>
    <tableColumn id="13" xr3:uid="{5FFBA51C-B2AA-4290-AAC6-82D9097F7213}" name="Portuguese Total" totalsRowFunction="sum" dataDxfId="849" totalsRowDxfId="848"/>
    <tableColumn id="25" xr3:uid="{9C64A464-278F-4097-9856-D99C06313192}" name="Punjabi Total" totalsRowFunction="sum" dataDxfId="847" totalsRowDxfId="846"/>
    <tableColumn id="20" xr3:uid="{7C0CDB97-71B1-45A8-BC6E-4428CA8BCB62}" name="Russian Total" totalsRowFunction="sum" dataDxfId="845" totalsRowDxfId="844"/>
    <tableColumn id="14" xr3:uid="{BB082E0A-6424-4BA9-9460-299AB229EDCE}" name="Spanish Total" totalsRowFunction="sum" dataDxfId="843" totalsRowDxfId="842"/>
    <tableColumn id="15" xr3:uid="{0A8E6A3B-1A20-43D5-82DA-5AB2EAE67FCC}" name="Tagalog (Filipino) Total" totalsRowFunction="sum" dataDxfId="841" totalsRowDxfId="840"/>
    <tableColumn id="26" xr3:uid="{E320E86C-4F5E-4F98-B456-008E3E1F3351}" name="Urdu Total" totalsRowFunction="sum" dataDxfId="839" totalsRowDxfId="838"/>
    <tableColumn id="16" xr3:uid="{C2117221-1142-46B8-A75E-98226F0B5FBD}" name="Vietnamese Total" totalsRowFunction="sum" dataDxfId="837" totalsRowDxfId="836"/>
    <tableColumn id="17" xr3:uid="{5C2EC240-FCCD-4325-93ED-FD626289DE4B}" name="Other Total" totalsRowFunction="sum" dataDxfId="835" totalsRowDxfId="834"/>
    <tableColumn id="21" xr3:uid="{A661FEDC-6C02-4A5C-8BE9-E2D25E98347D}" name="Total Seals per LEA" totalsRowFunction="sum" dataDxfId="833" totalsRowDxfId="832">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Bernardino county and also includes language total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608E5206-A112-4A49-A5C0-85063BF4446C}" name="SanDiego" displayName="SanDiego" ref="A2:AB18" totalsRowCount="1" headerRowDxfId="831" dataDxfId="830">
  <autoFilter ref="A2:AB17" xr:uid="{00000000-0009-0000-0100-00001C000000}"/>
  <tableColumns count="28">
    <tableColumn id="1" xr3:uid="{B53C3ABD-5675-4F02-9D6B-ECE657F4B2F9}" name="Participating Districts" totalsRowLabel="Total: 10" dataDxfId="54"/>
    <tableColumn id="2" xr3:uid="{FE8E49E2-AE58-44A9-9506-96D90194FC65}" name="Participating Schools" totalsRowLabel="64" dataDxfId="53" totalsRowDxfId="26"/>
    <tableColumn id="29" xr3:uid="{565EFB10-C07C-484F-85B1-260C6DFAC47B}" name="Dual Language School(s)" totalsRowLabel="54" dataDxfId="52" totalsRowDxfId="25"/>
    <tableColumn id="28" xr3:uid="{8AD2AF22-5595-4AEF-9AA2-E0E56996F652}" name="Program Model(s) Offered" dataDxfId="51" totalsRowDxfId="24"/>
    <tableColumn id="27" xr3:uid="{2C83A7BD-FE8A-4399-9749-05B1BC766F49}" name="Biliteracy Pathway Recognitions Offered" dataDxfId="50" totalsRowDxfId="23"/>
    <tableColumn id="3" xr3:uid="{469B1051-69BA-44E5-90AA-8D4A6882805C}" name="American Sign Language Total" totalsRowFunction="sum" dataDxfId="49" totalsRowDxfId="22"/>
    <tableColumn id="4" xr3:uid="{3F7FB498-3416-44C2-878E-E8CCC8ECCD8C}" name="Arabic Total" totalsRowFunction="sum" dataDxfId="48" totalsRowDxfId="21"/>
    <tableColumn id="5" xr3:uid="{F0207417-8192-4AFC-B854-B8BFC91A16CB}" name="Armenian Total" totalsRowFunction="sum" dataDxfId="47" totalsRowDxfId="20"/>
    <tableColumn id="22" xr3:uid="{19D35645-0979-48C1-8960-A055F53FC58F}" name="Bengali Total" totalsRowFunction="sum" dataDxfId="46" totalsRowDxfId="19"/>
    <tableColumn id="18" xr3:uid="{4AB82019-D4A6-4BBB-BBCF-13090302B10C}" name="Chinese Total" totalsRowFunction="sum" dataDxfId="45" totalsRowDxfId="18"/>
    <tableColumn id="23" xr3:uid="{88A671AD-F120-4E02-91A3-7AA3108D56FE}" name="Farsi (Persian) Total" totalsRowFunction="sum" dataDxfId="44" totalsRowDxfId="17"/>
    <tableColumn id="6" xr3:uid="{A5D88989-3AB9-4CEB-B501-AA9DC2AA9038}" name="French Total" totalsRowFunction="sum" dataDxfId="43" totalsRowDxfId="16"/>
    <tableColumn id="7" xr3:uid="{4D1300F1-8AFE-43D5-8456-ECDF055FDBBE}" name="German Total" totalsRowFunction="sum" dataDxfId="42" totalsRowDxfId="15"/>
    <tableColumn id="19" xr3:uid="{DF959E2D-3029-45B1-B19E-5C75F63266BA}" name="Hebrew Total" totalsRowFunction="sum" dataDxfId="41" totalsRowDxfId="14"/>
    <tableColumn id="24" xr3:uid="{13B47C40-0778-4832-9F93-B3C4D25C233F}" name="Hindi Total" totalsRowFunction="sum" dataDxfId="40" totalsRowDxfId="13"/>
    <tableColumn id="8" xr3:uid="{EA797D0C-ECCA-466C-84A0-1305E6F349AD}" name="Hmong Total" totalsRowFunction="sum" dataDxfId="39" totalsRowDxfId="12"/>
    <tableColumn id="9" xr3:uid="{B476A425-A7C5-49C7-BBDC-543BC788F078}" name="Italian Total" totalsRowFunction="sum" dataDxfId="38" totalsRowDxfId="11"/>
    <tableColumn id="10" xr3:uid="{58F7DC5F-6295-41D1-9740-CF4395B5FCB7}" name="Japanese Total" totalsRowFunction="sum" dataDxfId="37" totalsRowDxfId="10"/>
    <tableColumn id="11" xr3:uid="{7F1BAE88-7BC5-4831-93C3-EE6937F320C3}" name="Korean Total" totalsRowFunction="sum" dataDxfId="36" totalsRowDxfId="9"/>
    <tableColumn id="13" xr3:uid="{FF491C42-9D42-4E93-AA42-BC3B4BFA8E3D}" name="Portuguese Total" totalsRowFunction="sum" dataDxfId="35" totalsRowDxfId="8"/>
    <tableColumn id="25" xr3:uid="{E822A16F-9AD3-4C4E-9598-E6F7B84E9C1B}" name="Punjabi Total" totalsRowFunction="sum" dataDxfId="34" totalsRowDxfId="7"/>
    <tableColumn id="20" xr3:uid="{64551468-F714-4E83-B388-7822B9DE6269}" name="Russian Total" totalsRowFunction="sum" dataDxfId="33" totalsRowDxfId="6"/>
    <tableColumn id="14" xr3:uid="{A3406822-74B9-49A8-AE99-64265E667736}" name="Spanish Total" totalsRowFunction="sum" dataDxfId="32" totalsRowDxfId="5"/>
    <tableColumn id="15" xr3:uid="{3114FB76-4632-439E-B5A3-C0C395D67D41}" name="Tagalog (Filipino) Total" totalsRowFunction="sum" dataDxfId="31" totalsRowDxfId="4"/>
    <tableColumn id="26" xr3:uid="{1E552390-569F-4ADA-95C2-CACB54B85E72}" name="Urdu Total" totalsRowFunction="sum" dataDxfId="30" totalsRowDxfId="3"/>
    <tableColumn id="16" xr3:uid="{42E53A3C-D681-4CFE-8B3B-D4B516D3AAB7}" name="Vietnamese Total" totalsRowFunction="sum" dataDxfId="29" totalsRowDxfId="2"/>
    <tableColumn id="17" xr3:uid="{E398B606-ECC6-4C31-9AC1-002329DB8EEE}" name="Other Total" totalsRowFunction="sum" dataDxfId="28" totalsRowDxfId="1"/>
    <tableColumn id="21" xr3:uid="{93CE64C2-FF49-4EC6-895A-521D4702C4DE}" name="Total Seals per LEA" totalsRowFunction="sum" dataDxfId="27" totalsRowDxfId="0">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Diego county and also includes language total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A795E4F-E858-463A-A7B6-4906173B95FF}" name="SanBernardino917" displayName="SanBernardino917" ref="A2:AB4" totalsRowCount="1" headerRowDxfId="829" dataDxfId="828">
  <autoFilter ref="A2:AB3" xr:uid="{5A795E4F-E858-463A-A7B6-4906173B95FF}"/>
  <tableColumns count="28">
    <tableColumn id="1" xr3:uid="{0B89E51B-90E7-439F-9D43-D906A969AF44}" name="Participating Districts" totalsRowLabel="Total: 1" dataDxfId="827"/>
    <tableColumn id="2" xr3:uid="{94729776-81AC-4FF0-8890-5BDBACD9819D}" name="Participating Schools" totalsRowLabel="38" dataDxfId="826" totalsRowDxfId="825"/>
    <tableColumn id="29" xr3:uid="{DAFE3E0D-262E-4015-80D1-66378659DA76}" name="Dual Language School(s)" totalsRowLabel="16" dataDxfId="824" totalsRowDxfId="823"/>
    <tableColumn id="28" xr3:uid="{D039CCC1-244F-49CB-B31B-581A5C160E45}" name="Program Model(s) Offered" dataDxfId="822" totalsRowDxfId="821"/>
    <tableColumn id="27" xr3:uid="{30EE6A75-AAF7-418F-BB82-27E15919BAB1}" name="Biliteracy Pathway Recognitions Offered" dataDxfId="820" totalsRowDxfId="819"/>
    <tableColumn id="3" xr3:uid="{CA7539B1-CFA8-4D7E-8A7E-32D5493087C4}" name="American Sign Language Total" totalsRowFunction="sum" dataDxfId="818" totalsRowDxfId="817"/>
    <tableColumn id="4" xr3:uid="{17CFFF22-AFD2-40AD-91C6-4142B1FC17F3}" name="Arabic Total" totalsRowFunction="sum" dataDxfId="816" totalsRowDxfId="815"/>
    <tableColumn id="5" xr3:uid="{54A35A26-9F41-497A-96A0-841E524A58DB}" name="Armenian Total" totalsRowFunction="sum" dataDxfId="814" totalsRowDxfId="813"/>
    <tableColumn id="22" xr3:uid="{2D887383-25AD-4E3E-BF0F-9FACF74AA25A}" name="Bengali Total" totalsRowFunction="sum" dataDxfId="812" totalsRowDxfId="811"/>
    <tableColumn id="18" xr3:uid="{F5EDE980-F475-4AE4-AD78-67C794C0A8C9}" name="Chinese Total" totalsRowFunction="sum" dataDxfId="810" totalsRowDxfId="809"/>
    <tableColumn id="23" xr3:uid="{327747FA-9187-46DD-89BF-8FD3ED7EDE6F}" name="Farsi (Persian) Total" totalsRowFunction="sum" dataDxfId="808" totalsRowDxfId="807"/>
    <tableColumn id="6" xr3:uid="{3D946729-3E0D-4244-AB40-5C038D1EB498}" name="French Total" totalsRowFunction="sum" dataDxfId="806" totalsRowDxfId="805"/>
    <tableColumn id="7" xr3:uid="{469ACED3-CFFE-4440-890C-8DE99DA9E45E}" name="German Total" totalsRowFunction="sum" dataDxfId="804" totalsRowDxfId="803"/>
    <tableColumn id="19" xr3:uid="{FD6BF32E-8321-435C-847B-1B5055605676}" name="Hebrew Total" totalsRowFunction="sum" dataDxfId="802" totalsRowDxfId="801"/>
    <tableColumn id="24" xr3:uid="{B198ED41-6FCB-4A3B-B24C-B0B0F19F6227}" name="Hindi Total" totalsRowFunction="sum" dataDxfId="800" totalsRowDxfId="799"/>
    <tableColumn id="8" xr3:uid="{66B8620C-4082-45C7-AAF6-77D435B8B101}" name="Hmong Total" totalsRowFunction="sum" dataDxfId="798" totalsRowDxfId="797"/>
    <tableColumn id="9" xr3:uid="{BDAF5587-B0D8-44A0-8790-79F25A8C6DCD}" name="Italian Total" totalsRowFunction="sum" dataDxfId="796" totalsRowDxfId="795"/>
    <tableColumn id="10" xr3:uid="{9F6B2222-1F9E-4ABF-83C7-AD7F0F83FAF7}" name="Japanese Total" totalsRowFunction="sum" dataDxfId="794" totalsRowDxfId="793"/>
    <tableColumn id="11" xr3:uid="{52695457-65D1-4D8A-9E65-8B86A6F17435}" name="Korean Total" totalsRowFunction="sum" dataDxfId="792" totalsRowDxfId="791"/>
    <tableColumn id="13" xr3:uid="{C3DA245F-8609-4D1C-9258-B7AEAC4BCAA8}" name="Portuguese Total" totalsRowFunction="sum" dataDxfId="790" totalsRowDxfId="789"/>
    <tableColumn id="25" xr3:uid="{5AE66A5F-7599-4A9D-BE8C-76FA839FF70F}" name="Punjabi Total" totalsRowFunction="sum" dataDxfId="788" totalsRowDxfId="787"/>
    <tableColumn id="20" xr3:uid="{31A0EABC-14C1-4173-B65E-766125D6CDE0}" name="Russian Total" totalsRowFunction="sum" dataDxfId="786" totalsRowDxfId="785"/>
    <tableColumn id="14" xr3:uid="{CF6F9124-E271-4330-88B2-8E769012290F}" name="Spanish Total" totalsRowFunction="sum" dataDxfId="784" totalsRowDxfId="783"/>
    <tableColumn id="15" xr3:uid="{6B44F7BE-FD19-4042-A3A2-AD566724FABA}" name="Tagalog (Filipino) Total" totalsRowFunction="sum" dataDxfId="782" totalsRowDxfId="781"/>
    <tableColumn id="26" xr3:uid="{CEDD3935-36C9-4203-B91C-CD3822E17200}" name="Urdu Total" totalsRowFunction="sum" dataDxfId="780" totalsRowDxfId="779"/>
    <tableColumn id="16" xr3:uid="{F9327052-53DE-470B-A261-61B48E11F480}" name="Vietnamese Total" totalsRowFunction="sum" dataDxfId="778" totalsRowDxfId="777"/>
    <tableColumn id="17" xr3:uid="{16B5D374-E41C-44E5-AA41-270956F0E931}" name="Other Total" totalsRowFunction="sum" dataDxfId="776" totalsRowDxfId="775"/>
    <tableColumn id="21" xr3:uid="{D607FC1A-153C-4A21-A9A3-FDB3F6ED4AF3}" name="Total Seals per LEA" totalsRowFunction="sum" dataDxfId="774" totalsRowDxfId="773">
      <calculatedColumnFormula>SUM(SanBernardino917[[#This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Joaquin county and also includes language total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C8791AF-12C4-4BDE-A667-062382F03930}" name="SanJoaquin" displayName="SanJoaquin" ref="A2:AB4" totalsRowCount="1" headerRowDxfId="772" dataDxfId="771">
  <autoFilter ref="A2:AB3" xr:uid="{9C8791AF-12C4-4BDE-A667-062382F03930}"/>
  <tableColumns count="28">
    <tableColumn id="1" xr3:uid="{86E629B4-3D9B-4329-9039-0448C7EAF7B7}" name="Participating Districts" totalsRowLabel="Total: 1" dataDxfId="770"/>
    <tableColumn id="2" xr3:uid="{962D3621-E8E9-4B25-B6C8-B0675AD58138}" name="Participating Schools" totalsRowLabel="1" dataDxfId="769" totalsRowDxfId="768"/>
    <tableColumn id="29" xr3:uid="{A292B869-DABD-48A3-A2D2-DCF6F5DC6F84}" name="Dual Language School(s)" totalsRowLabel="1" dataDxfId="767" totalsRowDxfId="766"/>
    <tableColumn id="28" xr3:uid="{80C6991E-0302-4ABE-B95C-CB1113365268}" name="Program Model(s) Offered" dataDxfId="765" totalsRowDxfId="764"/>
    <tableColumn id="27" xr3:uid="{B128BA1C-072E-4A24-B20B-64A75F7E0385}" name="Biliteracy Pathway Recognitions Offered" dataDxfId="763" totalsRowDxfId="762"/>
    <tableColumn id="3" xr3:uid="{90275AA1-7C53-4533-998A-42073FEE3A2E}" name="American Sign Language Total" totalsRowFunction="sum" dataDxfId="761" totalsRowDxfId="760"/>
    <tableColumn id="4" xr3:uid="{1885E7D3-40E2-4C3E-B29B-4C71CF479A42}" name="Arabic Total" totalsRowFunction="sum" dataDxfId="759" totalsRowDxfId="758"/>
    <tableColumn id="5" xr3:uid="{29AD19D0-1C9C-4FE7-8CF2-1F6751ED54CF}" name="Armenian Total" totalsRowFunction="sum" dataDxfId="757" totalsRowDxfId="756"/>
    <tableColumn id="22" xr3:uid="{DAD3A297-59A8-494A-A7BA-D4D809B67564}" name="Bengali Total" totalsRowFunction="sum" dataDxfId="755" totalsRowDxfId="754"/>
    <tableColumn id="18" xr3:uid="{0771C4BB-E23C-4CDA-94CC-EE7CB2C4088D}" name="Chinese Total" totalsRowFunction="sum" dataDxfId="753" totalsRowDxfId="752"/>
    <tableColumn id="23" xr3:uid="{013B8E8B-4946-49FB-9CC9-D98EA622339D}" name="Farsi (Persian) Total" totalsRowFunction="sum" dataDxfId="751" totalsRowDxfId="750"/>
    <tableColumn id="6" xr3:uid="{08947A3A-AB2D-4CD6-BDD4-FC13E41E1D7E}" name="French Total" totalsRowFunction="sum" dataDxfId="749" totalsRowDxfId="748"/>
    <tableColumn id="7" xr3:uid="{FBCAFE70-3B50-4B18-9903-7F2CB9BD458B}" name="German Total" totalsRowFunction="sum" dataDxfId="747" totalsRowDxfId="746"/>
    <tableColumn id="19" xr3:uid="{2BDE512C-D145-4B3B-AE2C-75BED717BC62}" name="Hebrew Total" totalsRowFunction="sum" dataDxfId="745" totalsRowDxfId="744"/>
    <tableColumn id="24" xr3:uid="{E79527FF-03BA-46F5-802E-363798BF0842}" name="Hindi Total" totalsRowFunction="sum" dataDxfId="743" totalsRowDxfId="742"/>
    <tableColumn id="8" xr3:uid="{B04DB74B-646E-462D-8E68-EACB2ACF09EF}" name="Hmong Total" totalsRowFunction="sum" dataDxfId="741" totalsRowDxfId="740"/>
    <tableColumn id="9" xr3:uid="{83200C2E-7C07-4689-863A-20B14A6E83D4}" name="Italian Total" totalsRowFunction="sum" dataDxfId="739" totalsRowDxfId="738"/>
    <tableColumn id="10" xr3:uid="{58143058-B822-4D42-970F-C2339746DF09}" name="Japanese Total" totalsRowFunction="sum" dataDxfId="737" totalsRowDxfId="736"/>
    <tableColumn id="11" xr3:uid="{3656D3D6-3B8D-413D-B7D4-5643ADD87501}" name="Korean Total" totalsRowFunction="sum" dataDxfId="735" totalsRowDxfId="734"/>
    <tableColumn id="13" xr3:uid="{C1B74AAE-CD2F-474C-A401-AB136DF4A328}" name="Portuguese Total" totalsRowFunction="sum" dataDxfId="733" totalsRowDxfId="732"/>
    <tableColumn id="25" xr3:uid="{2857B4AC-3665-4B08-A4BC-694C7E141AA6}" name="Punjabi Total" totalsRowFunction="sum" dataDxfId="731" totalsRowDxfId="730"/>
    <tableColumn id="20" xr3:uid="{B0A9407D-BC41-454F-B37D-3947006ABA16}" name="Russian Total" totalsRowFunction="sum" dataDxfId="729" totalsRowDxfId="728"/>
    <tableColumn id="14" xr3:uid="{98AB7BB1-9844-44F1-B27F-493651DB2027}" name="Spanish Total" totalsRowFunction="sum" dataDxfId="727" totalsRowDxfId="726"/>
    <tableColumn id="15" xr3:uid="{540CF065-58B9-440D-9E26-F483A4433313}" name="Tagalog (Filipino) Total" totalsRowFunction="sum" dataDxfId="725" totalsRowDxfId="724"/>
    <tableColumn id="26" xr3:uid="{47501788-7D1D-42D4-B1C8-8400586CE29F}" name="Urdu Total" totalsRowFunction="sum" dataDxfId="723" totalsRowDxfId="722"/>
    <tableColumn id="16" xr3:uid="{FA3E567C-81AA-45F4-8C4B-853EE73F6F4F}" name="Vietnamese Total" totalsRowFunction="sum" dataDxfId="721" totalsRowDxfId="720"/>
    <tableColumn id="17" xr3:uid="{8D34360D-6B0E-4622-A583-25BACF685227}" name="Other Total" totalsRowFunction="sum" dataDxfId="719" totalsRowDxfId="718"/>
    <tableColumn id="21" xr3:uid="{E3A413DD-5715-41C0-A3F6-F7B6C0D54FD1}" name="Total Seals per LEA" totalsRowFunction="sum" dataDxfId="717" totalsRowDxfId="716">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Joaquin county and also includes language total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AB469FC-D8F0-4AD8-A336-F9D559CC9E33}" name="SanJoaquin18" displayName="SanJoaquin18" ref="A2:AB4" totalsRowCount="1" headerRowDxfId="715" dataDxfId="714">
  <autoFilter ref="A2:AB3" xr:uid="{2AB469FC-D8F0-4AD8-A336-F9D559CC9E33}"/>
  <tableColumns count="28">
    <tableColumn id="1" xr3:uid="{1E130073-5289-4273-B096-0B3B76F208D4}" name="Participating Districts" totalsRowLabel="Total: 1" dataDxfId="713"/>
    <tableColumn id="2" xr3:uid="{8E4D5066-1B0C-4DDE-A637-3211EA69C875}" name="Participating Schools" totalsRowLabel="1" dataDxfId="712" totalsRowDxfId="711"/>
    <tableColumn id="29" xr3:uid="{094F4C0E-39F2-4E9C-A31F-62BFE3F5A25A}" name="Dual Language School(s)" totalsRowLabel="0" dataDxfId="710" totalsRowDxfId="709"/>
    <tableColumn id="28" xr3:uid="{FF839BED-3ABC-497F-B0A2-F7B252D1BB0E}" name="Program Model(s) Offered" dataDxfId="708" totalsRowDxfId="707"/>
    <tableColumn id="27" xr3:uid="{480B6DAE-5A29-41F8-A7D6-2D76F4E094DF}" name="Biliteracy Pathway Recognitions Offered" dataDxfId="706" totalsRowDxfId="705"/>
    <tableColumn id="3" xr3:uid="{B324C857-EDA2-4549-BE2C-66D4AE599E30}" name="American Sign Language Total" totalsRowFunction="sum" dataDxfId="704" totalsRowDxfId="703"/>
    <tableColumn id="4" xr3:uid="{A7B4C33B-59A8-4F5D-8F55-DD8B81974082}" name="Arabic Total" totalsRowFunction="sum" dataDxfId="702" totalsRowDxfId="701"/>
    <tableColumn id="5" xr3:uid="{08E851C5-7A1D-4661-8E93-BB58CB644B61}" name="Armenian Total" totalsRowFunction="sum" dataDxfId="700" totalsRowDxfId="699"/>
    <tableColumn id="22" xr3:uid="{F75FEFE9-E29C-4129-B176-898A9CD89763}" name="Bengali Total" totalsRowFunction="sum" dataDxfId="698" totalsRowDxfId="697"/>
    <tableColumn id="18" xr3:uid="{D4BFBF61-EC21-4D59-828C-3963EC0D40E0}" name="Chinese Total" totalsRowFunction="sum" dataDxfId="696" totalsRowDxfId="695"/>
    <tableColumn id="23" xr3:uid="{41DABC00-BE6D-4328-A3EF-CDD368EA4D2C}" name="Farsi (Persian) Total" totalsRowFunction="sum" dataDxfId="694" totalsRowDxfId="693"/>
    <tableColumn id="6" xr3:uid="{43A2599B-F702-40F6-B9A3-C331A3796ABF}" name="French Total" totalsRowFunction="sum" dataDxfId="692" totalsRowDxfId="691"/>
    <tableColumn id="7" xr3:uid="{D6BF2255-83A4-48EB-BC18-C10C28A9276C}" name="German Total" totalsRowFunction="sum" dataDxfId="690" totalsRowDxfId="689"/>
    <tableColumn id="19" xr3:uid="{F19ACF76-B890-49F3-AE0C-E67A963AE5A8}" name="Hebrew Total" totalsRowFunction="sum" dataDxfId="688" totalsRowDxfId="687"/>
    <tableColumn id="24" xr3:uid="{667ED352-98B0-453F-AA56-9EE65BAC1056}" name="Hindi Total" totalsRowFunction="sum" dataDxfId="686" totalsRowDxfId="685"/>
    <tableColumn id="8" xr3:uid="{EE6B014C-FDC3-4CEA-BDC3-C2F6B0DCFF71}" name="Hmong Total" totalsRowFunction="sum" dataDxfId="684" totalsRowDxfId="683"/>
    <tableColumn id="9" xr3:uid="{B5CFC55C-7B53-4E6B-B756-BD3FA14D818B}" name="Italian Total" totalsRowFunction="sum" dataDxfId="682" totalsRowDxfId="681"/>
    <tableColumn id="10" xr3:uid="{AC452EF5-2AB5-4F39-8CBA-D304067E6129}" name="Japanese Total" totalsRowFunction="sum" dataDxfId="680" totalsRowDxfId="679"/>
    <tableColumn id="11" xr3:uid="{AF4AF0CF-A1D1-40E5-B3C8-52A94C581140}" name="Korean Total" totalsRowFunction="sum" dataDxfId="678" totalsRowDxfId="677"/>
    <tableColumn id="13" xr3:uid="{6266C9E2-E301-4A95-937F-1136301AFAD2}" name="Portuguese Total" totalsRowFunction="sum" dataDxfId="676" totalsRowDxfId="675"/>
    <tableColumn id="25" xr3:uid="{90672AFF-0C6B-4662-A411-341A9630AAFB}" name="Punjabi Total" totalsRowFunction="sum" dataDxfId="674" totalsRowDxfId="673"/>
    <tableColumn id="20" xr3:uid="{13773123-BAA7-40BC-9DA8-1F9D339A58E9}" name="Russian Total" totalsRowFunction="sum" dataDxfId="672" totalsRowDxfId="671"/>
    <tableColumn id="14" xr3:uid="{794C869F-AC62-4387-BE4B-9EC27FE9F628}" name="Spanish Total" totalsRowFunction="sum" dataDxfId="670" totalsRowDxfId="669"/>
    <tableColumn id="15" xr3:uid="{EA380DAC-D9E0-48B4-AB09-D341F808EBF0}" name="Tagalog (Filipino) Total" totalsRowFunction="sum" dataDxfId="668" totalsRowDxfId="667"/>
    <tableColumn id="26" xr3:uid="{E525DA20-970A-48F1-AAFA-BB7EDF38BD17}" name="Urdu Total" totalsRowFunction="sum" dataDxfId="666" totalsRowDxfId="665"/>
    <tableColumn id="16" xr3:uid="{C23ACA50-08D5-47C8-AC1B-FA28402F7306}" name="Vietnamese Total" totalsRowFunction="sum" dataDxfId="664" totalsRowDxfId="663"/>
    <tableColumn id="17" xr3:uid="{7EFEC117-3B0D-4B9B-8DA5-1E1A145F28D1}" name="Other Total" totalsRowFunction="sum" dataDxfId="662" totalsRowDxfId="661"/>
    <tableColumn id="21" xr3:uid="{4C56E779-E2BC-4841-B3D9-44D80659867A}" name="Total Seals per LEA" totalsRowFunction="sum" dataDxfId="660" totalsRowDxfId="659">
      <calculatedColumnFormula>SUM(SanJoaquin18[[#This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Joaquin county and also includes language total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EEB4918-10D7-4512-93C6-81EFD88F16F0}" name="SanBernardino910" displayName="SanBernardino910" ref="A2:AB7" totalsRowCount="1" headerRowDxfId="658" dataDxfId="657">
  <autoFilter ref="A2:AB6" xr:uid="{AEEB4918-10D7-4512-93C6-81EFD88F16F0}"/>
  <tableColumns count="28">
    <tableColumn id="1" xr3:uid="{35F18C91-B9D6-49AA-BB8B-A8DB80E00041}" name="Participating Districts" totalsRowLabel="Total: 4" dataDxfId="656"/>
    <tableColumn id="2" xr3:uid="{74EDAFB8-D019-4518-BCC3-FE38B513526E}" name="Participating Schools" totalsRowLabel="15" dataDxfId="655" totalsRowDxfId="654"/>
    <tableColumn id="29" xr3:uid="{E8B3F084-6513-43A3-A933-73D2CE649B5D}" name="Dual Language School(s)" totalsRowLabel="3" dataDxfId="653" totalsRowDxfId="652"/>
    <tableColumn id="28" xr3:uid="{9EE1CDF4-EB02-42E7-9145-89600EFA8858}" name="Program Model(s) Offered" dataDxfId="651" totalsRowDxfId="650"/>
    <tableColumn id="27" xr3:uid="{13F4B8FE-1D74-4934-ADCA-45FAE30BCEBC}" name="Biliteracy Pathway Recognitions Offered" dataDxfId="649" totalsRowDxfId="648"/>
    <tableColumn id="3" xr3:uid="{72A7D7C6-B42B-48E6-87DD-08E3B347D4F8}" name="American Sign Language Total" totalsRowFunction="sum" dataDxfId="647" totalsRowDxfId="646"/>
    <tableColumn id="4" xr3:uid="{1BC46B0C-EEAA-4422-B731-86C6FA81DD33}" name="Arabic Total" totalsRowFunction="sum" dataDxfId="645" totalsRowDxfId="644"/>
    <tableColumn id="5" xr3:uid="{62F43005-86C5-4458-9550-CC736F8561BB}" name="Armenian Total" totalsRowFunction="sum" dataDxfId="643" totalsRowDxfId="642"/>
    <tableColumn id="22" xr3:uid="{8323C4BC-4ABE-40D4-B940-A7D61EBC5270}" name="Bengali Total" totalsRowFunction="sum" dataDxfId="641" totalsRowDxfId="640"/>
    <tableColumn id="18" xr3:uid="{BD64483F-BB40-48B0-BEF4-AE5FA4EB3850}" name="Chinese Total" totalsRowFunction="sum" dataDxfId="639" totalsRowDxfId="638"/>
    <tableColumn id="23" xr3:uid="{CF459F1C-AB2A-4445-8221-EA610D45708F}" name="Farsi (Persian) Total" totalsRowFunction="sum" dataDxfId="637" totalsRowDxfId="636"/>
    <tableColumn id="6" xr3:uid="{FE0DAC0E-F8CF-44ED-BE2D-C2ADDBA1D91C}" name="French Total" totalsRowFunction="sum" dataDxfId="635" totalsRowDxfId="634"/>
    <tableColumn id="7" xr3:uid="{92A5B1E5-D245-4336-A349-1431AB02C6D0}" name="German Total" totalsRowFunction="sum" dataDxfId="633" totalsRowDxfId="632"/>
    <tableColumn id="19" xr3:uid="{949DC3CF-4376-428E-8A3F-CD8DC79FA84A}" name="Hebrew Total" totalsRowFunction="sum" dataDxfId="631" totalsRowDxfId="630"/>
    <tableColumn id="24" xr3:uid="{99CE21BA-7CE7-4E32-B4C9-67387CD630DB}" name="Hindi Total" totalsRowFunction="sum" dataDxfId="629" totalsRowDxfId="628"/>
    <tableColumn id="8" xr3:uid="{50EA462F-B054-474B-97DF-AF3BF6A886D1}" name="Hmong Total" totalsRowFunction="sum" dataDxfId="627" totalsRowDxfId="626"/>
    <tableColumn id="9" xr3:uid="{27127527-BF96-4831-B9DB-0A6973FA00EE}" name="Italian Total" totalsRowFunction="sum" dataDxfId="625" totalsRowDxfId="624"/>
    <tableColumn id="10" xr3:uid="{9AF0AB54-1552-44C6-B943-93026A809D52}" name="Japanese Total" totalsRowFunction="sum" dataDxfId="623" totalsRowDxfId="622"/>
    <tableColumn id="11" xr3:uid="{895A821E-EE24-42B5-9485-E1147BB9700E}" name="Korean Total" totalsRowFunction="sum" dataDxfId="621" totalsRowDxfId="620"/>
    <tableColumn id="13" xr3:uid="{36301BF9-60BE-4A3E-92B3-95E15A1266D9}" name="Portuguese Total" totalsRowFunction="sum" dataDxfId="619" totalsRowDxfId="618"/>
    <tableColumn id="25" xr3:uid="{59F68309-9CD0-4E44-AD6D-9C07A3C08CCA}" name="Punjabi Total" totalsRowFunction="sum" dataDxfId="617" totalsRowDxfId="616"/>
    <tableColumn id="20" xr3:uid="{8C029D34-D5E7-4F4C-89C6-8A17662DE1F5}" name="Russian Total" totalsRowFunction="sum" dataDxfId="615" totalsRowDxfId="614"/>
    <tableColumn id="14" xr3:uid="{5A9544EE-2FC2-46A3-9287-581A48FAFE48}" name="Spanish Total" totalsRowFunction="sum" dataDxfId="613" totalsRowDxfId="612"/>
    <tableColumn id="15" xr3:uid="{4C51136D-F5C6-43D5-B02C-C1A4563C1E33}" name="Tagalog (Filipino) Total" totalsRowFunction="sum" dataDxfId="611" totalsRowDxfId="610"/>
    <tableColumn id="26" xr3:uid="{89E294D6-C642-4026-80C0-E638C75B5FDE}" name="Urdu Total" totalsRowFunction="sum" dataDxfId="609" totalsRowDxfId="608"/>
    <tableColumn id="16" xr3:uid="{554DCA0C-FBCD-4B6A-BAB2-D5D7D630AD8F}" name="Vietnamese Total" totalsRowFunction="sum" dataDxfId="607" totalsRowDxfId="606"/>
    <tableColumn id="17" xr3:uid="{31EE095B-6DBC-485C-B08E-3158F7B3075B}" name="Other Total" totalsRowFunction="sum" dataDxfId="605" totalsRowDxfId="604"/>
    <tableColumn id="21" xr3:uid="{FB4DFE3E-63F2-4728-9C0E-3B899EDBB137}" name="Total Seals per LEA" totalsRowFunction="sum" dataDxfId="603" totalsRowDxfId="602">
      <calculatedColumnFormula>SUM(SanBernardino910[[#This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 Mateo county and also includes language total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AB8" totalsRowCount="1" headerRowDxfId="1521" dataDxfId="1520">
  <autoFilter ref="A2:AB7" xr:uid="{00000000-0009-0000-0100-000002000000}"/>
  <tableColumns count="28">
    <tableColumn id="1" xr3:uid="{00000000-0010-0000-0100-000001000000}" name="Participating Districts" totalsRowLabel="Total: 5" dataDxfId="1519" totalsRowDxfId="1518"/>
    <tableColumn id="2" xr3:uid="{00000000-0010-0000-0100-000002000000}" name="Participating School(s)" totalsRowLabel="21" dataDxfId="1517" totalsRowDxfId="1516"/>
    <tableColumn id="29" xr3:uid="{6FC0C9AA-F1F8-45D4-9B76-825AD550C650}" name="Dual Language School(s)" totalsRowLabel="8" totalsRowDxfId="1515"/>
    <tableColumn id="31" xr3:uid="{F13622D4-CF31-4ECE-8BCF-EAFE29D39AC4}" name="Program Model(s) Offered" totalsRowDxfId="1514"/>
    <tableColumn id="32" xr3:uid="{73113E7D-C33E-4C51-A071-570DB9AF9D24}" name="Biliteracy Pathway Recognitions Offered" totalsRowDxfId="1513"/>
    <tableColumn id="18" xr3:uid="{00000000-0010-0000-0100-000012000000}" name="American Sign Language Total" totalsRowFunction="sum" dataDxfId="1512" totalsRowDxfId="1511"/>
    <tableColumn id="3" xr3:uid="{00000000-0010-0000-0100-000003000000}" name="Arabic Total" totalsRowFunction="sum" dataDxfId="1510" totalsRowDxfId="1509"/>
    <tableColumn id="4" xr3:uid="{FE2F6E01-73F4-424C-8ACE-4A11F3162658}" name="Armenian Total" totalsRowFunction="sum" dataDxfId="1508" totalsRowDxfId="1507"/>
    <tableColumn id="22" xr3:uid="{68588E7F-EAC1-4BD0-89C2-DBEB76379895}" name="Bengali Total" totalsRowFunction="sum" dataDxfId="1506" totalsRowDxfId="1505"/>
    <tableColumn id="5" xr3:uid="{00000000-0010-0000-0100-000005000000}" name="Chinese Total" totalsRowFunction="sum" dataDxfId="1504" totalsRowDxfId="1503"/>
    <tableColumn id="23" xr3:uid="{EC6BF2CA-0884-4BC9-B838-B5B7C4EAACF5}" name="Farsi (Persian) Total" totalsRowFunction="sum" dataDxfId="1502" totalsRowDxfId="1501"/>
    <tableColumn id="6" xr3:uid="{00000000-0010-0000-0100-000006000000}" name="French Total" totalsRowFunction="sum" dataDxfId="1500" totalsRowDxfId="1499"/>
    <tableColumn id="7" xr3:uid="{00000000-0010-0000-0100-000007000000}" name="German Total" totalsRowFunction="sum" dataDxfId="1498" totalsRowDxfId="1497"/>
    <tableColumn id="8" xr3:uid="{00000000-0010-0000-0100-000008000000}" name="Hebrew Total" totalsRowFunction="sum" dataDxfId="1496" totalsRowDxfId="1495"/>
    <tableColumn id="24" xr3:uid="{6D0987A4-A6BE-4FEE-ACC7-93A5B421239B}" name="Hindi Total" totalsRowFunction="sum" dataDxfId="1494" totalsRowDxfId="1493"/>
    <tableColumn id="9" xr3:uid="{00000000-0010-0000-0100-000009000000}" name="Hmong Total" totalsRowFunction="sum" dataDxfId="1492" totalsRowDxfId="1491"/>
    <tableColumn id="10" xr3:uid="{00000000-0010-0000-0100-00000A000000}" name="Italian Total" totalsRowFunction="sum" dataDxfId="1490" totalsRowDxfId="1489"/>
    <tableColumn id="11" xr3:uid="{00000000-0010-0000-0100-00000B000000}" name="Japanese Total" totalsRowFunction="sum" dataDxfId="1488" totalsRowDxfId="1487"/>
    <tableColumn id="12" xr3:uid="{00000000-0010-0000-0100-00000C000000}" name="Korean Total" totalsRowFunction="sum" dataDxfId="1486" totalsRowDxfId="1485"/>
    <tableColumn id="19" xr3:uid="{3AB27456-C8A0-4F84-97A2-9B65B872BC68}" name="Portuguese Total" totalsRowFunction="sum" dataDxfId="1484" totalsRowDxfId="1483"/>
    <tableColumn id="25" xr3:uid="{98535F64-6044-44E7-925F-B8435E4EE05B}" name="Punjabi Total" totalsRowFunction="sum" dataDxfId="1482" totalsRowDxfId="1481"/>
    <tableColumn id="20" xr3:uid="{27F38954-6CB6-40B8-8B8E-B9B11311D980}" name="Russian Total" totalsRowFunction="sum" dataDxfId="1480" totalsRowDxfId="1479"/>
    <tableColumn id="14" xr3:uid="{00000000-0010-0000-0100-00000E000000}" name="Spanish Total" totalsRowFunction="sum" dataDxfId="1478" totalsRowDxfId="1477"/>
    <tableColumn id="15" xr3:uid="{00000000-0010-0000-0100-00000F000000}" name="Tagalog (Filipino) Total" totalsRowFunction="sum" dataDxfId="1476" totalsRowDxfId="1475"/>
    <tableColumn id="26" xr3:uid="{11ABA669-2E24-49AF-9D10-D44A62B16904}" name="Urdu Total" totalsRowFunction="sum" dataDxfId="1474" totalsRowDxfId="1473"/>
    <tableColumn id="16" xr3:uid="{00000000-0010-0000-0100-000010000000}" name="Vietnamese Total" totalsRowFunction="sum" dataDxfId="1472" totalsRowDxfId="1471"/>
    <tableColumn id="17" xr3:uid="{00000000-0010-0000-0100-000011000000}" name="Other Total" totalsRowFunction="sum" dataDxfId="1470" totalsRowDxfId="1469"/>
    <tableColumn id="21" xr3:uid="{E2CFAE4C-C294-4BD4-A235-4C30B9097555}" name="Total Seals per LEA" totalsRowFunction="sum" dataDxfId="1468" totalsRowDxfId="1467">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Alameda county and also includes language totals."/>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20185B6D-B8AE-40F0-BA49-7D728F4B486E}" name="SantaBarbara" displayName="SantaBarbara" ref="A2:AB5" totalsRowCount="1" headerRowDxfId="601" dataDxfId="600">
  <autoFilter ref="A2:AB4" xr:uid="{00000000-0009-0000-0100-00001C000000}"/>
  <tableColumns count="28">
    <tableColumn id="1" xr3:uid="{F4EDC1C7-A411-45CA-8E8B-214C4A8717F3}" name="Participating Districts" totalsRowLabel="Total: 2" dataDxfId="599"/>
    <tableColumn id="2" xr3:uid="{9FB2FC70-8DE1-4CD1-8825-FCB1571ABF9F}" name="Participating Schools" totalsRowLabel="3" dataDxfId="598" totalsRowDxfId="597"/>
    <tableColumn id="29" xr3:uid="{BD83C14E-4955-43B9-8D53-3891FFDC5EEA}" name="Dual Language School(s)" totalsRowLabel="1" dataDxfId="596" totalsRowDxfId="595"/>
    <tableColumn id="28" xr3:uid="{1C8E1A6C-9F3F-4B00-9254-DB8C3E711814}" name="Program Model(s) Offered" dataDxfId="594" totalsRowDxfId="593"/>
    <tableColumn id="27" xr3:uid="{386F31B0-6874-41B4-9868-3CA29A789697}" name="Biliteracy Pathway Recognitions Offered" dataDxfId="592" totalsRowDxfId="591"/>
    <tableColumn id="3" xr3:uid="{AEBF3D7C-2073-4BA6-8BE2-E4148DC914C6}" name="American Sign Language Total" totalsRowFunction="sum" dataDxfId="590" totalsRowDxfId="589"/>
    <tableColumn id="4" xr3:uid="{C1C7984E-46B4-4740-A6C2-8783DB2B8649}" name="Arabic Total" totalsRowFunction="sum" dataDxfId="588" totalsRowDxfId="587"/>
    <tableColumn id="5" xr3:uid="{73753ACA-6B71-44B6-8DC8-905D00C3119B}" name="Armenian Total" totalsRowFunction="sum" dataDxfId="586" totalsRowDxfId="585"/>
    <tableColumn id="22" xr3:uid="{1429D8DA-8C2D-4705-B438-E0ED26C59779}" name="Bengali Total" totalsRowFunction="sum" dataDxfId="584" totalsRowDxfId="583"/>
    <tableColumn id="18" xr3:uid="{AB455F65-D88B-44DA-8450-F2CC04DCAD89}" name="Chinese Total" totalsRowFunction="sum" dataDxfId="582" totalsRowDxfId="581"/>
    <tableColumn id="23" xr3:uid="{ED530617-72CB-4BA8-BBA1-B7F290B66690}" name="Farsi (Persian) Total" totalsRowFunction="sum" dataDxfId="580" totalsRowDxfId="579"/>
    <tableColumn id="6" xr3:uid="{9BC79C88-20C7-40E7-8203-83EB2E97E2C5}" name="French Total" totalsRowFunction="sum" dataDxfId="578" totalsRowDxfId="577"/>
    <tableColumn id="7" xr3:uid="{723F922F-D03A-46FC-89C3-C9D0EF7D9259}" name="German Total" totalsRowFunction="sum" dataDxfId="576" totalsRowDxfId="575"/>
    <tableColumn id="19" xr3:uid="{DFEF1D92-E1D2-4AA9-8CCB-A18D94A8E120}" name="Hebrew Total" totalsRowFunction="sum" dataDxfId="574" totalsRowDxfId="573"/>
    <tableColumn id="24" xr3:uid="{22FE68E5-0EDF-4150-BCC0-2D358782753E}" name="Hindi Total" totalsRowFunction="sum" dataDxfId="572" totalsRowDxfId="571"/>
    <tableColumn id="8" xr3:uid="{177C9C35-2973-4BB3-A836-714C6A7A9349}" name="Hmong Total" totalsRowFunction="sum" dataDxfId="570" totalsRowDxfId="569"/>
    <tableColumn id="9" xr3:uid="{E801AEA5-49C4-46C7-8C99-F70CB51DF456}" name="Italian Total" totalsRowFunction="sum" dataDxfId="568" totalsRowDxfId="567"/>
    <tableColumn id="10" xr3:uid="{0CF9633E-481E-426F-8B24-48DA3F4886EC}" name="Japanese Total" totalsRowFunction="sum" dataDxfId="566" totalsRowDxfId="565"/>
    <tableColumn id="11" xr3:uid="{B1D76FFB-F897-4FB8-97DA-399D58ABCE79}" name="Korean Total" totalsRowFunction="sum" dataDxfId="564" totalsRowDxfId="563"/>
    <tableColumn id="13" xr3:uid="{A2BAA088-BA4E-4B39-A416-11ABA5E46527}" name="Portuguese Total" totalsRowFunction="sum" dataDxfId="562" totalsRowDxfId="561"/>
    <tableColumn id="25" xr3:uid="{E6EBC528-B6EF-4CFA-BEB7-6EAD7D5C9D7F}" name="Punjabi Total" totalsRowFunction="sum" dataDxfId="560" totalsRowDxfId="559"/>
    <tableColumn id="20" xr3:uid="{9E941260-C800-46F5-A112-15F4B0B44A00}" name="Russian Total" totalsRowFunction="sum" dataDxfId="558" totalsRowDxfId="557"/>
    <tableColumn id="14" xr3:uid="{EB1A2C4A-C086-4748-A80A-06CAFCB7AC58}" name="Spanish Total" totalsRowFunction="sum" dataDxfId="556" totalsRowDxfId="555"/>
    <tableColumn id="15" xr3:uid="{4185CC9F-8FE8-44B3-9358-7F131EEEA130}" name="Tagalog (Filipino) Total" totalsRowFunction="sum" dataDxfId="554" totalsRowDxfId="553"/>
    <tableColumn id="26" xr3:uid="{3928D766-F646-4D6A-8B06-3F9E3B8B9CD9}" name="Urdu Total" totalsRowFunction="sum" dataDxfId="552" totalsRowDxfId="551"/>
    <tableColumn id="16" xr3:uid="{2ED48DF0-C77F-4AD0-9DBD-DC134ED483F6}" name="Vietnamese Total" totalsRowFunction="sum" dataDxfId="550" totalsRowDxfId="549"/>
    <tableColumn id="17" xr3:uid="{B5470682-2031-40AD-8C92-270C9A8628B7}" name="Other Total" totalsRowFunction="sum" dataDxfId="548" totalsRowDxfId="547"/>
    <tableColumn id="21" xr3:uid="{6277B815-EFE8-430F-A4AC-EE8C3FF5B8EB}" name="Total Seals per LEA" totalsRowFunction="sum" dataDxfId="546" totalsRowDxfId="545">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ta Barbara county and also includes language totals."/>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5C5477BE-B9B3-4202-A3B4-5FFAD85A8F16}" name="SantaClara" displayName="SantaClara" ref="A2:AB13" totalsRowCount="1" headerRowDxfId="544" dataDxfId="543">
  <autoFilter ref="A2:AB12" xr:uid="{00000000-0009-0000-0100-00001C000000}"/>
  <tableColumns count="28">
    <tableColumn id="1" xr3:uid="{6A35D1B6-113F-4BE4-AB12-613E05F3ED6A}" name="Participating Districts" totalsRowLabel="Total: 10" dataDxfId="542" totalsRowDxfId="541"/>
    <tableColumn id="2" xr3:uid="{32BA76DA-08D0-466D-A15C-C61AE5329859}" name="Participating Schools" totalsRowLabel="21" dataDxfId="540" totalsRowDxfId="539"/>
    <tableColumn id="29" xr3:uid="{42BA9456-0AB2-490A-BF70-7CDE91506BC2}" name="Dual Language School(s)" totalsRowLabel="13" dataDxfId="538" totalsRowDxfId="537"/>
    <tableColumn id="28" xr3:uid="{BBF3ED54-B630-4136-B293-2B5325DAA19D}" name="Program Model(s) Offered" dataDxfId="536" totalsRowDxfId="535"/>
    <tableColumn id="27" xr3:uid="{EE6878AA-190C-4444-B250-B07A34607DA8}" name="Biliteracy Pathway Recognitions Offered" dataDxfId="534" totalsRowDxfId="533"/>
    <tableColumn id="3" xr3:uid="{41640DEB-EEA1-402B-B942-F642585D9C7F}" name="American Sign Language Total" totalsRowFunction="sum" dataDxfId="532" totalsRowDxfId="531"/>
    <tableColumn id="4" xr3:uid="{8B650BD0-9F29-4BF8-922B-F0138D10DA5E}" name="Arabic Total" totalsRowFunction="sum" dataDxfId="530" totalsRowDxfId="529"/>
    <tableColumn id="5" xr3:uid="{7B4E8775-9AE1-4BF0-A583-6682F53B2741}" name="Armenian Total" totalsRowFunction="sum" dataDxfId="528" totalsRowDxfId="527"/>
    <tableColumn id="22" xr3:uid="{25AFC663-C436-4238-95BE-A708FD26184A}" name="Bengali Total" totalsRowFunction="sum" dataDxfId="526" totalsRowDxfId="525"/>
    <tableColumn id="18" xr3:uid="{935C5E24-2190-4EBD-ACC1-B81AA821CC7E}" name="Chinese Total" totalsRowFunction="sum" dataDxfId="524" totalsRowDxfId="523"/>
    <tableColumn id="23" xr3:uid="{E7B9F128-EA0C-4FFF-B670-E8C922ACABCA}" name="Farsi (Persian) Total" totalsRowFunction="sum" dataDxfId="522" totalsRowDxfId="521"/>
    <tableColumn id="6" xr3:uid="{FD204F37-5EA0-4D28-98B5-6B341512EB44}" name="French Total" totalsRowFunction="sum" dataDxfId="520" totalsRowDxfId="519"/>
    <tableColumn id="7" xr3:uid="{6A73990F-F73B-4C3B-93F3-974277895367}" name="German Total" totalsRowFunction="sum" dataDxfId="518" totalsRowDxfId="517"/>
    <tableColumn id="19" xr3:uid="{AC8FFF55-C84A-41C3-BECA-536645B72001}" name="Hebrew Total" totalsRowFunction="sum" dataDxfId="516" totalsRowDxfId="515"/>
    <tableColumn id="24" xr3:uid="{E53C238C-B858-4481-91DA-E5CC404105E3}" name="Hindi Total" totalsRowFunction="sum" dataDxfId="514" totalsRowDxfId="513"/>
    <tableColumn id="8" xr3:uid="{A36AD90D-FD0C-4E7E-A2FB-EED20535B649}" name="Hmong Total" totalsRowFunction="sum" dataDxfId="512" totalsRowDxfId="511"/>
    <tableColumn id="9" xr3:uid="{99883B74-C7D5-4688-AF34-AF14BD0CD5E9}" name="Italian Total" totalsRowFunction="sum" dataDxfId="510" totalsRowDxfId="509"/>
    <tableColumn id="10" xr3:uid="{1D475F42-FF09-4E96-B7D1-266572722EE1}" name="Japanese Total" totalsRowFunction="sum" dataDxfId="508" totalsRowDxfId="507"/>
    <tableColumn id="11" xr3:uid="{90F0B3F0-EE3B-495B-BC0F-D98553B1E01F}" name="Korean Total" totalsRowFunction="sum" dataDxfId="506" totalsRowDxfId="505"/>
    <tableColumn id="13" xr3:uid="{30EA8885-3175-4E67-8B19-2408B6DBCF1C}" name="Portuguese Total" totalsRowFunction="sum" dataDxfId="504" totalsRowDxfId="503"/>
    <tableColumn id="25" xr3:uid="{6CA9F5B0-BE08-44A9-A8C4-C3AD22F0022C}" name="Punjabi Total" totalsRowFunction="sum" dataDxfId="502" totalsRowDxfId="501"/>
    <tableColumn id="20" xr3:uid="{2ABED9AC-4B46-498F-AD2F-DAD00513E487}" name="Russian Total" totalsRowFunction="sum" dataDxfId="500" totalsRowDxfId="499"/>
    <tableColumn id="14" xr3:uid="{92AA0E9E-FAFE-436B-B5B0-D634B0D60B4D}" name="Spanish Total" totalsRowFunction="sum" dataDxfId="498" totalsRowDxfId="497"/>
    <tableColumn id="15" xr3:uid="{9404B2DF-078E-4263-AE79-C493C31F0537}" name="Tagalog (Filipino) Total" totalsRowFunction="sum" dataDxfId="496" totalsRowDxfId="495"/>
    <tableColumn id="26" xr3:uid="{CD705805-3281-4F52-A4DA-AF4521DFFE83}" name="Urdu Total" totalsRowFunction="sum" dataDxfId="494" totalsRowDxfId="493"/>
    <tableColumn id="16" xr3:uid="{AE5DFA2E-72D7-4A41-9E6E-9C6D242B0274}" name="Vietnamese Total" totalsRowFunction="sum" dataDxfId="492" totalsRowDxfId="491"/>
    <tableColumn id="17" xr3:uid="{96B6EDBC-2485-41A9-9614-0C828CC24F29}" name="Other Total" totalsRowFunction="sum" dataDxfId="490" totalsRowDxfId="489"/>
    <tableColumn id="21" xr3:uid="{B36CE047-A1DC-4DBF-AFFB-4D5AF0A159CA}" name="Total Seals per LEA" totalsRowFunction="sum" dataDxfId="488" totalsRowDxfId="487">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anta Clara county and also includes language totals."/>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53A1947-6445-4387-A311-3E196059091D}" name="SanBernardino9101112" displayName="SanBernardino9101112" ref="A2:AB4" totalsRowCount="1" headerRowDxfId="486" dataDxfId="485">
  <autoFilter ref="A2:AB3" xr:uid="{953A1947-6445-4387-A311-3E196059091D}"/>
  <tableColumns count="28">
    <tableColumn id="1" xr3:uid="{CE134430-80B5-4BB5-9E6B-8AD143FFA68E}" name="Participating Districts" totalsRowLabel="Total: 1" dataDxfId="484"/>
    <tableColumn id="2" xr3:uid="{F8773ECF-95B5-4623-808F-3C12D50C705E}" name="Participating Schools" totalsRowLabel="1" dataDxfId="483" totalsRowDxfId="482"/>
    <tableColumn id="29" xr3:uid="{8FC5D56A-D98E-45BE-B93D-1B184D81AD85}" name="Dual Language School(s)" totalsRowLabel="1" dataDxfId="481" totalsRowDxfId="480"/>
    <tableColumn id="28" xr3:uid="{477894DD-54FA-4BBB-B017-A2EAA03FCAB5}" name="Program Model(s) Offered" dataDxfId="479" totalsRowDxfId="478"/>
    <tableColumn id="27" xr3:uid="{0D552BC6-DDD1-47A2-AAF6-706C18F2122A}" name="Biliteracy Pathway Recognitions Offered" dataDxfId="477" totalsRowDxfId="476"/>
    <tableColumn id="3" xr3:uid="{FCA38470-2B25-4D2E-A762-34B01C522E95}" name="American Sign Language Total" totalsRowFunction="sum" dataDxfId="475" totalsRowDxfId="474"/>
    <tableColumn id="4" xr3:uid="{C52F177C-60D4-4211-AF28-A0E0C4E272B6}" name="Arabic Total" totalsRowFunction="sum" dataDxfId="473" totalsRowDxfId="472"/>
    <tableColumn id="5" xr3:uid="{4DD73FCA-D684-4FB5-8BA0-4DA47E41B7A4}" name="Armenian Total" totalsRowFunction="sum" dataDxfId="471" totalsRowDxfId="470"/>
    <tableColumn id="22" xr3:uid="{48869D58-07F0-4B28-8D97-96606309540D}" name="Bengali Total" totalsRowFunction="sum" dataDxfId="469" totalsRowDxfId="468"/>
    <tableColumn id="18" xr3:uid="{64BB09F1-56B8-4A37-81B0-5F25CECB850D}" name="Chinese Total" totalsRowFunction="sum" dataDxfId="467" totalsRowDxfId="466"/>
    <tableColumn id="23" xr3:uid="{A0C96124-D270-4D1D-BD9E-7BDA6FAC475D}" name="Farsi (Persian) Total" totalsRowFunction="sum" dataDxfId="465" totalsRowDxfId="464"/>
    <tableColumn id="6" xr3:uid="{CDBC0822-398D-466B-8AE9-0A91E62F2CC5}" name="French Total" totalsRowFunction="sum" dataDxfId="463" totalsRowDxfId="462"/>
    <tableColumn id="7" xr3:uid="{A1B23FFC-A8EA-4E87-9F3E-7CB631318124}" name="German Total" totalsRowFunction="sum" dataDxfId="461" totalsRowDxfId="460"/>
    <tableColumn id="19" xr3:uid="{0993598E-EC39-4EF2-BF8D-39E235C33F14}" name="Hebrew Total" totalsRowFunction="sum" dataDxfId="459" totalsRowDxfId="458"/>
    <tableColumn id="24" xr3:uid="{468DDE01-2C29-4E0B-8F5F-5E952CF79C9B}" name="Hindi Total" totalsRowFunction="sum" dataDxfId="457" totalsRowDxfId="456"/>
    <tableColumn id="8" xr3:uid="{796827E5-334D-432C-A604-CFF01D9863BD}" name="Hmong Total" totalsRowFunction="sum" dataDxfId="455" totalsRowDxfId="454"/>
    <tableColumn id="9" xr3:uid="{55DF55CB-17CA-41BE-8550-6496CE3949BF}" name="Italian Total" totalsRowFunction="sum" dataDxfId="453" totalsRowDxfId="452"/>
    <tableColumn id="10" xr3:uid="{9F529DEC-B236-4079-A843-C36B1B98A44D}" name="Japanese Total" totalsRowFunction="sum" dataDxfId="451" totalsRowDxfId="450"/>
    <tableColumn id="11" xr3:uid="{934E3E29-46DD-403B-9329-648D941FADAD}" name="Korean Total" totalsRowFunction="sum" dataDxfId="449" totalsRowDxfId="448"/>
    <tableColumn id="13" xr3:uid="{B6B1DB01-9A39-41DC-9BEE-710DC5E80C0B}" name="Portuguese Total" totalsRowFunction="sum" dataDxfId="447" totalsRowDxfId="446"/>
    <tableColumn id="25" xr3:uid="{04131BEC-4FC9-4AB1-9B62-7BC39FE36ABA}" name="Punjabi Total" totalsRowFunction="sum" dataDxfId="445" totalsRowDxfId="444"/>
    <tableColumn id="20" xr3:uid="{D5CFA0A2-BDE2-472B-BC0E-0624A1CB00EC}" name="Russian Total" totalsRowFunction="sum" dataDxfId="443" totalsRowDxfId="442"/>
    <tableColumn id="14" xr3:uid="{5972FF08-4A93-4A3E-9255-D597467C077F}" name="Spanish Total" totalsRowFunction="sum" dataDxfId="441" totalsRowDxfId="440"/>
    <tableColumn id="15" xr3:uid="{E0F5AE3A-E140-4B9B-A1A0-957EEB0125C9}" name="Tagalog (Filipino) Total" totalsRowFunction="sum" dataDxfId="439" totalsRowDxfId="438"/>
    <tableColumn id="26" xr3:uid="{1D53C499-DD29-4A6A-92F1-1FCB6EEE1F8D}" name="Urdu Total" totalsRowFunction="sum" dataDxfId="437" totalsRowDxfId="436"/>
    <tableColumn id="16" xr3:uid="{AB623329-C236-4AC2-A7DF-D45FE6DBF013}" name="Vietnamese Total" totalsRowFunction="sum" dataDxfId="435" totalsRowDxfId="434"/>
    <tableColumn id="17" xr3:uid="{8F278610-AFD0-4781-9A6D-AEAECB947C0D}" name="Other Total" totalsRowFunction="sum" dataDxfId="433" totalsRowDxfId="432"/>
    <tableColumn id="21" xr3:uid="{A38F7792-6C39-4CB6-B740-85F3FE6079EB}" name="Total Seals per LEA" totalsRowFunction="sum" dataDxfId="431" totalsRowDxfId="430">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hasta county and also includes language totals."/>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A2DD54A-87B1-48DF-9E06-70FAA08F84C4}" name="SanBernardino910111219" displayName="SanBernardino910111219" ref="A2:AB4" totalsRowCount="1" headerRowDxfId="429" dataDxfId="428">
  <autoFilter ref="A2:AB3" xr:uid="{EA2DD54A-87B1-48DF-9E06-70FAA08F84C4}"/>
  <tableColumns count="28">
    <tableColumn id="1" xr3:uid="{E837E399-A301-460F-A0B2-90743D18B8F8}" name="Participating Districts" totalsRowLabel="Total: 1" dataDxfId="427"/>
    <tableColumn id="2" xr3:uid="{A6D8C03A-E203-49A3-B75C-D4686DBDC2C5}" name="Participating Schools" totalsRowLabel="1" dataDxfId="426" totalsRowDxfId="425"/>
    <tableColumn id="29" xr3:uid="{CFA99A09-D223-4FFD-BC50-D52AEDB833A4}" name="Dual Language School(s)" totalsRowLabel="0" dataDxfId="424" totalsRowDxfId="423"/>
    <tableColumn id="28" xr3:uid="{E79D03B3-E965-4BAD-AFBC-ACDEF6EDA7A6}" name="Program Model(s) Offered" dataDxfId="422" totalsRowDxfId="421"/>
    <tableColumn id="27" xr3:uid="{1F27F8E9-2721-4423-A1B8-AA3B94C8A3EA}" name="Biliteracy Pathway Recognitions Offered" dataDxfId="420" totalsRowDxfId="419"/>
    <tableColumn id="3" xr3:uid="{9454311F-3042-4875-82D0-D01965B5D671}" name="American Sign Language Total" totalsRowFunction="sum" dataDxfId="418" totalsRowDxfId="417"/>
    <tableColumn id="4" xr3:uid="{E77010A7-115F-49CA-B254-20FF67D2447D}" name="Arabic Total" totalsRowFunction="sum" dataDxfId="416" totalsRowDxfId="415"/>
    <tableColumn id="5" xr3:uid="{C3EA78AC-B949-4469-B946-FE9DB3708743}" name="Armenian Total" totalsRowFunction="sum" dataDxfId="414" totalsRowDxfId="413"/>
    <tableColumn id="22" xr3:uid="{4520BD20-C7B0-4319-AFB8-537766DAF16F}" name="Bengali Total" totalsRowFunction="sum" dataDxfId="412" totalsRowDxfId="411"/>
    <tableColumn id="18" xr3:uid="{C491134F-C0CB-443F-A68D-A6E52E7A7AA3}" name="Chinese Total" totalsRowFunction="sum" dataDxfId="410" totalsRowDxfId="409"/>
    <tableColumn id="23" xr3:uid="{E41AB9DB-97E9-4385-8BC1-819C0B30534E}" name="Farsi (Persian) Total" totalsRowFunction="sum" dataDxfId="408" totalsRowDxfId="407"/>
    <tableColumn id="6" xr3:uid="{73138CD5-9AD7-4490-B92E-FC252F3AC6AD}" name="French Total" totalsRowFunction="sum" dataDxfId="406" totalsRowDxfId="405"/>
    <tableColumn id="7" xr3:uid="{3EBAA49B-1770-4044-9705-A676F5FF0431}" name="German Total" totalsRowFunction="sum" dataDxfId="404" totalsRowDxfId="403"/>
    <tableColumn id="19" xr3:uid="{3576A2BC-303D-422B-8288-3924AE3F1E2B}" name="Hebrew Total" totalsRowFunction="sum" dataDxfId="402" totalsRowDxfId="401"/>
    <tableColumn id="24" xr3:uid="{7C69F5EA-CAD7-48D1-AAE3-026BBB258131}" name="Hindi Total" totalsRowFunction="sum" dataDxfId="400" totalsRowDxfId="399"/>
    <tableColumn id="8" xr3:uid="{EA6A4C44-FDD8-44E7-973E-BE154747B0AD}" name="Hmong Total" totalsRowFunction="sum" dataDxfId="398" totalsRowDxfId="397"/>
    <tableColumn id="9" xr3:uid="{9A2CE092-71CC-4361-80EF-2D252624F2BD}" name="Italian Total" totalsRowFunction="sum" dataDxfId="396" totalsRowDxfId="395"/>
    <tableColumn id="10" xr3:uid="{20103D73-FD21-410B-8634-CDFF88A4C3DE}" name="Japanese Total" totalsRowFunction="sum" dataDxfId="394" totalsRowDxfId="393"/>
    <tableColumn id="11" xr3:uid="{8EB4A3F3-C55F-4552-93E0-26609ED0029A}" name="Korean Total" totalsRowFunction="sum" dataDxfId="392" totalsRowDxfId="391"/>
    <tableColumn id="13" xr3:uid="{D1A00B14-C491-4AC3-8EA0-E44A3AECF44F}" name="Portuguese Total" totalsRowFunction="sum" dataDxfId="390" totalsRowDxfId="389"/>
    <tableColumn id="25" xr3:uid="{FA8A68C4-5348-4E37-ABB0-5100F3CBD84A}" name="Punjabi Total" totalsRowFunction="sum" dataDxfId="388" totalsRowDxfId="387"/>
    <tableColumn id="20" xr3:uid="{795BE1D9-9434-4C4D-B38E-912706BCD8A5}" name="Russian Total" totalsRowFunction="sum" dataDxfId="386" totalsRowDxfId="385"/>
    <tableColumn id="14" xr3:uid="{D9703421-1F51-461A-9C12-2122729C3E22}" name="Spanish Total" totalsRowFunction="sum" dataDxfId="384" totalsRowDxfId="383"/>
    <tableColumn id="15" xr3:uid="{F883D9C0-5E98-47E6-8B4D-A1BE805F4B36}" name="Tagalog (Filipino) Total" totalsRowFunction="sum" dataDxfId="382" totalsRowDxfId="381"/>
    <tableColumn id="26" xr3:uid="{F4BC930C-5B59-430F-BA5A-5CAE203CCD95}" name="Urdu Total" totalsRowFunction="sum" dataDxfId="380" totalsRowDxfId="379"/>
    <tableColumn id="16" xr3:uid="{745BD9FC-22D7-4600-BA15-97337B6DDD7C}" name="Vietnamese Total" totalsRowFunction="sum" dataDxfId="378" totalsRowDxfId="377"/>
    <tableColumn id="17" xr3:uid="{2DABD5C0-B6DC-4AD3-8E5E-8D3ACB992B92}" name="Other Total" totalsRowFunction="sum" dataDxfId="376" totalsRowDxfId="375"/>
    <tableColumn id="21" xr3:uid="{44E0FBF2-BC7B-4838-9A50-924FC69CFA2B}" name="Total Seals per LEA" totalsRowFunction="sum" dataDxfId="374" totalsRowDxfId="373">
      <calculatedColumnFormula>SUM(SanBernardino910111219[[#This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hasta county and also includes language totals."/>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B98DAB4-23B0-465C-8BF4-F2B468BAB2D4}" name="SanBernardino91011121921" displayName="SanBernardino91011121921" ref="A2:AB4" totalsRowCount="1" headerRowDxfId="372" dataDxfId="371">
  <autoFilter ref="A2:AB3" xr:uid="{0B98DAB4-23B0-465C-8BF4-F2B468BAB2D4}"/>
  <tableColumns count="28">
    <tableColumn id="1" xr3:uid="{DB6B9125-7FED-4F8E-AFCF-93F8D039E967}" name="Participating Districts" totalsRowLabel="Total: 1" dataDxfId="370"/>
    <tableColumn id="2" xr3:uid="{9C939BA5-8402-49DA-8689-386C1BC89FDF}" name="Participating Schools" totalsRowLabel="1" dataDxfId="369" totalsRowDxfId="368"/>
    <tableColumn id="29" xr3:uid="{4201AAFC-8BD0-414B-920B-5866A1641A87}" name="Dual Language School(s)" totalsRowLabel="1" dataDxfId="367" totalsRowDxfId="366"/>
    <tableColumn id="28" xr3:uid="{D3D5F8B7-D57D-44CD-8620-AFE65D4FA988}" name="Program Model(s) Offered" dataDxfId="365" totalsRowDxfId="364"/>
    <tableColumn id="27" xr3:uid="{29F309E4-67CA-491D-83EC-DBAF52DFA876}" name="Biliteracy Pathway Recognitions Offered" dataDxfId="363" totalsRowDxfId="362"/>
    <tableColumn id="3" xr3:uid="{31825F30-0CF3-4C7E-886A-0CE729E123FE}" name="American Sign Language Total" totalsRowFunction="sum" dataDxfId="361" totalsRowDxfId="360"/>
    <tableColumn id="4" xr3:uid="{879BD2FA-E244-4EE5-9C93-08FBCDCB7706}" name="Arabic Total" totalsRowFunction="sum" dataDxfId="359" totalsRowDxfId="358"/>
    <tableColumn id="5" xr3:uid="{7F3FEDD5-7419-4D6A-8EC1-32EF81AEDBEF}" name="Armenian Total" totalsRowFunction="sum" dataDxfId="357" totalsRowDxfId="356"/>
    <tableColumn id="22" xr3:uid="{87D64737-70DC-4CCE-8F48-BF10824EE2E4}" name="Bengali Total" totalsRowFunction="sum" dataDxfId="355" totalsRowDxfId="354"/>
    <tableColumn id="18" xr3:uid="{8E6AE04D-4641-481B-93B7-5C5CF327EF6D}" name="Chinese Total" totalsRowFunction="sum" dataDxfId="353" totalsRowDxfId="352"/>
    <tableColumn id="23" xr3:uid="{1381E229-57AB-419E-B6F3-064692787B7C}" name="Farsi (Persian) Total" totalsRowFunction="sum" dataDxfId="351" totalsRowDxfId="350"/>
    <tableColumn id="6" xr3:uid="{8E62DFAB-C839-4829-916A-C35DB94512FE}" name="French Total" totalsRowFunction="sum" dataDxfId="349" totalsRowDxfId="348"/>
    <tableColumn id="7" xr3:uid="{D711000E-01E5-47D1-95A9-0469B9521863}" name="German Total" totalsRowFunction="sum" dataDxfId="347" totalsRowDxfId="346"/>
    <tableColumn id="19" xr3:uid="{6E002AF7-2DE6-47C9-9570-B7AB91047CBF}" name="Hebrew Total" totalsRowFunction="sum" dataDxfId="345" totalsRowDxfId="344"/>
    <tableColumn id="24" xr3:uid="{BA7C2FE9-E5EC-4670-9C3E-85901E9B7E48}" name="Hindi Total" totalsRowFunction="sum" dataDxfId="343" totalsRowDxfId="342"/>
    <tableColumn id="8" xr3:uid="{5EF942C7-0F77-40D8-9158-5E075FC20834}" name="Hmong Total" totalsRowFunction="sum" dataDxfId="341" totalsRowDxfId="340"/>
    <tableColumn id="9" xr3:uid="{44EB8CB4-E869-43EA-8921-CF7ED7AD9376}" name="Italian Total" totalsRowFunction="sum" dataDxfId="339" totalsRowDxfId="338"/>
    <tableColumn id="10" xr3:uid="{435D1BDD-80CA-49D2-9551-A6744109E899}" name="Japanese Total" totalsRowFunction="sum" dataDxfId="337" totalsRowDxfId="336"/>
    <tableColumn id="11" xr3:uid="{3BB6F074-E930-4EFB-9089-6ED5551B3ADD}" name="Korean Total" totalsRowFunction="sum" dataDxfId="335" totalsRowDxfId="334"/>
    <tableColumn id="13" xr3:uid="{D9A439C4-53A0-46A3-AA41-E94802943D97}" name="Portuguese Total" totalsRowFunction="sum" dataDxfId="333" totalsRowDxfId="332"/>
    <tableColumn id="25" xr3:uid="{C44AB734-83A7-4F06-8117-26435F19B168}" name="Punjabi Total" totalsRowFunction="sum" dataDxfId="331" totalsRowDxfId="330"/>
    <tableColumn id="20" xr3:uid="{7592F2C0-C5A2-4CDD-9192-66DEEB761F8D}" name="Russian Total" totalsRowFunction="sum" dataDxfId="329" totalsRowDxfId="328"/>
    <tableColumn id="14" xr3:uid="{0E90113E-0ED2-4AD7-9BD5-01C77CDC103F}" name="Spanish Total" totalsRowFunction="sum" dataDxfId="327" totalsRowDxfId="326"/>
    <tableColumn id="15" xr3:uid="{7C4C3A67-9CA5-4F31-80B6-C4346133C89F}" name="Tagalog (Filipino) Total" totalsRowFunction="sum" dataDxfId="325" totalsRowDxfId="324"/>
    <tableColumn id="26" xr3:uid="{3219F9F3-C06F-43CC-8B03-CC5C55790BAB}" name="Urdu Total" totalsRowFunction="sum" dataDxfId="323" totalsRowDxfId="322"/>
    <tableColumn id="16" xr3:uid="{82E95BAB-038F-4EFE-AB42-D7E28B96C50D}" name="Vietnamese Total" totalsRowFunction="sum" dataDxfId="321" totalsRowDxfId="320"/>
    <tableColumn id="17" xr3:uid="{BCE74518-5B3C-4E23-85CD-FAB8E9203400}" name="Other Total" totalsRowFunction="sum" dataDxfId="319" totalsRowDxfId="318"/>
    <tableColumn id="21" xr3:uid="{6A4D9670-1957-4F95-A08A-F4CC0C7EEAB4}" name="Total Seals per LEA" totalsRowFunction="sum" dataDxfId="317" totalsRowDxfId="316">
      <calculatedColumnFormula>SUM(SanBernardino91011121921[[#This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hasta county and also includes language totals."/>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28A7A33-0CC0-4123-AF3D-0461F17C6993}" name="SanBernardino9101112192122" displayName="SanBernardino9101112192122" ref="A2:AB4" totalsRowCount="1" headerRowDxfId="315" dataDxfId="314">
  <autoFilter ref="A2:AB3" xr:uid="{228A7A33-0CC0-4123-AF3D-0461F17C6993}"/>
  <tableColumns count="28">
    <tableColumn id="1" xr3:uid="{ED78C9E0-9DC4-4413-813E-C5F657D88533}" name="Participating Districts" totalsRowLabel="Total: 2" dataDxfId="313"/>
    <tableColumn id="2" xr3:uid="{E77F3D65-C9C5-46A7-87C2-F8B551A9DD3F}" name="Participating Schools" totalsRowLabel="2" dataDxfId="312" totalsRowDxfId="311"/>
    <tableColumn id="29" xr3:uid="{41AD19F5-13F9-4789-AEAE-067AFD1A19DA}" name="Dual Language School(s)" totalsRowLabel="0" dataDxfId="310" totalsRowDxfId="309"/>
    <tableColumn id="28" xr3:uid="{F0A28702-6DEC-429F-9216-6E3B3AEAD821}" name="Program Model(s) Offered" dataDxfId="308" totalsRowDxfId="307"/>
    <tableColumn id="27" xr3:uid="{EA5F7877-F8E5-4E4D-8AF7-ADBD1BB8FD5F}" name="Biliteracy Pathway Recognitions Offered" dataDxfId="306" totalsRowDxfId="305"/>
    <tableColumn id="3" xr3:uid="{192C9F1F-BAA9-4A4A-9689-B156D4AC94FB}" name="American Sign Language Total" totalsRowFunction="sum" dataDxfId="304" totalsRowDxfId="303"/>
    <tableColumn id="4" xr3:uid="{C60AB3CE-3FD3-4BBD-A806-EA32CCEEAAB5}" name="Arabic Total" totalsRowFunction="sum" dataDxfId="302" totalsRowDxfId="301"/>
    <tableColumn id="5" xr3:uid="{E534EF1B-C23D-4CF7-B2F1-8DAFCA46A331}" name="Armenian Total" totalsRowFunction="sum" dataDxfId="300" totalsRowDxfId="299"/>
    <tableColumn id="22" xr3:uid="{69A76E48-E8EB-4929-8B77-28EA3DE6C991}" name="Bengali Total" totalsRowFunction="sum" dataDxfId="298" totalsRowDxfId="297"/>
    <tableColumn id="18" xr3:uid="{5424B5A2-D7DF-4B43-98D3-739FCE4E6837}" name="Chinese Total" totalsRowFunction="sum" dataDxfId="296" totalsRowDxfId="295"/>
    <tableColumn id="23" xr3:uid="{F238878F-DDE7-420B-9C7A-BE441C0CAAC3}" name="Farsi (Persian) Total" totalsRowFunction="sum" dataDxfId="294" totalsRowDxfId="293"/>
    <tableColumn id="6" xr3:uid="{88E72E12-DCF8-42CB-8B80-AF13BC8F5843}" name="French Total" totalsRowFunction="sum" dataDxfId="292" totalsRowDxfId="291"/>
    <tableColumn id="7" xr3:uid="{9E7B7AA1-0C7A-45FE-9469-CA053C76B4A9}" name="German Total" totalsRowFunction="sum" dataDxfId="290" totalsRowDxfId="289"/>
    <tableColumn id="19" xr3:uid="{C2A8C8E6-D337-4259-B25D-ADEE7B52B125}" name="Hebrew Total" totalsRowFunction="sum" dataDxfId="288" totalsRowDxfId="287"/>
    <tableColumn id="24" xr3:uid="{664C387F-A885-43C9-A786-1F5D91F79926}" name="Hindi Total" totalsRowFunction="sum" dataDxfId="286" totalsRowDxfId="285"/>
    <tableColumn id="8" xr3:uid="{54AB1667-C019-4F38-81C5-F2BF2DCA2A10}" name="Hmong Total" totalsRowFunction="sum" dataDxfId="284" totalsRowDxfId="283"/>
    <tableColumn id="9" xr3:uid="{A25C4C02-2ACB-4A89-82D4-3CE5E42893E7}" name="Italian Total" totalsRowFunction="sum" dataDxfId="282" totalsRowDxfId="281"/>
    <tableColumn id="10" xr3:uid="{98C92CB8-B356-448C-9608-4F9117D71EB2}" name="Japanese Total" totalsRowFunction="sum" dataDxfId="280" totalsRowDxfId="279"/>
    <tableColumn id="11" xr3:uid="{E971B005-6936-4BE6-8F0E-DCB1AF5F796D}" name="Korean Total" totalsRowFunction="sum" dataDxfId="278" totalsRowDxfId="277"/>
    <tableColumn id="13" xr3:uid="{3102065A-7DE6-4992-A417-1FAF53117FE2}" name="Portuguese Total" totalsRowFunction="sum" dataDxfId="276" totalsRowDxfId="275"/>
    <tableColumn id="25" xr3:uid="{F8B66974-9B92-4D7F-B178-F5E8ADAA449A}" name="Punjabi Total" totalsRowFunction="sum" dataDxfId="274" totalsRowDxfId="273"/>
    <tableColumn id="20" xr3:uid="{90D05E6F-39EA-4BF3-AF46-859A59A8B078}" name="Russian Total" totalsRowFunction="sum" dataDxfId="272" totalsRowDxfId="271"/>
    <tableColumn id="14" xr3:uid="{72C1D5CE-6C45-423D-A0ED-6A3C12608524}" name="Spanish Total" totalsRowFunction="sum" dataDxfId="270" totalsRowDxfId="269"/>
    <tableColumn id="15" xr3:uid="{56348C69-D551-4045-AD01-63BAA46DDEE6}" name="Tagalog (Filipino) Total" totalsRowFunction="sum" dataDxfId="268" totalsRowDxfId="267"/>
    <tableColumn id="26" xr3:uid="{64F2AE98-5C16-43D7-8A34-0299C1597733}" name="Urdu Total" totalsRowFunction="sum" dataDxfId="266" totalsRowDxfId="265"/>
    <tableColumn id="16" xr3:uid="{E9DA6AE2-E849-4D21-94F9-F1DA2A8F6654}" name="Vietnamese Total" totalsRowFunction="sum" dataDxfId="264" totalsRowDxfId="263"/>
    <tableColumn id="17" xr3:uid="{6332BD69-A2AB-44F9-9F26-20992718ED45}" name="Other Total" totalsRowFunction="sum" dataDxfId="262" totalsRowDxfId="261"/>
    <tableColumn id="21" xr3:uid="{6D37AB9E-292C-4172-9A42-0176DBABEA9F}" name="Total Seals per LEA" totalsRowFunction="sum" dataDxfId="260" totalsRowDxfId="259">
      <calculatedColumnFormula>SUM(SanBernardino9101112192122[[#This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hasta county and also includes language totals."/>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14E9138-4A8A-445C-8D9C-790CA4C00633}" name="SanBernardino910111219212223" displayName="SanBernardino910111219212223" ref="A2:AB4" totalsRowCount="1" headerRowDxfId="258" dataDxfId="257">
  <autoFilter ref="A2:AB3" xr:uid="{E14E9138-4A8A-445C-8D9C-790CA4C00633}"/>
  <tableColumns count="28">
    <tableColumn id="1" xr3:uid="{22433955-FF6D-4474-9800-E5E1BD6A40A6}" name="Participating Districts" totalsRowLabel="Total: 1" dataDxfId="256"/>
    <tableColumn id="2" xr3:uid="{FFC3E4FC-ED26-4817-B65E-DC998BB25362}" name="Participating Schools" totalsRowLabel="2" dataDxfId="255" totalsRowDxfId="254"/>
    <tableColumn id="29" xr3:uid="{FA43A4E4-4464-4F14-9D4A-37C95324FB7E}" name="Dual Language School(s)" totalsRowLabel="2" dataDxfId="253" totalsRowDxfId="252"/>
    <tableColumn id="28" xr3:uid="{BC7377CA-3897-4247-9D8E-D50949B8B811}" name="Program Model(s) Offered" dataDxfId="251" totalsRowDxfId="250"/>
    <tableColumn id="27" xr3:uid="{B7A0FB02-825F-4979-92C1-BD8092A30914}" name="Biliteracy Pathway Recognitions Offered" dataDxfId="249" totalsRowDxfId="248"/>
    <tableColumn id="3" xr3:uid="{EFADA677-17AD-41B3-AB29-FE27C254FE11}" name="American Sign Language Total" totalsRowFunction="sum" dataDxfId="247" totalsRowDxfId="246"/>
    <tableColumn id="4" xr3:uid="{AD89D542-B1F9-46D3-BDB7-9CA48A982BEB}" name="Arabic Total" totalsRowFunction="sum" dataDxfId="245" totalsRowDxfId="244"/>
    <tableColumn id="5" xr3:uid="{890E0434-30E5-48BC-A35E-65023A4AB228}" name="Armenian Total" totalsRowFunction="sum" dataDxfId="243" totalsRowDxfId="242"/>
    <tableColumn id="22" xr3:uid="{058EC31C-C16E-4060-BB82-3F55972239C8}" name="Bengali Total" totalsRowFunction="sum" dataDxfId="241" totalsRowDxfId="240"/>
    <tableColumn id="18" xr3:uid="{D5A79B88-AFA1-4458-8FC3-9408465DF2D3}" name="Chinese Total" totalsRowFunction="sum" dataDxfId="239" totalsRowDxfId="238"/>
    <tableColumn id="23" xr3:uid="{027B89E2-82AF-4E82-A12A-3EF133A6B2BA}" name="Farsi (Persian) Total" totalsRowFunction="sum" dataDxfId="237" totalsRowDxfId="236"/>
    <tableColumn id="6" xr3:uid="{770B31DE-46E3-4BB4-B449-5CB7F12A013A}" name="French Total" totalsRowFunction="sum" dataDxfId="235" totalsRowDxfId="234"/>
    <tableColumn id="7" xr3:uid="{93473BD7-6D41-41F0-B714-A43B7D92E090}" name="German Total" totalsRowFunction="sum" dataDxfId="233" totalsRowDxfId="232"/>
    <tableColumn id="19" xr3:uid="{9C90CAB9-B4E7-4048-B1B2-7309E6544CD5}" name="Hebrew Total" totalsRowFunction="sum" dataDxfId="231" totalsRowDxfId="230"/>
    <tableColumn id="24" xr3:uid="{7D686D5A-763D-4AFA-B5AA-478601F67BD2}" name="Hindi Total" totalsRowFunction="sum" dataDxfId="229" totalsRowDxfId="228"/>
    <tableColumn id="8" xr3:uid="{766A0FE5-2B17-4F6D-84EC-B18614255B0B}" name="Hmong Total" totalsRowFunction="sum" dataDxfId="227" totalsRowDxfId="226"/>
    <tableColumn id="9" xr3:uid="{C5E82A9B-5CF1-425B-BE7F-852AF608009D}" name="Italian Total" totalsRowFunction="sum" dataDxfId="225" totalsRowDxfId="224"/>
    <tableColumn id="10" xr3:uid="{95E8B1C5-8E00-4BB2-84EC-EC23C70B1526}" name="Japanese Total" totalsRowFunction="sum" dataDxfId="223" totalsRowDxfId="222"/>
    <tableColumn id="11" xr3:uid="{F25EDF01-B161-4FD5-BCDB-709AFBC33358}" name="Korean Total" totalsRowFunction="sum" dataDxfId="221" totalsRowDxfId="220"/>
    <tableColumn id="13" xr3:uid="{FA45FDB2-2AD0-41F8-88A0-669B850F4824}" name="Portuguese Total" totalsRowFunction="sum" dataDxfId="219" totalsRowDxfId="218"/>
    <tableColumn id="25" xr3:uid="{1DFF1C87-4482-40F2-93B3-982350B5F467}" name="Punjabi Total" totalsRowFunction="sum" dataDxfId="217" totalsRowDxfId="216"/>
    <tableColumn id="20" xr3:uid="{16C4107E-B585-44A4-A104-2246EF55177D}" name="Russian Total" totalsRowFunction="sum" dataDxfId="215" totalsRowDxfId="214"/>
    <tableColumn id="14" xr3:uid="{44FB429E-393E-4145-99F5-AFA4527836B5}" name="Spanish Total" totalsRowFunction="sum" dataDxfId="213" totalsRowDxfId="212"/>
    <tableColumn id="15" xr3:uid="{84588FEA-0638-4ACD-AF01-CD0CF2B50685}" name="Tagalog (Filipino) Total" totalsRowFunction="sum" dataDxfId="211" totalsRowDxfId="210"/>
    <tableColumn id="26" xr3:uid="{BF7903DA-A2E4-48BD-A36F-A7137623597E}" name="Urdu Total" totalsRowFunction="sum" dataDxfId="209" totalsRowDxfId="208"/>
    <tableColumn id="16" xr3:uid="{916ADA2E-C07E-4380-BE53-5ACD29BA26BD}" name="Vietnamese Total" totalsRowFunction="sum" dataDxfId="207" totalsRowDxfId="206"/>
    <tableColumn id="17" xr3:uid="{B2EC48C6-A52F-4B75-B3F4-A14B2F50E6BC}" name="Other Total" totalsRowFunction="sum" dataDxfId="205" totalsRowDxfId="204"/>
    <tableColumn id="21" xr3:uid="{FC90A4E0-75A8-48AF-A341-CBE957F20DFE}" name="Total Seals per LEA" totalsRowFunction="sum" dataDxfId="203" totalsRowDxfId="202">
      <calculatedColumnFormula>SUM(SanBernardino910111219212223[[#This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Shasta county and also includes language totals."/>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CB60F16-39B5-4F00-801A-87AB78A2541B}" name="Yolo" displayName="Yolo" ref="A2:AB4" totalsRowCount="1" headerRowDxfId="201" dataDxfId="200">
  <autoFilter ref="A2:AB3" xr:uid="{00000000-0009-0000-0100-00001C000000}"/>
  <tableColumns count="28">
    <tableColumn id="1" xr3:uid="{52EA91B0-FB81-49ED-AE35-696D4346FFBD}" name="Participating Districts" totalsRowLabel="Total: 1" dataDxfId="199" totalsRowDxfId="198"/>
    <tableColumn id="2" xr3:uid="{63E42A5D-19B7-45AB-801B-E44C53E58FA4}" name="Participating Schools" totalsRowLabel="13" dataDxfId="197" totalsRowDxfId="196"/>
    <tableColumn id="29" xr3:uid="{355C6800-A035-4BAE-85E2-C77DAA540158}" name="Dual Language School(s)" totalsRowLabel="5" dataDxfId="195" totalsRowDxfId="194"/>
    <tableColumn id="28" xr3:uid="{E2DEDFFB-391A-4F4B-9DC7-B2C1528C9284}" name="Program Model(s) Offered" dataDxfId="193" totalsRowDxfId="192"/>
    <tableColumn id="27" xr3:uid="{3C1AD896-C743-47CB-8707-D30C72B3045F}" name="Biliteracy Pathway Recognitions Offered" dataDxfId="191" totalsRowDxfId="190"/>
    <tableColumn id="3" xr3:uid="{E4EED2DF-3306-42F1-8DD5-DD688FAA0CEA}" name="American Sign Language Total" totalsRowFunction="sum" dataDxfId="189" totalsRowDxfId="188"/>
    <tableColumn id="4" xr3:uid="{E7267657-0D30-4A8F-8112-E49701F9C386}" name="Arabic Total" totalsRowFunction="sum" dataDxfId="187" totalsRowDxfId="186"/>
    <tableColumn id="5" xr3:uid="{752ECC47-3EFF-41DC-AC81-FF77BDDE278F}" name="Armenian Total" totalsRowFunction="sum" dataDxfId="185" totalsRowDxfId="184"/>
    <tableColumn id="22" xr3:uid="{EB5E603E-2D05-4B6F-A168-EFE4ABC63639}" name="Bengali Total" totalsRowFunction="sum" dataDxfId="183" totalsRowDxfId="182"/>
    <tableColumn id="18" xr3:uid="{4989D4F3-2685-4D91-99CE-0DEFB24EC736}" name="Chinese Total" totalsRowFunction="sum" dataDxfId="181" totalsRowDxfId="180"/>
    <tableColumn id="23" xr3:uid="{10EE861F-8327-416C-87FE-37226363160E}" name="Farsi (Persian) Total" totalsRowFunction="sum" dataDxfId="179" totalsRowDxfId="178"/>
    <tableColumn id="6" xr3:uid="{A6733111-57B4-4283-8A2F-5ED20F6F636F}" name="French Total" totalsRowFunction="sum" dataDxfId="177" totalsRowDxfId="176"/>
    <tableColumn id="7" xr3:uid="{DCEB8AEF-9FBD-4169-87C1-47A2F1A67DCD}" name="German Total" totalsRowFunction="sum" dataDxfId="175" totalsRowDxfId="174"/>
    <tableColumn id="19" xr3:uid="{9CA3F46C-5FDD-4EA8-8DEB-C4852AEF03D5}" name="Hebrew Total" totalsRowFunction="sum" dataDxfId="173" totalsRowDxfId="172"/>
    <tableColumn id="24" xr3:uid="{70B619CF-3E01-421E-A799-3C765E64309D}" name="Hindi Total" totalsRowFunction="sum" dataDxfId="171" totalsRowDxfId="170"/>
    <tableColumn id="8" xr3:uid="{9878D90A-7794-458D-9DA4-BCA040C4293D}" name="Hmong Total" totalsRowFunction="sum" dataDxfId="169" totalsRowDxfId="168"/>
    <tableColumn id="9" xr3:uid="{66A763D4-6B65-4B27-A89C-26D18199FD4D}" name="Italian Total" totalsRowFunction="sum" dataDxfId="167" totalsRowDxfId="166"/>
    <tableColumn id="10" xr3:uid="{55929FC5-BF90-4478-91B7-C5882781AE5C}" name="Japanese Total" totalsRowFunction="sum" dataDxfId="165" totalsRowDxfId="164"/>
    <tableColumn id="11" xr3:uid="{5504786E-A63B-4C22-B150-7E248FA045CF}" name="Korean Total" totalsRowFunction="sum" dataDxfId="163" totalsRowDxfId="162"/>
    <tableColumn id="13" xr3:uid="{4F1ADDA1-C72A-4321-A32E-83AE671C2170}" name="Portuguese Total" totalsRowFunction="sum" dataDxfId="161" totalsRowDxfId="160"/>
    <tableColumn id="25" xr3:uid="{46B13BFE-031E-457C-B32F-5B08C63AB1F2}" name="Punjabi Total" totalsRowFunction="sum" dataDxfId="159" totalsRowDxfId="158"/>
    <tableColumn id="20" xr3:uid="{8BCBC6B9-2F04-46A5-81C8-F590F894D362}" name="Russian Total" totalsRowFunction="sum" dataDxfId="157" totalsRowDxfId="156"/>
    <tableColumn id="14" xr3:uid="{BCCD15F7-5965-4BF9-B32A-CC7EFEC2C472}" name="Spanish Total" totalsRowFunction="sum" dataDxfId="155" totalsRowDxfId="154"/>
    <tableColumn id="15" xr3:uid="{FDA18131-CCB8-4DBE-928A-049EA4B9BED8}" name="Tagalog (Filipino) Total" totalsRowFunction="sum" dataDxfId="153" totalsRowDxfId="152"/>
    <tableColumn id="26" xr3:uid="{D56F970F-3D6C-4D04-A97A-85488FDB6C84}" name="Urdu Total" totalsRowFunction="sum" dataDxfId="151" totalsRowDxfId="150"/>
    <tableColumn id="16" xr3:uid="{C1352CF3-9CE5-40A7-8C1B-AFFE55FC431E}" name="Vietnamese Total" totalsRowFunction="sum" dataDxfId="149" totalsRowDxfId="148"/>
    <tableColumn id="17" xr3:uid="{F45EC713-7F58-43D2-9518-624A73D73B54}" name="Other Total" totalsRowFunction="sum" dataDxfId="147" totalsRowDxfId="146"/>
    <tableColumn id="21" xr3:uid="{3FBFDC2C-663C-4EA4-B81B-2C5FD695B5B5}" name="Total Seals per LEA" totalsRowFunction="sum" dataDxfId="145" totalsRowDxfId="144">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Yolo county and also includes language total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8496336-8320-414A-8754-1BEC2A4146B1}" name="Table26" displayName="Table26" ref="A2:AB6" totalsRowCount="1" headerRowDxfId="1466" dataDxfId="1465">
  <autoFilter ref="A2:AB5" xr:uid="{00000000-0009-0000-0100-000002000000}"/>
  <tableColumns count="28">
    <tableColumn id="1" xr3:uid="{9C417C16-A0EC-40AA-9B16-15A975D690EB}" name="Participating Districts" totalsRowLabel="Total: 3" dataDxfId="1464" totalsRowDxfId="1463"/>
    <tableColumn id="2" xr3:uid="{16FFD617-1E11-4381-9D4C-6A57EDA14E01}" name="Participating School(s)" totalsRowLabel="15" dataDxfId="1462" totalsRowDxfId="1461"/>
    <tableColumn id="29" xr3:uid="{22920DA7-D141-4033-96A7-912422EA1B7E}" name="Dual Language School(s)" totalsRowLabel="4" dataDxfId="1460" totalsRowDxfId="1459"/>
    <tableColumn id="31" xr3:uid="{A72AE898-F52D-471C-B8FF-62965D4BEF25}" name="Program Model(s) Offered" dataDxfId="1458" totalsRowDxfId="1457"/>
    <tableColumn id="32" xr3:uid="{56AFBDB3-4569-4549-84C2-FA8262C200A3}" name="Biliteracy Pathway Recognitions Offered" dataDxfId="1456" totalsRowDxfId="1455"/>
    <tableColumn id="18" xr3:uid="{69089AC6-2966-4FE5-A591-B835F15DF580}" name="American Sign Language Total" totalsRowFunction="sum" dataDxfId="1454" totalsRowDxfId="1453"/>
    <tableColumn id="3" xr3:uid="{2B04E146-661B-47DE-A908-C8D467C6F8EF}" name="Arabic Total" totalsRowFunction="sum" dataDxfId="1452" totalsRowDxfId="1451"/>
    <tableColumn id="4" xr3:uid="{C0D985DB-648B-4518-B600-DFDDF312F75A}" name="Armenian Total" totalsRowFunction="sum" dataDxfId="1450" totalsRowDxfId="1449"/>
    <tableColumn id="22" xr3:uid="{F9338060-48FC-40AF-B01B-997B1C2ED29F}" name="Bengali Total" totalsRowFunction="sum" dataDxfId="1448" totalsRowDxfId="1447"/>
    <tableColumn id="5" xr3:uid="{3ED666CB-C311-4933-927C-4EAB8F74773C}" name="Chinese Total" totalsRowFunction="sum" dataDxfId="1446" totalsRowDxfId="1445"/>
    <tableColumn id="23" xr3:uid="{9B472A27-7E47-44AA-8A58-B914AB435334}" name="Farsi (Persian) Total" totalsRowFunction="sum" dataDxfId="1444" totalsRowDxfId="1443"/>
    <tableColumn id="6" xr3:uid="{B98D9703-4060-454C-AC27-F9CF4A0BFBBB}" name="French Total" totalsRowFunction="sum" dataDxfId="1442" totalsRowDxfId="1441"/>
    <tableColumn id="7" xr3:uid="{6ECB70E7-4450-44BE-A4F8-7905D1136BDD}" name="German Total" totalsRowFunction="sum" dataDxfId="1440" totalsRowDxfId="1439"/>
    <tableColumn id="8" xr3:uid="{F1399840-F2B9-454B-ABD2-90ACC98691C0}" name="Hebrew Total" totalsRowFunction="sum" dataDxfId="1438" totalsRowDxfId="1437"/>
    <tableColumn id="24" xr3:uid="{7E500A3D-2704-4865-9921-F3EA2DD1318C}" name="Hindi Total" totalsRowFunction="sum" dataDxfId="1436" totalsRowDxfId="1435"/>
    <tableColumn id="9" xr3:uid="{E1FBC5B4-3320-4D84-85FC-405D0BD47506}" name="Hmong Total" totalsRowFunction="sum" dataDxfId="1434" totalsRowDxfId="1433"/>
    <tableColumn id="10" xr3:uid="{23CF1B56-04A1-47F6-AF98-B4A45DC9156C}" name="Italian Total" totalsRowFunction="sum" dataDxfId="1432" totalsRowDxfId="1431"/>
    <tableColumn id="11" xr3:uid="{2E7AA1C3-D42E-4540-8A51-46EBF2F60F3C}" name="Japanese Total" totalsRowFunction="sum" dataDxfId="1430" totalsRowDxfId="1429"/>
    <tableColumn id="12" xr3:uid="{6664AAE4-1C22-4E13-947E-E7E58461F9D8}" name="Korean Total" totalsRowFunction="sum" dataDxfId="1428" totalsRowDxfId="1427"/>
    <tableColumn id="19" xr3:uid="{935F11D0-EA22-4466-AA77-2AD86CA4C323}" name="Portuguese Total" totalsRowFunction="sum" dataDxfId="1426" totalsRowDxfId="1425"/>
    <tableColumn id="25" xr3:uid="{75F4C847-D684-4570-ABA4-D7A3AEAED2F5}" name="Punjabi Total" totalsRowFunction="sum" dataDxfId="1424" totalsRowDxfId="1423"/>
    <tableColumn id="20" xr3:uid="{B8DC910C-AA1B-4A15-9663-0D14F2784E8F}" name="Russian Total" totalsRowFunction="sum" dataDxfId="1422" totalsRowDxfId="1421"/>
    <tableColumn id="14" xr3:uid="{D8F7F9FD-2068-4D92-8F55-F096FEA10CA7}" name="Spanish Total" totalsRowFunction="sum" dataDxfId="1420" totalsRowDxfId="1419"/>
    <tableColumn id="15" xr3:uid="{B10D9F98-1073-4C77-A9A5-1482F4B31D1D}" name="Tagalog (Filipino) Total" totalsRowFunction="sum" dataDxfId="1418" totalsRowDxfId="1417"/>
    <tableColumn id="26" xr3:uid="{83CFFCA9-6D35-4224-A68C-90C89BA87894}" name="Urdu Total" totalsRowFunction="sum" dataDxfId="1416" totalsRowDxfId="1415"/>
    <tableColumn id="16" xr3:uid="{EDC7E013-2DC8-49E7-BB6E-EA3E31D8D3E2}" name="Vietnamese Total" totalsRowFunction="sum" dataDxfId="1414" totalsRowDxfId="1413"/>
    <tableColumn id="17" xr3:uid="{A9409236-93DB-4186-B4FF-1B3FF7F3A98A}" name="Other Total" totalsRowFunction="sum" dataDxfId="1412" totalsRowDxfId="1411"/>
    <tableColumn id="21" xr3:uid="{0D933BF6-B9B5-49A2-9680-BFF59FF7AD3B}" name="Total Seals per LEA" totalsRowFunction="sum" dataDxfId="1410" totalsRowDxfId="1409">
      <calculatedColumnFormula>SUM(Table26[[#This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Contra Costa county and also includes language total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D619394-6B30-4230-831C-31D85AE5216C}" name="Table2613" displayName="Table2613" ref="A2:AB4" totalsRowCount="1" headerRowDxfId="1408" dataDxfId="1407">
  <autoFilter ref="A2:AB3" xr:uid="{AD619394-6B30-4230-831C-31D85AE5216C}"/>
  <tableColumns count="28">
    <tableColumn id="1" xr3:uid="{17C12417-8B28-4E92-8846-412D24221550}" name="Participating Districts" totalsRowLabel="Total: 1" dataDxfId="1406" totalsRowDxfId="1405"/>
    <tableColumn id="2" xr3:uid="{5337B712-45D5-4A9C-8B79-6802009E6710}" name="Participating School(s)" totalsRowLabel="1" dataDxfId="1404" totalsRowDxfId="1403"/>
    <tableColumn id="29" xr3:uid="{96ED4CBE-0145-42ED-BFD4-292D067C113F}" name="Dual Language School(s)" totalsRowLabel="1" dataDxfId="1402" totalsRowDxfId="1401"/>
    <tableColumn id="31" xr3:uid="{ABD555ED-D582-46E2-A912-3868B1DB027A}" name="Program Model(s) Offered" dataDxfId="1400" totalsRowDxfId="1399"/>
    <tableColumn id="32" xr3:uid="{8BBD536A-D8F4-4C9E-80B6-B71FCEF24D7B}" name="Biliteracy Pathway Recognitions Offered" dataDxfId="1398" totalsRowDxfId="1397"/>
    <tableColumn id="18" xr3:uid="{B9FB11F5-7C65-4FF7-9753-9DEA7D1AFDF7}" name="American Sign Language Total" totalsRowFunction="sum" dataDxfId="1396" totalsRowDxfId="1395"/>
    <tableColumn id="3" xr3:uid="{68D0DA80-29B0-4EE5-BEF1-D167455CEC03}" name="Arabic Total" totalsRowFunction="sum" dataDxfId="1394" totalsRowDxfId="1393"/>
    <tableColumn id="4" xr3:uid="{1D296E0A-C5CC-432A-A942-081227CDD71A}" name="Armenian Total" totalsRowFunction="sum" dataDxfId="1392" totalsRowDxfId="1391"/>
    <tableColumn id="22" xr3:uid="{131A77D3-BDCF-41DF-B776-A090B52B716D}" name="Bengali Total" totalsRowFunction="sum" dataDxfId="1390" totalsRowDxfId="1389"/>
    <tableColumn id="5" xr3:uid="{48BFD9BF-803D-4B39-8E02-8652BE78A7DB}" name="Chinese Total" totalsRowFunction="sum" dataDxfId="1388" totalsRowDxfId="1387"/>
    <tableColumn id="23" xr3:uid="{E2235985-1786-4EFA-B202-21B2F21499DD}" name="Farsi (Persian) Total" totalsRowFunction="sum" dataDxfId="1386" totalsRowDxfId="1385"/>
    <tableColumn id="6" xr3:uid="{2A0934DC-7EF6-45CA-AE4B-8A61382C2721}" name="French Total" totalsRowFunction="sum" dataDxfId="1384" totalsRowDxfId="1383"/>
    <tableColumn id="7" xr3:uid="{4B28461C-5860-4C71-B3F1-A113926611BD}" name="German Total" totalsRowFunction="sum" dataDxfId="1382" totalsRowDxfId="1381"/>
    <tableColumn id="8" xr3:uid="{186BE3AE-5C66-4D2B-AE76-1FFC5CE1D0DF}" name="Hebrew Total" totalsRowFunction="sum" dataDxfId="1380" totalsRowDxfId="1379"/>
    <tableColumn id="24" xr3:uid="{3101FCE1-48AE-4440-875E-8617A90D7852}" name="Hindi Total" totalsRowFunction="sum" dataDxfId="1378" totalsRowDxfId="1377"/>
    <tableColumn id="9" xr3:uid="{A034B2DB-C9E6-4FC3-A6FE-9A96E010E039}" name="Hmong Total" totalsRowFunction="sum" dataDxfId="1376" totalsRowDxfId="1375"/>
    <tableColumn id="10" xr3:uid="{23822987-A30A-4E97-8C59-E818F5AA78B5}" name="Italian Total" totalsRowFunction="sum" dataDxfId="1374" totalsRowDxfId="1373"/>
    <tableColumn id="11" xr3:uid="{2384F416-8B0B-4A6E-B2C1-62FFBE36CFE2}" name="Japanese Total" totalsRowFunction="sum" dataDxfId="1372" totalsRowDxfId="1371"/>
    <tableColumn id="12" xr3:uid="{60308EAC-2241-4880-BBA7-0E001FFEE729}" name="Korean Total" totalsRowFunction="sum" dataDxfId="1370" totalsRowDxfId="1369"/>
    <tableColumn id="19" xr3:uid="{8CE3034D-4F52-4A61-989B-A937BE172F56}" name="Portuguese Total" totalsRowFunction="sum" dataDxfId="1368" totalsRowDxfId="1367"/>
    <tableColumn id="25" xr3:uid="{E0230170-8266-4BC7-AAD9-B9F2C38F5DD7}" name="Punjabi Total" totalsRowFunction="sum" dataDxfId="1366" totalsRowDxfId="1365"/>
    <tableColumn id="20" xr3:uid="{F8E89039-1F3C-4D02-8E87-B3ED0E90653A}" name="Russian Total" totalsRowFunction="sum" dataDxfId="1364" totalsRowDxfId="1363"/>
    <tableColumn id="14" xr3:uid="{F81C545F-D265-4B03-8CEF-E0FF50C106A6}" name="Spanish Total" totalsRowFunction="sum" dataDxfId="1362" totalsRowDxfId="1361"/>
    <tableColumn id="15" xr3:uid="{E073F419-7825-407D-A7CE-04A5EC5F713F}" name="Tagalog (Filipino) Total" totalsRowFunction="sum" dataDxfId="1360" totalsRowDxfId="1359"/>
    <tableColumn id="26" xr3:uid="{504E7566-B6B7-4775-A1A8-50577A27DC4F}" name="Urdu Total" totalsRowFunction="sum" dataDxfId="1358" totalsRowDxfId="1357"/>
    <tableColumn id="16" xr3:uid="{3D0E31EB-CC6B-4BFA-9223-E7E3A023362D}" name="Vietnamese Total" totalsRowFunction="sum" dataDxfId="1356" totalsRowDxfId="1355"/>
    <tableColumn id="17" xr3:uid="{81B47022-23D0-4E26-BCC3-C21920F2C850}" name="Other Total" totalsRowFunction="sum" dataDxfId="1354" totalsRowDxfId="1353"/>
    <tableColumn id="21" xr3:uid="{7070C89F-6BCB-48FD-AFCD-B7403437437E}" name="Total Seals per LEA" totalsRowFunction="sum" dataDxfId="1352" totalsRowDxfId="1351">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Contra Costa county and also includes language total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50E004-50F3-4D40-A26C-42994B291DAB}" name="Fresno2" displayName="Fresno2" ref="A2:AB4" totalsRowCount="1" headerRowDxfId="1350" dataDxfId="1349">
  <autoFilter ref="A2:AB3" xr:uid="{E750E004-50F3-4D40-A26C-42994B291DAB}"/>
  <tableColumns count="28">
    <tableColumn id="1" xr3:uid="{A0438175-DFE6-4839-9687-E52FD8057767}" name="Participating Districts" totalsRowLabel="Total: 1" dataDxfId="1348"/>
    <tableColumn id="2" xr3:uid="{DAF82380-F27A-46B1-96CB-215331E1B6CC}" name="Participating Schools" totalsRowLabel="1" dataDxfId="1347" totalsRowDxfId="1346"/>
    <tableColumn id="29" xr3:uid="{66C5514B-896E-47BF-8A3C-FDC4F7371BD4}" name="Dual Language School(s)" totalsRowLabel="1" dataDxfId="1345" totalsRowDxfId="1344"/>
    <tableColumn id="28" xr3:uid="{C8198C22-A867-4315-AF01-F73AAF084238}" name="Program Model(s) Offered" dataDxfId="1343" totalsRowDxfId="1342"/>
    <tableColumn id="27" xr3:uid="{889825FA-5D5A-4B8C-9C9E-4549F11751D5}" name="Biliteracy Pathway Recognitions Offered" dataDxfId="1341" totalsRowDxfId="1340"/>
    <tableColumn id="3" xr3:uid="{7A4327FD-0661-43BA-A02F-90CA807E7D93}" name="American Sign Language Total" totalsRowFunction="sum" dataDxfId="1339" totalsRowDxfId="1338"/>
    <tableColumn id="4" xr3:uid="{85FE9C12-0543-4FCB-AE23-67ECDCA4F9FA}" name="Arabic Total" totalsRowFunction="sum" dataDxfId="1337" totalsRowDxfId="1336"/>
    <tableColumn id="5" xr3:uid="{175E7498-39F5-43A4-8EE7-FC2D5241BF47}" name="Armenian Total" totalsRowFunction="sum" dataDxfId="1335" totalsRowDxfId="1334"/>
    <tableColumn id="22" xr3:uid="{87E45AF7-CED7-4EA8-84D3-E2D4C092C677}" name="Bengali Total" totalsRowFunction="sum" dataDxfId="1333" totalsRowDxfId="1332"/>
    <tableColumn id="18" xr3:uid="{06FECFA9-A38E-473F-8A00-3B7A7592891D}" name="Chinese Total" totalsRowFunction="sum" dataDxfId="1331" totalsRowDxfId="1330"/>
    <tableColumn id="23" xr3:uid="{DC7F0903-6EB7-441B-BB1B-3A86B4BDAD87}" name="Farsi (Persian) Total" totalsRowFunction="sum" dataDxfId="1329" totalsRowDxfId="1328"/>
    <tableColumn id="6" xr3:uid="{377B8C96-7B6B-4925-B682-3015DEDEF696}" name="French Total" totalsRowFunction="sum" dataDxfId="1327" totalsRowDxfId="1326"/>
    <tableColumn id="7" xr3:uid="{EF022691-7479-432A-989B-BB98DA386DBD}" name="German Total" totalsRowFunction="sum" dataDxfId="1325" totalsRowDxfId="1324"/>
    <tableColumn id="19" xr3:uid="{C22823E8-B4B1-41E6-9AA4-88A839A4A442}" name="Hebrew Total" totalsRowFunction="sum" dataDxfId="1323" totalsRowDxfId="1322"/>
    <tableColumn id="24" xr3:uid="{153040D4-8992-462B-994B-40C351BE0674}" name="Hindi Total" totalsRowFunction="sum" dataDxfId="1321" totalsRowDxfId="1320"/>
    <tableColumn id="8" xr3:uid="{D740AA78-CCF2-4793-95E9-5715E6D7FDFE}" name="Hmong Total" totalsRowFunction="sum" dataDxfId="1319" totalsRowDxfId="1318"/>
    <tableColumn id="9" xr3:uid="{6FBCD4B2-D26A-49F5-8027-37C26B885B27}" name="Italian Total" totalsRowFunction="sum" dataDxfId="1317" totalsRowDxfId="1316"/>
    <tableColumn id="10" xr3:uid="{C04B1DCE-249C-46D6-A6A5-F8C1858A3ACD}" name="Japanese Total" totalsRowFunction="sum" dataDxfId="1315" totalsRowDxfId="1314"/>
    <tableColumn id="11" xr3:uid="{BFA91706-A13F-41F4-ADD9-2AA3C10768D3}" name="Korean Total" totalsRowFunction="sum" dataDxfId="1313" totalsRowDxfId="1312"/>
    <tableColumn id="13" xr3:uid="{48B996C4-8265-4F0A-B038-8C4A0F81D33E}" name="Portuguese Total" totalsRowFunction="sum" dataDxfId="1311" totalsRowDxfId="1310"/>
    <tableColumn id="25" xr3:uid="{FF019A71-1CE5-4DD6-B26C-27C3227A4A6F}" name="Punjabi Total" totalsRowFunction="sum" dataDxfId="1309" totalsRowDxfId="1308"/>
    <tableColumn id="20" xr3:uid="{022B1CD8-596A-4225-909A-35CA1A31C0D6}" name="Russian Total" totalsRowFunction="sum" dataDxfId="1307" totalsRowDxfId="1306"/>
    <tableColumn id="14" xr3:uid="{82831AC2-D763-4AA1-97F0-C9DFC1603562}" name="Spanish Total" totalsRowFunction="sum" dataDxfId="1305" totalsRowDxfId="1304"/>
    <tableColumn id="15" xr3:uid="{D41E5CCE-9B2E-4CAD-A5D7-1887FFB6FC83}" name="Tagalog (Filipino) Total" totalsRowFunction="sum" dataDxfId="1303" totalsRowDxfId="1302"/>
    <tableColumn id="26" xr3:uid="{526982B6-BCB9-48DC-9418-7562B8C3B5C3}" name="Urdu Total" totalsRowFunction="sum" dataDxfId="1301" totalsRowDxfId="1300"/>
    <tableColumn id="16" xr3:uid="{1A3CE980-1F41-4EE1-8960-9DB6B9C8171C}" name="Vietnamese Total" totalsRowFunction="sum" dataDxfId="1299" totalsRowDxfId="1298"/>
    <tableColumn id="17" xr3:uid="{E213ED71-4AB5-4D03-83DA-268672C5C09D}" name="Other Total" totalsRowFunction="sum" dataDxfId="1297" totalsRowDxfId="1296"/>
    <tableColumn id="21" xr3:uid="{482B58E6-A577-49E6-8D9D-57387014F3B5}" name="Total Seals per LEA" totalsRowFunction="sum" dataDxfId="1295">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Glenn county and also includes language total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Kern" displayName="Kern" ref="A2:AB5" totalsRowCount="1" headerRowDxfId="1294" dataDxfId="1293">
  <autoFilter ref="A2:AB4" xr:uid="{00000000-0009-0000-0100-00000F000000}"/>
  <tableColumns count="28">
    <tableColumn id="1" xr3:uid="{00000000-0010-0000-0D00-000001000000}" name="Participating Districts" totalsRowLabel="Total: 2" dataDxfId="1292"/>
    <tableColumn id="2" xr3:uid="{00000000-0010-0000-0D00-000002000000}" name="Participating Schools" totalsRowLabel="4" dataDxfId="1291" totalsRowDxfId="1290"/>
    <tableColumn id="29" xr3:uid="{567D5E3A-854F-40BC-8804-3B3DE0B70A2A}" name="Dual Language School(s)" totalsRowLabel="3" dataDxfId="1289" totalsRowDxfId="1288"/>
    <tableColumn id="28" xr3:uid="{BB792147-3013-48C3-8B50-C573260C8908}" name="Program Model(s) Offered" dataDxfId="1287" totalsRowDxfId="1286"/>
    <tableColumn id="27" xr3:uid="{FAA27A40-C9D8-4EEE-A506-BBAAE3CA1D0F}" name="Biliteracy Pathway Recognitions Offered" dataDxfId="1285" totalsRowDxfId="1284"/>
    <tableColumn id="3" xr3:uid="{00000000-0010-0000-0D00-000003000000}" name="American Sign Language Total" totalsRowFunction="sum" dataDxfId="1283" totalsRowDxfId="1282"/>
    <tableColumn id="4" xr3:uid="{00000000-0010-0000-0D00-000004000000}" name="Arabic Total" totalsRowFunction="sum" dataDxfId="1281" totalsRowDxfId="1280"/>
    <tableColumn id="5" xr3:uid="{00000000-0010-0000-0D00-000005000000}" name="Armenian Total" totalsRowFunction="sum" dataDxfId="1279" totalsRowDxfId="1278"/>
    <tableColumn id="22" xr3:uid="{7F1B5E66-AFFE-48F9-A8F1-08DFCCEC177A}" name="Bengali Total" totalsRowFunction="sum" dataDxfId="1277" totalsRowDxfId="1276"/>
    <tableColumn id="18" xr3:uid="{F49FC476-B928-450E-ADA3-53D93EF825F8}" name="Chinese Total" totalsRowFunction="sum" dataDxfId="1275" totalsRowDxfId="1274"/>
    <tableColumn id="23" xr3:uid="{EAE3468F-0127-4DBA-BF81-D922C37D8E79}" name="Farsi (Persian) Total" totalsRowFunction="sum" dataDxfId="1273" totalsRowDxfId="1272"/>
    <tableColumn id="6" xr3:uid="{00000000-0010-0000-0D00-000006000000}" name="French Total" totalsRowFunction="sum" dataDxfId="1271" totalsRowDxfId="1270"/>
    <tableColumn id="7" xr3:uid="{00000000-0010-0000-0D00-000007000000}" name="German Total" totalsRowFunction="sum" dataDxfId="1269" totalsRowDxfId="1268"/>
    <tableColumn id="19" xr3:uid="{186FAFF0-790C-4597-9C7F-D90BCBAAC645}" name="Hebrew Total" totalsRowFunction="sum" dataDxfId="1267" totalsRowDxfId="1266"/>
    <tableColumn id="24" xr3:uid="{0FD9030B-A817-4166-8CF6-CB21B107E85E}" name="Hindi Total" totalsRowFunction="sum" dataDxfId="1265" totalsRowDxfId="1264"/>
    <tableColumn id="8" xr3:uid="{00000000-0010-0000-0D00-000008000000}" name="Hmong Total" totalsRowFunction="sum" dataDxfId="1263" totalsRowDxfId="1262"/>
    <tableColumn id="9" xr3:uid="{00000000-0010-0000-0D00-000009000000}" name="Italian Total" totalsRowFunction="sum" dataDxfId="1261" totalsRowDxfId="1260"/>
    <tableColumn id="10" xr3:uid="{00000000-0010-0000-0D00-00000A000000}" name="Japanese Total" totalsRowFunction="sum" dataDxfId="1259" totalsRowDxfId="1258"/>
    <tableColumn id="11" xr3:uid="{00000000-0010-0000-0D00-00000B000000}" name="Korean Total" totalsRowFunction="sum" dataDxfId="1257" totalsRowDxfId="1256"/>
    <tableColumn id="13" xr3:uid="{00000000-0010-0000-0D00-00000D000000}" name="Portuguese Total" totalsRowFunction="sum" dataDxfId="1255" totalsRowDxfId="1254"/>
    <tableColumn id="25" xr3:uid="{30B52E7E-ECBE-45BD-A1AC-4938A8AC55D3}" name="Punjabi Total" totalsRowFunction="sum" dataDxfId="1253" totalsRowDxfId="1252"/>
    <tableColumn id="20" xr3:uid="{6EBF68AC-BFCD-4478-B2CB-698E4D4AD692}" name="Russian Total" totalsRowFunction="sum" dataDxfId="1251" totalsRowDxfId="1250"/>
    <tableColumn id="14" xr3:uid="{00000000-0010-0000-0D00-00000E000000}" name="Spanish Total" totalsRowFunction="sum" dataDxfId="1249" totalsRowDxfId="1248"/>
    <tableColumn id="15" xr3:uid="{00000000-0010-0000-0D00-00000F000000}" name="Tagalog (Filipino) Total" totalsRowFunction="sum" dataDxfId="1247" totalsRowDxfId="1246"/>
    <tableColumn id="26" xr3:uid="{86DF0F6B-2CEC-402F-8CC0-2D5BD763380B}" name="Urdu Total" totalsRowFunction="sum" dataDxfId="1245" totalsRowDxfId="1244"/>
    <tableColumn id="16" xr3:uid="{00000000-0010-0000-0D00-000010000000}" name="Vietnamese Total" totalsRowFunction="sum" dataDxfId="1243" totalsRowDxfId="1242"/>
    <tableColumn id="17" xr3:uid="{00000000-0010-0000-0D00-000011000000}" name="Other Total" totalsRowFunction="sum" dataDxfId="1241" totalsRowDxfId="1240"/>
    <tableColumn id="21" xr3:uid="{3CBF2BA1-F178-4015-81D8-A5C9F1400523}" name="Total Seals per LEA" totalsRowFunction="sum" dataDxfId="1239" totalsRowDxfId="1238">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Kern county and also includes language total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LosAngeles" displayName="LosAngeles" ref="A2:AB20" totalsRowCount="1" headerRowDxfId="1237">
  <autoFilter ref="A2:AB19" xr:uid="{00000000-0009-0000-0100-000013000000}"/>
  <tableColumns count="28">
    <tableColumn id="1" xr3:uid="{00000000-0010-0000-1100-000001000000}" name="Participating Districts" totalsRowLabel="Total: 16" dataDxfId="143" totalsRowDxfId="115"/>
    <tableColumn id="2" xr3:uid="{00000000-0010-0000-1100-000002000000}" name="Participating Schools" totalsRowLabel="29" dataDxfId="142" totalsRowDxfId="114"/>
    <tableColumn id="29" xr3:uid="{72938B78-EAA6-4299-B9A5-EE21C1F9D920}" name="Dual Language School(s)" totalsRowLabel="18" dataDxfId="141" totalsRowDxfId="113"/>
    <tableColumn id="28" xr3:uid="{4113B101-E52E-4E3F-8206-1CDB0DEC5C9E}" name="Program Model(s) Offered" dataDxfId="140" totalsRowDxfId="112"/>
    <tableColumn id="27" xr3:uid="{BE1910F4-474F-47B3-B526-8F99198400C1}" name="Biliteracy Pathway Recognitions Offered" dataDxfId="139" totalsRowDxfId="111"/>
    <tableColumn id="3" xr3:uid="{00000000-0010-0000-1100-000003000000}" name="American Sign Language Total" totalsRowFunction="sum" dataDxfId="138" totalsRowDxfId="110"/>
    <tableColumn id="4" xr3:uid="{00000000-0010-0000-1100-000004000000}" name="Arabic Total" totalsRowFunction="sum" dataDxfId="137" totalsRowDxfId="109"/>
    <tableColumn id="5" xr3:uid="{00000000-0010-0000-1100-000005000000}" name="Armenian Total" totalsRowFunction="sum" dataDxfId="136" totalsRowDxfId="108"/>
    <tableColumn id="22" xr3:uid="{2AECE8AD-C972-4E50-975F-423621D5E0B1}" name="Bengali Total" totalsRowFunction="sum" dataDxfId="135" totalsRowDxfId="107"/>
    <tableColumn id="18" xr3:uid="{BA3AE528-3E2D-4F34-A558-CC296FFD1212}" name="Chinese Total" totalsRowFunction="sum" dataDxfId="134" totalsRowDxfId="106"/>
    <tableColumn id="23" xr3:uid="{6AAF18F1-415D-4164-87E4-D52ABCC852F5}" name="Farsi (Persian) Total" totalsRowFunction="sum" dataDxfId="133" totalsRowDxfId="105"/>
    <tableColumn id="6" xr3:uid="{00000000-0010-0000-1100-000006000000}" name="French Total" totalsRowFunction="sum" dataDxfId="132" totalsRowDxfId="104"/>
    <tableColumn id="7" xr3:uid="{00000000-0010-0000-1100-000007000000}" name="German Total" totalsRowFunction="sum" dataDxfId="131" totalsRowDxfId="103"/>
    <tableColumn id="19" xr3:uid="{CEF23F97-838D-45FE-B656-7F218BE668F9}" name="Hebrew Total" totalsRowFunction="sum" dataDxfId="130" totalsRowDxfId="102"/>
    <tableColumn id="24" xr3:uid="{AC0A1816-0ED4-401F-8547-E9322837A970}" name="Hindi Total" totalsRowFunction="sum" dataDxfId="129" totalsRowDxfId="101"/>
    <tableColumn id="8" xr3:uid="{00000000-0010-0000-1100-000008000000}" name="Hmong Total" totalsRowFunction="sum" dataDxfId="128" totalsRowDxfId="100"/>
    <tableColumn id="9" xr3:uid="{00000000-0010-0000-1100-000009000000}" name="Italian Total" totalsRowFunction="sum" dataDxfId="127" totalsRowDxfId="99"/>
    <tableColumn id="10" xr3:uid="{00000000-0010-0000-1100-00000A000000}" name="Japanese Total" totalsRowFunction="sum" dataDxfId="126" totalsRowDxfId="98"/>
    <tableColumn id="11" xr3:uid="{00000000-0010-0000-1100-00000B000000}" name="Korean Total" totalsRowFunction="sum" dataDxfId="125" totalsRowDxfId="97"/>
    <tableColumn id="13" xr3:uid="{00000000-0010-0000-1100-00000D000000}" name="Portuguese Total" totalsRowFunction="sum" dataDxfId="124" totalsRowDxfId="96"/>
    <tableColumn id="25" xr3:uid="{0B28417E-F333-4161-82A3-C5333E04C2A5}" name="Punjabi Total" totalsRowFunction="sum" dataDxfId="123" totalsRowDxfId="95"/>
    <tableColumn id="20" xr3:uid="{3FCA8658-5464-45F2-83ED-A5A7F78CB169}" name="Russian Total" totalsRowFunction="sum" dataDxfId="122" totalsRowDxfId="94"/>
    <tableColumn id="14" xr3:uid="{00000000-0010-0000-1100-00000E000000}" name="Spanish Total" totalsRowFunction="sum" dataDxfId="121" totalsRowDxfId="93"/>
    <tableColumn id="15" xr3:uid="{00000000-0010-0000-1100-00000F000000}" name="Tagalog (Filipino) Total" totalsRowFunction="sum" dataDxfId="120" totalsRowDxfId="92"/>
    <tableColumn id="26" xr3:uid="{96353DB5-2BA4-43D0-9751-6F1696FE4634}" name="Urdu Total" totalsRowFunction="sum" dataDxfId="119" totalsRowDxfId="91"/>
    <tableColumn id="16" xr3:uid="{00000000-0010-0000-1100-000010000000}" name="Vietnamese Total" totalsRowFunction="sum" dataDxfId="118" totalsRowDxfId="90"/>
    <tableColumn id="17" xr3:uid="{00000000-0010-0000-1100-000011000000}" name="Other Total" totalsRowFunction="sum" dataDxfId="117" totalsRowDxfId="89"/>
    <tableColumn id="21" xr3:uid="{E41DABD1-9048-45CF-BA4A-85053EE0F7AC}" name="Total Seals per LEA" totalsRowFunction="sum" dataDxfId="116" totalsRowDxfId="88">
      <calculatedColumnFormula>SUM(F3:AA3)</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Los Angeles county and also includes language total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7000000}" name="Monterey" displayName="Monterey" ref="A2:AC5" totalsRowCount="1" headerRowDxfId="1236" dataDxfId="1235">
  <autoFilter ref="A2:AC4" xr:uid="{00000000-0009-0000-0100-000019000000}"/>
  <tableColumns count="29">
    <tableColumn id="1" xr3:uid="{00000000-0010-0000-1700-000001000000}" name="Participating Districts" totalsRowLabel="Total: 2" dataDxfId="1234" totalsRowDxfId="1233"/>
    <tableColumn id="2" xr3:uid="{00000000-0010-0000-1700-000002000000}" name="Participating Schools" totalsRowLabel="2" dataDxfId="1232" totalsRowDxfId="1231"/>
    <tableColumn id="29" xr3:uid="{A1109AE7-B152-4BA6-A156-26636BD33F0F}" name="Dual Language School(s)" totalsRowLabel="1" dataDxfId="1230" totalsRowDxfId="1229"/>
    <tableColumn id="28" xr3:uid="{606E264D-07C4-46AF-92AF-852E0E0B2793}" name="Program Model(s) Offered" dataDxfId="1228" totalsRowDxfId="1227"/>
    <tableColumn id="27" xr3:uid="{60DA08B2-37A8-4237-9A46-8595DC6F6DA9}" name="Biliteracy Pathway Recognitions Offered" dataDxfId="1226" totalsRowDxfId="1225"/>
    <tableColumn id="3" xr3:uid="{00000000-0010-0000-1700-000003000000}" name="American Sign Language Total" totalsRowFunction="sum" dataDxfId="1224" totalsRowDxfId="1223"/>
    <tableColumn id="4" xr3:uid="{00000000-0010-0000-1700-000004000000}" name="Arabic Total" totalsRowFunction="sum" dataDxfId="1222" totalsRowDxfId="1221"/>
    <tableColumn id="5" xr3:uid="{00000000-0010-0000-1700-000005000000}" name="Armenian Total" totalsRowFunction="sum" dataDxfId="1220" totalsRowDxfId="1219"/>
    <tableColumn id="22" xr3:uid="{E77E44D9-DD4C-48AF-B5D4-7D4F6F129EED}" name="Bengali Total" totalsRowFunction="sum" dataDxfId="1218" totalsRowDxfId="1217"/>
    <tableColumn id="18" xr3:uid="{825CD97A-E00E-45B0-9D6F-27158B99AC11}" name="Chinese Total" totalsRowFunction="sum" dataDxfId="1216" totalsRowDxfId="1215"/>
    <tableColumn id="23" xr3:uid="{8D58C892-D31B-48F3-9555-BBD8B34C6E86}" name="Farsi (Persian) Total" totalsRowFunction="sum" dataDxfId="1214" totalsRowDxfId="1213"/>
    <tableColumn id="6" xr3:uid="{00000000-0010-0000-1700-000006000000}" name="French Total" totalsRowFunction="sum" dataDxfId="1212" totalsRowDxfId="1211"/>
    <tableColumn id="7" xr3:uid="{00000000-0010-0000-1700-000007000000}" name="German Total" totalsRowFunction="sum" dataDxfId="1210" totalsRowDxfId="1209"/>
    <tableColumn id="19" xr3:uid="{230D5063-C6A9-47A0-8263-27947442D1D7}" name="Hebrew Total" totalsRowFunction="sum" dataDxfId="1208" totalsRowDxfId="1207"/>
    <tableColumn id="24" xr3:uid="{C0EF974B-C6BA-45D3-8C9E-B5231D113109}" name="Hindi Total" totalsRowFunction="sum" dataDxfId="1206" totalsRowDxfId="1205"/>
    <tableColumn id="8" xr3:uid="{00000000-0010-0000-1700-000008000000}" name="Hmong Total" totalsRowFunction="sum" dataDxfId="1204" totalsRowDxfId="1203"/>
    <tableColumn id="9" xr3:uid="{00000000-0010-0000-1700-000009000000}" name="Italian Total" totalsRowFunction="sum" dataDxfId="1202" totalsRowDxfId="1201"/>
    <tableColumn id="10" xr3:uid="{00000000-0010-0000-1700-00000A000000}" name="Japanese Total" totalsRowFunction="sum" dataDxfId="1200" totalsRowDxfId="1199"/>
    <tableColumn id="11" xr3:uid="{00000000-0010-0000-1700-00000B000000}" name="Korean Total" totalsRowFunction="sum" dataDxfId="1198" totalsRowDxfId="1197"/>
    <tableColumn id="12" xr3:uid="{00000000-0010-0000-1700-00000C000000}" name="Latin Total" totalsRowFunction="sum" dataDxfId="1196" totalsRowDxfId="1195"/>
    <tableColumn id="13" xr3:uid="{00000000-0010-0000-1700-00000D000000}" name="Portuguese Total" totalsRowFunction="sum" dataDxfId="1194" totalsRowDxfId="1193"/>
    <tableColumn id="25" xr3:uid="{7A0F814A-8EEB-43EE-9F1D-443BAE0B4355}" name="Punjabi Total" totalsRowFunction="sum" dataDxfId="1192" totalsRowDxfId="1191"/>
    <tableColumn id="20" xr3:uid="{77FDF20E-565D-4280-BB24-0B65C3AB90B9}" name="Russian Total" totalsRowFunction="sum" dataDxfId="1190" totalsRowDxfId="1189"/>
    <tableColumn id="14" xr3:uid="{00000000-0010-0000-1700-00000E000000}" name="Spanish Total" totalsRowFunction="sum" dataDxfId="1188" totalsRowDxfId="1187"/>
    <tableColumn id="15" xr3:uid="{00000000-0010-0000-1700-00000F000000}" name="Tagalog (Filipino) Total" totalsRowFunction="sum" dataDxfId="1186" totalsRowDxfId="1185"/>
    <tableColumn id="26" xr3:uid="{A4580293-10C8-4D68-9912-FA5E9FBF48C1}" name="Urdu Total" totalsRowFunction="sum" dataDxfId="1184" totalsRowDxfId="1183"/>
    <tableColumn id="16" xr3:uid="{00000000-0010-0000-1700-000010000000}" name="Vietnamese Total" totalsRowFunction="sum" dataDxfId="1182" totalsRowDxfId="1181"/>
    <tableColumn id="17" xr3:uid="{00000000-0010-0000-1700-000011000000}" name="Other Total" totalsRowFunction="sum" dataDxfId="1180" totalsRowDxfId="1179"/>
    <tableColumn id="21" xr3:uid="{56501934-9474-492A-A18F-FC2B4433DAAF}" name="Total Seals per LEA" totalsRowFunction="sum" dataDxfId="1178" totalsRowDxfId="1177">
      <calculatedColumnFormula>SUM(Monterey[[#This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Madera county and also includes language total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80401E1-33D9-4CC7-AB2E-62A22AAF2E8A}" name="Monterey14" displayName="Monterey14" ref="A2:AC4" totalsRowCount="1" headerRowDxfId="1176" dataDxfId="1175">
  <autoFilter ref="A2:AC3" xr:uid="{B80401E1-33D9-4CC7-AB2E-62A22AAF2E8A}"/>
  <tableColumns count="29">
    <tableColumn id="1" xr3:uid="{47218250-C715-464D-8B0B-DBAD12EA1A24}" name="Participating Districts" totalsRowLabel="Total: 1" dataDxfId="1174" totalsRowDxfId="1173"/>
    <tableColumn id="2" xr3:uid="{26D203A8-8CFF-46D4-960F-632003E2AC07}" name="Participating Schools" totalsRowLabel="1" dataDxfId="1172" totalsRowDxfId="1171"/>
    <tableColumn id="29" xr3:uid="{913475F5-3287-4D00-BF41-2605CA7F081D}" name="Dual Language School(s)" totalsRowLabel="1" dataDxfId="1170" totalsRowDxfId="1169"/>
    <tableColumn id="28" xr3:uid="{AB3A9A35-A6AF-4842-9668-3A82611FB670}" name="Program Model(s) Offered" dataDxfId="1168" totalsRowDxfId="1167"/>
    <tableColumn id="27" xr3:uid="{84044961-D6A5-4D5D-B291-5455705CC486}" name="Biliteracy Pathway Recognitions Offered" dataDxfId="1166" totalsRowDxfId="1165"/>
    <tableColumn id="3" xr3:uid="{600583AC-7E19-46C8-9733-50405A0CF96A}" name="American Sign Language Total" totalsRowFunction="sum" dataDxfId="1164" totalsRowDxfId="1163"/>
    <tableColumn id="4" xr3:uid="{E123E929-0E06-4E6F-BF9A-DA2332F132E8}" name="Arabic Total" totalsRowFunction="sum" dataDxfId="1162" totalsRowDxfId="1161"/>
    <tableColumn id="5" xr3:uid="{DBCB17BC-AF70-4021-8775-EFC73F7EE05E}" name="Armenian Total" totalsRowFunction="sum" dataDxfId="1160" totalsRowDxfId="1159"/>
    <tableColumn id="22" xr3:uid="{D0CF787E-9906-4041-92B5-05800864F53A}" name="Bengali Total" totalsRowFunction="sum" dataDxfId="1158" totalsRowDxfId="1157"/>
    <tableColumn id="18" xr3:uid="{36226E75-411F-46FD-A9F3-579116B6049A}" name="Chinese Total" totalsRowFunction="sum" dataDxfId="1156" totalsRowDxfId="1155"/>
    <tableColumn id="23" xr3:uid="{C1A61ADF-E958-4ABC-9B73-2EA69A311D26}" name="Farsi (Persian) Total" totalsRowFunction="sum" dataDxfId="1154" totalsRowDxfId="1153"/>
    <tableColumn id="6" xr3:uid="{124D44A0-1F0F-4C5B-A90B-11FC294D315C}" name="French Total" totalsRowFunction="sum" dataDxfId="1152" totalsRowDxfId="1151"/>
    <tableColumn id="7" xr3:uid="{15787019-BFAE-422C-837E-C774F0034BDC}" name="German Total" totalsRowFunction="sum" dataDxfId="1150" totalsRowDxfId="1149"/>
    <tableColumn id="19" xr3:uid="{A11E9C38-6201-40CE-907D-A29C5A1F9A21}" name="Hebrew Total" totalsRowFunction="sum" dataDxfId="1148" totalsRowDxfId="1147"/>
    <tableColumn id="24" xr3:uid="{EC3BA012-A83C-4233-843F-51BCF612130B}" name="Hindi Total" totalsRowFunction="sum" dataDxfId="1146" totalsRowDxfId="1145"/>
    <tableColumn id="8" xr3:uid="{6F815B22-D4C3-4772-829C-161E508EE4FC}" name="Hmong Total" totalsRowFunction="sum" dataDxfId="1144" totalsRowDxfId="1143"/>
    <tableColumn id="9" xr3:uid="{271DBB89-C973-4B5C-A37C-1158439A96B2}" name="Italian Total" totalsRowFunction="sum" dataDxfId="1142" totalsRowDxfId="1141"/>
    <tableColumn id="10" xr3:uid="{4B9067A5-19C4-4A7C-B22E-C8595DE80245}" name="Japanese Total" totalsRowFunction="sum" dataDxfId="1140" totalsRowDxfId="1139"/>
    <tableColumn id="11" xr3:uid="{D2FD5DE1-A0A6-4B23-9CA1-0083E1F0F0B9}" name="Korean Total" totalsRowFunction="sum" dataDxfId="1138" totalsRowDxfId="1137"/>
    <tableColumn id="12" xr3:uid="{0FE78891-AD77-45DE-A625-A8425736DEDB}" name="Latin Total" totalsRowFunction="sum" dataDxfId="1136" totalsRowDxfId="1135"/>
    <tableColumn id="13" xr3:uid="{747856BD-2FFE-4770-A013-F6D8D0349847}" name="Portuguese Total" totalsRowFunction="sum" dataDxfId="1134" totalsRowDxfId="1133"/>
    <tableColumn id="25" xr3:uid="{96EF097C-5BAE-4548-922E-46C2DF9B876D}" name="Punjabi Total" totalsRowFunction="sum" dataDxfId="1132" totalsRowDxfId="1131"/>
    <tableColumn id="20" xr3:uid="{0B5A3811-8A3B-4693-BB9B-9AEE4BE9A889}" name="Russian Total" totalsRowFunction="sum" dataDxfId="1130" totalsRowDxfId="1129"/>
    <tableColumn id="14" xr3:uid="{7CEBE8AB-7607-4DA8-9291-364A444CD1B6}" name="Spanish Total" totalsRowFunction="sum" dataDxfId="1128" totalsRowDxfId="1127"/>
    <tableColumn id="15" xr3:uid="{3329209C-8596-47D8-9C53-0488A19785C8}" name="Tagalog (Filipino) Total" totalsRowFunction="sum" dataDxfId="1126" totalsRowDxfId="1125"/>
    <tableColumn id="26" xr3:uid="{A877C6F1-1EEE-4E00-AD60-C2BEEAA16ACB}" name="Urdu Total" totalsRowFunction="sum" dataDxfId="1124" totalsRowDxfId="1123"/>
    <tableColumn id="16" xr3:uid="{5B57B3F7-EF0E-4914-B325-C6ABC60D15B5}" name="Vietnamese Total" totalsRowFunction="sum" dataDxfId="1122" totalsRowDxfId="1121"/>
    <tableColumn id="17" xr3:uid="{EFC464CD-D478-41BB-BCC8-77831FE7E2D4}" name="Other Total" totalsRowFunction="sum" dataDxfId="1120" totalsRowDxfId="1119"/>
    <tableColumn id="21" xr3:uid="{66E98261-3F0C-4093-8466-CE15DD36A9F8}" name="Total Seals per LEA" totalsRowFunction="sum" dataDxfId="1118" totalsRowDxfId="1117">
      <calculatedColumnFormula>SUM(Monterey14[[#This Row],[American Sign Language Total]:[Other Total]])</calculatedColumnFormula>
    </tableColumn>
  </tableColumns>
  <tableStyleInfo name="TableStyleMedium6" showFirstColumn="0" showLastColumn="0" showRowStripes="1" showColumnStripes="0"/>
  <extLst>
    <ext xmlns:x14="http://schemas.microsoft.com/office/spreadsheetml/2009/9/main" uri="{504A1905-F514-4f6f-8877-14C23A59335A}">
      <x14:table altTextSummary="This table includes the total number of schools and districts that participated in the 2022-23 California State Seal of Biliteracy program in Madera county and also includes language total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31"/>
  <sheetViews>
    <sheetView tabSelected="1" workbookViewId="0">
      <pane xSplit="1" ySplit="4" topLeftCell="B5" activePane="bottomRight" state="frozen"/>
      <selection activeCell="B8" sqref="B8"/>
      <selection pane="topRight" activeCell="B8" sqref="B8"/>
      <selection pane="bottomLeft" activeCell="B8" sqref="B8"/>
      <selection pane="bottomRight"/>
    </sheetView>
  </sheetViews>
  <sheetFormatPr defaultRowHeight="15" x14ac:dyDescent="0.25"/>
  <cols>
    <col min="1" max="1" width="28.36328125" customWidth="1"/>
    <col min="2" max="2" width="12.08984375" customWidth="1"/>
    <col min="3" max="3" width="12.36328125" customWidth="1"/>
    <col min="4" max="4" width="15.81640625" customWidth="1"/>
    <col min="5" max="5" width="8.453125" bestFit="1" customWidth="1"/>
    <col min="6" max="6" width="9.36328125" customWidth="1"/>
    <col min="7" max="7" width="9.453125" bestFit="1" customWidth="1"/>
    <col min="8" max="8" width="9.90625" bestFit="1" customWidth="1"/>
    <col min="9" max="9" width="10.6328125" bestFit="1" customWidth="1"/>
    <col min="10" max="11" width="8.90625" bestFit="1" customWidth="1"/>
    <col min="12" max="12" width="9.36328125" bestFit="1" customWidth="1"/>
    <col min="13" max="13" width="7.453125" bestFit="1" customWidth="1"/>
    <col min="14" max="14" width="9.08984375" bestFit="1" customWidth="1"/>
    <col min="15" max="15" width="8.08984375" bestFit="1" customWidth="1"/>
    <col min="16" max="16" width="11.6328125" bestFit="1" customWidth="1"/>
    <col min="17" max="17" width="9.08984375" bestFit="1" customWidth="1"/>
    <col min="18" max="18" width="11.08984375" customWidth="1"/>
    <col min="19" max="19" width="9.54296875" bestFit="1" customWidth="1"/>
    <col min="20" max="20" width="9.90625" bestFit="1" customWidth="1"/>
    <col min="21" max="21" width="10" bestFit="1" customWidth="1"/>
    <col min="22" max="22" width="10.81640625" bestFit="1" customWidth="1"/>
    <col min="23" max="23" width="7.1796875" bestFit="1" customWidth="1"/>
    <col min="24" max="24" width="11.453125" customWidth="1"/>
    <col min="25" max="25" width="7.6328125" customWidth="1"/>
    <col min="26" max="26" width="13.54296875" customWidth="1"/>
  </cols>
  <sheetData>
    <row r="1" spans="1:26" ht="22.8" x14ac:dyDescent="0.4">
      <c r="A1" s="1" t="s">
        <v>133</v>
      </c>
      <c r="B1" s="1"/>
    </row>
    <row r="2" spans="1:26" x14ac:dyDescent="0.25">
      <c r="A2" t="s">
        <v>14</v>
      </c>
    </row>
    <row r="3" spans="1:26" x14ac:dyDescent="0.25">
      <c r="A3" s="26">
        <v>45505</v>
      </c>
    </row>
    <row r="4" spans="1:26" ht="48" customHeight="1" x14ac:dyDescent="0.25">
      <c r="A4" s="2" t="s">
        <v>15</v>
      </c>
      <c r="B4" s="2" t="s">
        <v>27</v>
      </c>
      <c r="C4" s="2" t="s">
        <v>16</v>
      </c>
      <c r="D4" s="2" t="s">
        <v>17</v>
      </c>
      <c r="E4" s="2" t="s">
        <v>28</v>
      </c>
      <c r="F4" s="2" t="s">
        <v>46</v>
      </c>
      <c r="G4" s="2" t="s">
        <v>50</v>
      </c>
      <c r="H4" s="2" t="s">
        <v>44</v>
      </c>
      <c r="I4" s="2" t="s">
        <v>51</v>
      </c>
      <c r="J4" s="2" t="s">
        <v>18</v>
      </c>
      <c r="K4" s="2" t="s">
        <v>19</v>
      </c>
      <c r="L4" s="2" t="s">
        <v>45</v>
      </c>
      <c r="M4" s="2" t="s">
        <v>52</v>
      </c>
      <c r="N4" s="2" t="s">
        <v>34</v>
      </c>
      <c r="O4" s="2" t="s">
        <v>29</v>
      </c>
      <c r="P4" s="2" t="s">
        <v>20</v>
      </c>
      <c r="Q4" s="2" t="s">
        <v>21</v>
      </c>
      <c r="R4" s="2" t="s">
        <v>47</v>
      </c>
      <c r="S4" s="2" t="s">
        <v>53</v>
      </c>
      <c r="T4" s="2" t="s">
        <v>48</v>
      </c>
      <c r="U4" s="2" t="s">
        <v>23</v>
      </c>
      <c r="V4" s="2" t="s">
        <v>43</v>
      </c>
      <c r="W4" s="2" t="s">
        <v>54</v>
      </c>
      <c r="X4" s="2" t="s">
        <v>24</v>
      </c>
      <c r="Y4" s="2" t="s">
        <v>25</v>
      </c>
      <c r="Z4" s="3" t="s">
        <v>130</v>
      </c>
    </row>
    <row r="5" spans="1:26" x14ac:dyDescent="0.25">
      <c r="A5" t="s">
        <v>2</v>
      </c>
      <c r="B5" s="4">
        <v>5</v>
      </c>
      <c r="C5" s="10">
        <v>21</v>
      </c>
      <c r="D5" s="4">
        <f>Table2[[#Totals],[American Sign Language Total]]</f>
        <v>0</v>
      </c>
      <c r="E5" s="4">
        <f>Table2[[#Totals],[Arabic Total]]</f>
        <v>0</v>
      </c>
      <c r="F5" s="4">
        <f>Table2[[#Totals],[Armenian Total]]</f>
        <v>0</v>
      </c>
      <c r="G5" s="4">
        <f>Table2[[#Totals],[Bengali Total]]</f>
        <v>0</v>
      </c>
      <c r="H5" s="4">
        <f>Table2[[#Totals],[Chinese Total]]</f>
        <v>775</v>
      </c>
      <c r="I5" s="4">
        <f>Table2[[#Totals],[Farsi (Persian) Total]]</f>
        <v>0</v>
      </c>
      <c r="J5" s="4">
        <f>Table2[[#Totals],[French Total]]</f>
        <v>0</v>
      </c>
      <c r="K5" s="4">
        <f>Table2[[#Totals],[German Total]]</f>
        <v>0</v>
      </c>
      <c r="L5" s="4">
        <f>Table2[[#Totals],[Hebrew Total]]</f>
        <v>0</v>
      </c>
      <c r="M5" s="4">
        <f>Table2[[#Totals],[Hindi Total]]</f>
        <v>0</v>
      </c>
      <c r="N5" s="4">
        <f>Table2[[#Totals],[Hmong Total]]</f>
        <v>0</v>
      </c>
      <c r="O5" s="4">
        <f>Table2[[#Totals],[Italian Total]]</f>
        <v>0</v>
      </c>
      <c r="P5" s="4">
        <f>Table2[[#Totals],[Japanese Total]]</f>
        <v>0</v>
      </c>
      <c r="Q5" s="4">
        <f>Table2[[#Totals],[Korean Total]]</f>
        <v>0</v>
      </c>
      <c r="R5" s="4">
        <f>Table2[[#Totals],[Portuguese Total]]</f>
        <v>0</v>
      </c>
      <c r="S5" s="4">
        <f>Table2[[#Totals],[Punjabi Total]]</f>
        <v>0</v>
      </c>
      <c r="T5" s="4">
        <f>Table2[[#Totals],[Russian Total]]</f>
        <v>0</v>
      </c>
      <c r="U5" s="4">
        <f>Table2[[#Totals],[Spanish Total]]</f>
        <v>929</v>
      </c>
      <c r="V5" s="4">
        <f>Table2[[#Totals],[Tagalog (Filipino) Total]]</f>
        <v>2</v>
      </c>
      <c r="W5" s="4">
        <f>Table2[[#Totals],[Urdu Total]]</f>
        <v>0</v>
      </c>
      <c r="X5" s="4">
        <f>Table2[[#Totals],[Vietnamese Total]]</f>
        <v>1</v>
      </c>
      <c r="Y5" s="4">
        <f>Table2[[#Totals],[Other Total]]</f>
        <v>2</v>
      </c>
      <c r="Z5" s="4">
        <f>SUM(Table30[[#This Row],[American Sign Language Total]:[Other Total]])</f>
        <v>1709</v>
      </c>
    </row>
    <row r="6" spans="1:26" x14ac:dyDescent="0.25">
      <c r="A6" t="s">
        <v>81</v>
      </c>
      <c r="B6" s="4">
        <v>3</v>
      </c>
      <c r="C6" s="24">
        <v>15</v>
      </c>
      <c r="D6" s="4">
        <f>'Contra Costa'!F6</f>
        <v>0</v>
      </c>
      <c r="E6" s="4">
        <f>'Contra Costa'!G6</f>
        <v>0</v>
      </c>
      <c r="F6" s="4">
        <f>'Contra Costa'!H6</f>
        <v>0</v>
      </c>
      <c r="G6" s="4">
        <f>'Contra Costa'!I6</f>
        <v>0</v>
      </c>
      <c r="H6" s="4">
        <f>'Contra Costa'!J6</f>
        <v>430</v>
      </c>
      <c r="I6" s="4">
        <f>'Contra Costa'!K6</f>
        <v>0</v>
      </c>
      <c r="J6" s="4">
        <f>'Contra Costa'!L6</f>
        <v>1</v>
      </c>
      <c r="K6" s="4">
        <f>'Contra Costa'!M6</f>
        <v>0</v>
      </c>
      <c r="L6" s="4">
        <f>'Contra Costa'!N6</f>
        <v>0</v>
      </c>
      <c r="M6" s="4">
        <f>'Contra Costa'!O6</f>
        <v>0</v>
      </c>
      <c r="N6" s="4">
        <f>'Contra Costa'!P6</f>
        <v>0</v>
      </c>
      <c r="O6" s="4">
        <f>'Contra Costa'!Q6</f>
        <v>0</v>
      </c>
      <c r="P6" s="4">
        <f>'Contra Costa'!R6</f>
        <v>0</v>
      </c>
      <c r="Q6" s="4">
        <f>'Contra Costa'!S6</f>
        <v>0</v>
      </c>
      <c r="R6" s="4">
        <f>'Contra Costa'!T6</f>
        <v>2</v>
      </c>
      <c r="S6" s="4">
        <f>'Contra Costa'!U6</f>
        <v>0</v>
      </c>
      <c r="T6" s="4">
        <f>'Contra Costa'!V6</f>
        <v>0</v>
      </c>
      <c r="U6" s="4">
        <f>'Contra Costa'!W6</f>
        <v>199</v>
      </c>
      <c r="V6" s="4">
        <f>'Contra Costa'!X6</f>
        <v>2</v>
      </c>
      <c r="W6" s="4">
        <f>'Contra Costa'!Y6</f>
        <v>0</v>
      </c>
      <c r="X6" s="4">
        <f>'Contra Costa'!Z6</f>
        <v>0</v>
      </c>
      <c r="Y6" s="4">
        <f>'Contra Costa'!AA6</f>
        <v>0</v>
      </c>
      <c r="Z6" s="5">
        <f>SUM(Table30[[#This Row],[American Sign Language Total]:[Other Total]])</f>
        <v>634</v>
      </c>
    </row>
    <row r="7" spans="1:26" x14ac:dyDescent="0.25">
      <c r="A7" t="s">
        <v>146</v>
      </c>
      <c r="B7" s="4">
        <v>1</v>
      </c>
      <c r="C7" s="24">
        <v>1</v>
      </c>
      <c r="D7" s="4">
        <f>Table2613[[#Totals],[American Sign Language Total]]</f>
        <v>0</v>
      </c>
      <c r="E7" s="4">
        <f>Table2613[[#Totals],[Arabic Total]]</f>
        <v>0</v>
      </c>
      <c r="F7" s="4">
        <f>Table2613[[#Totals],[Armenian Total]]</f>
        <v>0</v>
      </c>
      <c r="G7" s="4">
        <f>Table2613[[#Totals],[Bengali Total]]</f>
        <v>0</v>
      </c>
      <c r="H7" s="4">
        <f>Table2613[[#Totals],[Chinese Total]]</f>
        <v>0</v>
      </c>
      <c r="I7" s="4">
        <f>Table2613[[#Totals],[Farsi (Persian) Total]]</f>
        <v>0</v>
      </c>
      <c r="J7" s="4">
        <f>Table2613[[#Totals],[French Total]]</f>
        <v>0</v>
      </c>
      <c r="K7" s="4">
        <f>Table2613[[#Totals],[German Total]]</f>
        <v>0</v>
      </c>
      <c r="L7" s="4">
        <f>Table2613[[#Totals],[Hebrew Total]]</f>
        <v>0</v>
      </c>
      <c r="M7" s="4">
        <f>Table2613[[#Totals],[Hindi Total]]</f>
        <v>0</v>
      </c>
      <c r="N7" s="4">
        <f>Table2613[[#Totals],[Hmong Total]]</f>
        <v>0</v>
      </c>
      <c r="O7" s="4">
        <f>Table2613[[#Totals],[Italian Total]]</f>
        <v>0</v>
      </c>
      <c r="P7" s="4">
        <f>Table2613[[#Totals],[Japanese Total]]</f>
        <v>0</v>
      </c>
      <c r="Q7" s="4">
        <f>Table2613[[#Totals],[Korean Total]]</f>
        <v>0</v>
      </c>
      <c r="R7" s="4">
        <f>Table2613[[#Totals],[Portuguese Total]]</f>
        <v>0</v>
      </c>
      <c r="S7" s="4">
        <f>Table2613[[#Totals],[Punjabi Total]]</f>
        <v>0</v>
      </c>
      <c r="T7" s="4">
        <f>Table2613[[#Totals],[Russian Total]]</f>
        <v>0</v>
      </c>
      <c r="U7" s="4">
        <f>Table2613[[#Totals],[Spanish Total]]</f>
        <v>125</v>
      </c>
      <c r="V7" s="4">
        <f>Table2613[[#Totals],[Tagalog (Filipino) Total]]</f>
        <v>0</v>
      </c>
      <c r="W7" s="4">
        <f>'County Totals'!V34</f>
        <v>0</v>
      </c>
      <c r="X7" s="4">
        <f>Table2613[[#Totals],[Vietnamese Total]]</f>
        <v>0</v>
      </c>
      <c r="Y7" s="4">
        <f>Table2613[[#Totals],[Other Total]]</f>
        <v>0</v>
      </c>
      <c r="Z7" s="5">
        <f>SUM(Table30[[#This Row],[American Sign Language Total]:[Other Total]])</f>
        <v>125</v>
      </c>
    </row>
    <row r="8" spans="1:26" x14ac:dyDescent="0.25">
      <c r="A8" t="s">
        <v>86</v>
      </c>
      <c r="B8" s="4">
        <v>1</v>
      </c>
      <c r="C8" s="24">
        <v>1</v>
      </c>
      <c r="D8" s="4">
        <f>Glenn!F4</f>
        <v>0</v>
      </c>
      <c r="E8" s="4">
        <f>Glenn!G4</f>
        <v>0</v>
      </c>
      <c r="F8" s="4">
        <f>Glenn!H4</f>
        <v>0</v>
      </c>
      <c r="G8" s="4">
        <f>Glenn!I4</f>
        <v>0</v>
      </c>
      <c r="H8" s="4">
        <f>Glenn!J4</f>
        <v>0</v>
      </c>
      <c r="I8" s="4">
        <f>Glenn!K4</f>
        <v>0</v>
      </c>
      <c r="J8" s="4">
        <f>Glenn!L4</f>
        <v>0</v>
      </c>
      <c r="K8" s="4">
        <f>Glenn!M4</f>
        <v>0</v>
      </c>
      <c r="L8" s="4">
        <f>Glenn!N4</f>
        <v>0</v>
      </c>
      <c r="M8" s="4">
        <f>Glenn!O4</f>
        <v>0</v>
      </c>
      <c r="N8" s="4">
        <f>Glenn!P4</f>
        <v>0</v>
      </c>
      <c r="O8" s="4">
        <f>Glenn!Q4</f>
        <v>0</v>
      </c>
      <c r="P8" s="4">
        <f>Glenn!R4</f>
        <v>0</v>
      </c>
      <c r="Q8" s="4">
        <f>Glenn!S4</f>
        <v>0</v>
      </c>
      <c r="R8" s="4">
        <f>Glenn!T4</f>
        <v>0</v>
      </c>
      <c r="S8" s="4">
        <f>Glenn!U4</f>
        <v>0</v>
      </c>
      <c r="T8" s="4">
        <f>Glenn!V4</f>
        <v>0</v>
      </c>
      <c r="U8" s="4">
        <f>Glenn!W4</f>
        <v>59</v>
      </c>
      <c r="V8" s="4">
        <f>Glenn!X4</f>
        <v>0</v>
      </c>
      <c r="W8" s="4">
        <f>Glenn!Y4</f>
        <v>0</v>
      </c>
      <c r="X8" s="4">
        <f>Glenn!Z4</f>
        <v>0</v>
      </c>
      <c r="Y8" s="4">
        <f>Glenn!AA4</f>
        <v>0</v>
      </c>
      <c r="Z8" s="5">
        <f>SUM(Table30[[#This Row],[American Sign Language Total]:[Other Total]])</f>
        <v>59</v>
      </c>
    </row>
    <row r="9" spans="1:26" ht="16.5" customHeight="1" x14ac:dyDescent="0.25">
      <c r="A9" t="s">
        <v>7</v>
      </c>
      <c r="B9" s="4">
        <v>2</v>
      </c>
      <c r="C9" s="10">
        <v>4</v>
      </c>
      <c r="D9" s="4">
        <f>Kern[[#Totals],[American Sign Language Total]]</f>
        <v>0</v>
      </c>
      <c r="E9" s="4">
        <f>Kern[[#Totals],[Arabic Total]]</f>
        <v>0</v>
      </c>
      <c r="F9" s="4">
        <f>Kern[[#Totals],[Armenian Total]]</f>
        <v>0</v>
      </c>
      <c r="G9" s="4">
        <f>Kern[[#Totals],[Bengali Total]]</f>
        <v>0</v>
      </c>
      <c r="H9" s="4">
        <f>Kern[[#Totals],[Chinese Total]]</f>
        <v>0</v>
      </c>
      <c r="I9" s="4">
        <f>Kern[[#Totals],[Farsi (Persian) Total]]</f>
        <v>0</v>
      </c>
      <c r="J9" s="4">
        <f>Kern[[#Totals],[French Total]]</f>
        <v>0</v>
      </c>
      <c r="K9" s="4">
        <f>Kern[[#Totals],[German Total]]</f>
        <v>0</v>
      </c>
      <c r="L9" s="4">
        <f>Kern[[#Totals],[Hebrew Total]]</f>
        <v>0</v>
      </c>
      <c r="M9" s="4">
        <f>Kern[[#Totals],[Hindi Total]]</f>
        <v>0</v>
      </c>
      <c r="N9" s="4">
        <f>Kern[[#Totals],[Hmong Total]]</f>
        <v>0</v>
      </c>
      <c r="O9" s="4">
        <f>Kern[[#Totals],[Italian Total]]</f>
        <v>0</v>
      </c>
      <c r="P9" s="4">
        <f>Kern[[#Totals],[Japanese Total]]</f>
        <v>0</v>
      </c>
      <c r="Q9" s="4">
        <f>Kern[[#Totals],[Korean Total]]</f>
        <v>0</v>
      </c>
      <c r="R9" s="4">
        <f>Kern[[#Totals],[Portuguese Total]]</f>
        <v>0</v>
      </c>
      <c r="S9" s="4">
        <f>Kern[[#Totals],[Punjabi Total]]</f>
        <v>0</v>
      </c>
      <c r="T9" s="4">
        <f>Kern[[#Totals],[Russian Total]]</f>
        <v>0</v>
      </c>
      <c r="U9" s="4">
        <f>Kern[[#Totals],[Spanish Total]]</f>
        <v>798</v>
      </c>
      <c r="V9" s="4">
        <f>Kern[[#Totals],[Tagalog (Filipino) Total]]</f>
        <v>0</v>
      </c>
      <c r="W9" s="4">
        <f>Kern[[#Totals],[Urdu Total]]</f>
        <v>0</v>
      </c>
      <c r="X9" s="4">
        <f>Kern[[#Totals],[Vietnamese Total]]</f>
        <v>0</v>
      </c>
      <c r="Y9" s="4">
        <f>Kern[[#Totals],[Other Total]]</f>
        <v>0</v>
      </c>
      <c r="Z9" s="4">
        <f>SUM(Table30[[#This Row],[American Sign Language Total]:[Other Total]])</f>
        <v>798</v>
      </c>
    </row>
    <row r="10" spans="1:26" x14ac:dyDescent="0.25">
      <c r="A10" t="s">
        <v>1</v>
      </c>
      <c r="B10" s="4">
        <v>16</v>
      </c>
      <c r="C10" s="10">
        <v>29</v>
      </c>
      <c r="D10" s="4">
        <f>LosAngeles[[#Totals],[American Sign Language Total]]</f>
        <v>76</v>
      </c>
      <c r="E10" s="4">
        <f>LosAngeles[[#Totals],[Arabic Total]]</f>
        <v>87</v>
      </c>
      <c r="F10" s="4">
        <f>LosAngeles[[#Totals],[Armenian Total]]</f>
        <v>1237</v>
      </c>
      <c r="G10" s="4">
        <f>LosAngeles[[#Totals],[Bengali Total]]</f>
        <v>65</v>
      </c>
      <c r="H10" s="4">
        <f>LosAngeles[[#Totals],[Chinese Total]]</f>
        <v>1984</v>
      </c>
      <c r="I10" s="4">
        <f>LosAngeles[[#Totals],[Farsi (Persian) Total]]</f>
        <v>203</v>
      </c>
      <c r="J10" s="4">
        <f>LosAngeles[[#Totals],[French Total]]</f>
        <v>612</v>
      </c>
      <c r="K10" s="4">
        <f>LosAngeles[[#Totals],[German Total]]</f>
        <v>35</v>
      </c>
      <c r="L10" s="4">
        <f>LosAngeles[[#Totals],[Hebrew Total]]</f>
        <v>78</v>
      </c>
      <c r="M10" s="4">
        <f>LosAngeles[[#Totals],[Hindi Total]]</f>
        <v>47</v>
      </c>
      <c r="N10" s="4">
        <f>LosAngeles[[#Totals],[Hmong Total]]</f>
        <v>0</v>
      </c>
      <c r="O10" s="4">
        <f>LosAngeles[[#Totals],[Italian Total]]</f>
        <v>17</v>
      </c>
      <c r="P10" s="4">
        <f>LosAngeles[[#Totals],[Japanese Total]]</f>
        <v>282</v>
      </c>
      <c r="Q10" s="4">
        <f>LosAngeles[[#Totals],[Korean Total]]</f>
        <v>986</v>
      </c>
      <c r="R10" s="4">
        <f>LosAngeles[[#Totals],[Portuguese Total]]</f>
        <v>36</v>
      </c>
      <c r="S10" s="4">
        <f>LosAngeles[[#Totals],[Punjabi Total]]</f>
        <v>12</v>
      </c>
      <c r="T10" s="4">
        <f>LosAngeles[[#Totals],[Russian Total]]</f>
        <v>408</v>
      </c>
      <c r="U10" s="4">
        <f>LosAngeles[[#Totals],[Spanish Total]]</f>
        <v>37184</v>
      </c>
      <c r="V10" s="4">
        <f>LosAngeles[[#Totals],[Tagalog (Filipino) Total]]</f>
        <v>205</v>
      </c>
      <c r="W10" s="4">
        <f>LosAngeles[[#Totals],[Urdu Total]]</f>
        <v>26</v>
      </c>
      <c r="X10" s="4">
        <f>LosAngeles[[#Totals],[Vietnamese Total]]</f>
        <v>46</v>
      </c>
      <c r="Y10" s="4">
        <f>LosAngeles[[#Totals],[Other Total]]</f>
        <v>1883</v>
      </c>
      <c r="Z10" s="4">
        <f>SUM(Table30[[#This Row],[American Sign Language Total]:[Other Total]])</f>
        <v>45509</v>
      </c>
    </row>
    <row r="11" spans="1:26" x14ac:dyDescent="0.25">
      <c r="A11" t="s">
        <v>181</v>
      </c>
      <c r="B11" s="4">
        <v>2</v>
      </c>
      <c r="C11" s="10">
        <v>2</v>
      </c>
      <c r="D11" s="4">
        <f>Monterey[[#Totals],[American Sign Language Total]]</f>
        <v>0</v>
      </c>
      <c r="E11" s="4">
        <f>Monterey[[#Totals],[Arabic Total]]</f>
        <v>0</v>
      </c>
      <c r="F11" s="4">
        <f>Monterey[[#Totals],[Armenian Total]]</f>
        <v>0</v>
      </c>
      <c r="G11" s="4">
        <f>Monterey[[#Totals],[Bengali Total]]</f>
        <v>0</v>
      </c>
      <c r="H11" s="4">
        <f>Monterey[[#Totals],[Chinese Total]]</f>
        <v>0</v>
      </c>
      <c r="I11" s="4">
        <f>Monterey[[#Totals],[Farsi (Persian) Total]]</f>
        <v>0</v>
      </c>
      <c r="J11" s="4">
        <f>Monterey[[#Totals],[French Total]]</f>
        <v>0</v>
      </c>
      <c r="K11" s="4">
        <f>Monterey[[#Totals],[German Total]]</f>
        <v>0</v>
      </c>
      <c r="L11" s="4">
        <f>Monterey[[#Totals],[Hebrew Total]]</f>
        <v>0</v>
      </c>
      <c r="M11" s="4">
        <f>Monterey[[#Totals],[Hindi Total]]</f>
        <v>0</v>
      </c>
      <c r="N11" s="4">
        <f>Monterey[[#Totals],[Hmong Total]]</f>
        <v>0</v>
      </c>
      <c r="O11" s="4">
        <f>Monterey[[#Totals],[Italian Total]]</f>
        <v>0</v>
      </c>
      <c r="P11" s="4">
        <f>Monterey[[#Totals],[Japanese Total]]</f>
        <v>0</v>
      </c>
      <c r="Q11" s="4">
        <f>Monterey[[#Totals],[Korean Total]]</f>
        <v>0</v>
      </c>
      <c r="R11" s="4">
        <f>Monterey[[#Totals],[Portuguese Total]]</f>
        <v>0</v>
      </c>
      <c r="S11" s="4">
        <f>Monterey[[#Totals],[Punjabi Total]]</f>
        <v>0</v>
      </c>
      <c r="T11" s="4">
        <f>Monterey[[#Totals],[Russian Total]]</f>
        <v>0</v>
      </c>
      <c r="U11" s="4">
        <f>Monterey[[#Totals],[Spanish Total]]</f>
        <v>104</v>
      </c>
      <c r="V11" s="4">
        <f>Monterey[[#Totals],[Tagalog (Filipino) Total]]</f>
        <v>0</v>
      </c>
      <c r="W11" s="4">
        <f>Monterey[[#Totals],[Urdu Total]]</f>
        <v>0</v>
      </c>
      <c r="X11" s="4">
        <f>Monterey[[#Totals],[Vietnamese Total]]</f>
        <v>0</v>
      </c>
      <c r="Y11" s="4">
        <f>Monterey[[#Totals],[Other Total]]</f>
        <v>0</v>
      </c>
      <c r="Z11" s="4">
        <f>SUM(Table30[[#This Row],[American Sign Language Total]:[Other Total]])</f>
        <v>104</v>
      </c>
    </row>
    <row r="12" spans="1:26" x14ac:dyDescent="0.25">
      <c r="A12" t="s">
        <v>182</v>
      </c>
      <c r="B12" s="4">
        <v>1</v>
      </c>
      <c r="C12" s="24">
        <v>1</v>
      </c>
      <c r="D12" s="4">
        <f>Monterey14[[#Totals],[American Sign Language Total]]</f>
        <v>0</v>
      </c>
      <c r="E12" s="4">
        <f>Monterey14[[#Totals],[Arabic Total]]</f>
        <v>0</v>
      </c>
      <c r="F12" s="4">
        <f>Monterey14[[#Totals],[Armenian Total]]</f>
        <v>0</v>
      </c>
      <c r="G12" s="4">
        <f>Monterey14[[#Totals],[Bengali Total]]</f>
        <v>0</v>
      </c>
      <c r="H12" s="4">
        <f>Monterey14[[#Totals],[Chinese Total]]</f>
        <v>0</v>
      </c>
      <c r="I12" s="4">
        <f>Monterey14[[#Totals],[Farsi (Persian) Total]]</f>
        <v>0</v>
      </c>
      <c r="J12" s="4">
        <f>Monterey14[[#Totals],[French Total]]</f>
        <v>0</v>
      </c>
      <c r="K12" s="4">
        <f>Monterey14[[#Totals],[German Total]]</f>
        <v>0</v>
      </c>
      <c r="L12" s="4">
        <f>Monterey14[[#Totals],[Hebrew Total]]</f>
        <v>0</v>
      </c>
      <c r="M12" s="4">
        <f>Monterey14[[#Totals],[Hindi Total]]</f>
        <v>0</v>
      </c>
      <c r="N12" s="4">
        <f>Monterey14[[#Totals],[Hmong Total]]</f>
        <v>0</v>
      </c>
      <c r="O12" s="4">
        <f>Monterey14[[#Totals],[Italian Total]]</f>
        <v>0</v>
      </c>
      <c r="P12" s="4">
        <f>Monterey14[[#Totals],[Japanese Total]]</f>
        <v>0</v>
      </c>
      <c r="Q12" s="4">
        <f>Monterey14[[#Totals],[Korean Total]]</f>
        <v>0</v>
      </c>
      <c r="R12" s="4">
        <f>Monterey14[[#Totals],[Portuguese Total]]</f>
        <v>0</v>
      </c>
      <c r="S12" s="4">
        <f>Monterey14[[#Totals],[Punjabi Total]]</f>
        <v>0</v>
      </c>
      <c r="T12" s="4">
        <f>Monterey14[[#Totals],[Russian Total]]</f>
        <v>0</v>
      </c>
      <c r="U12" s="4">
        <f>Monterey14[[#Totals],[Spanish Total]]</f>
        <v>345</v>
      </c>
      <c r="V12" s="4">
        <f>Monterey14[[#Totals],[Tagalog (Filipino) Total]]</f>
        <v>0</v>
      </c>
      <c r="W12" s="4">
        <f>Monterey14[[#Totals],[Urdu Total]]</f>
        <v>0</v>
      </c>
      <c r="X12" s="4">
        <f>Monterey14[[#Totals],[Vietnamese Total]]</f>
        <v>0</v>
      </c>
      <c r="Y12" s="4">
        <f>Monterey14[[#Totals],[Other Total]]</f>
        <v>0</v>
      </c>
      <c r="Z12" s="5">
        <f>SUM(Table30[[#This Row],[American Sign Language Total]:[Other Total]])</f>
        <v>345</v>
      </c>
    </row>
    <row r="13" spans="1:26" x14ac:dyDescent="0.25">
      <c r="A13" t="s">
        <v>183</v>
      </c>
      <c r="B13" s="4">
        <v>1</v>
      </c>
      <c r="C13" s="24">
        <v>2</v>
      </c>
      <c r="D13" s="4">
        <f>Monterey1415[[#Totals],[American Sign Language Total]]</f>
        <v>0</v>
      </c>
      <c r="E13" s="4">
        <f>Monterey1415[[#Totals],[Arabic Total]]</f>
        <v>0</v>
      </c>
      <c r="F13" s="4">
        <f>Monterey1415[[#Totals],[Armenian Total]]</f>
        <v>0</v>
      </c>
      <c r="G13" s="4">
        <f>Monterey1415[[#Totals],[Bengali Total]]</f>
        <v>0</v>
      </c>
      <c r="H13" s="4">
        <f>Monterey1415[[#Totals],[Chinese Total]]</f>
        <v>0</v>
      </c>
      <c r="I13" s="4">
        <f>Monterey1415[[#Totals],[Farsi (Persian) Total]]</f>
        <v>0</v>
      </c>
      <c r="J13" s="4">
        <f>Monterey1415[[#Totals],[French Total]]</f>
        <v>0</v>
      </c>
      <c r="K13" s="4">
        <f>Monterey1415[[#Totals],[German Total]]</f>
        <v>0</v>
      </c>
      <c r="L13" s="4">
        <f>Monterey1415[[#Totals],[Hebrew Total]]</f>
        <v>0</v>
      </c>
      <c r="M13" s="4">
        <f>Monterey1415[[#Totals],[Hindi Total]]</f>
        <v>0</v>
      </c>
      <c r="N13" s="4">
        <f>Monterey1415[[#Totals],[Hmong Total]]</f>
        <v>0</v>
      </c>
      <c r="O13" s="4">
        <f>Monterey1415[[#Totals],[Italian Total]]</f>
        <v>0</v>
      </c>
      <c r="P13" s="4">
        <f>Monterey1415[[#Totals],[Japanese Total]]</f>
        <v>0</v>
      </c>
      <c r="Q13" s="4">
        <f>Monterey1415[[#Totals],[Korean Total]]</f>
        <v>0</v>
      </c>
      <c r="R13" s="4">
        <f>Monterey1415[[#Totals],[Portuguese Total]]</f>
        <v>0</v>
      </c>
      <c r="S13" s="4">
        <f>Monterey1415[[#Totals],[Punjabi Total]]</f>
        <v>0</v>
      </c>
      <c r="T13" s="4">
        <f>Monterey1415[[#Totals],[Russian Total]]</f>
        <v>0</v>
      </c>
      <c r="U13" s="4">
        <f>Monterey1415[[#Totals],[Spanish Total]]</f>
        <v>41</v>
      </c>
      <c r="V13" s="4">
        <f>Monterey1415[[#Totals],[Tagalog (Filipino) Total]]</f>
        <v>0</v>
      </c>
      <c r="W13" s="4">
        <f>Monterey1415[[#Totals],[Urdu Total]]</f>
        <v>0</v>
      </c>
      <c r="X13" s="4">
        <f>Monterey1415[[#Totals],[Vietnamese Total]]</f>
        <v>0</v>
      </c>
      <c r="Y13" s="4">
        <f>Monterey1415[[#Totals],[Other Total]]</f>
        <v>0</v>
      </c>
      <c r="Z13" s="5">
        <f>SUM(Table30[[#This Row],[American Sign Language Total]:[Other Total]])</f>
        <v>41</v>
      </c>
    </row>
    <row r="14" spans="1:26" x14ac:dyDescent="0.25">
      <c r="A14" t="s">
        <v>3</v>
      </c>
      <c r="B14" s="4">
        <v>8</v>
      </c>
      <c r="C14" s="10">
        <v>38</v>
      </c>
      <c r="D14" s="4">
        <f>Orange[[#Totals],[American Sign Language Total]]</f>
        <v>110</v>
      </c>
      <c r="E14" s="4">
        <f>Orange[[#Totals],[Arabic Total]]</f>
        <v>4</v>
      </c>
      <c r="F14" s="4">
        <f>Orange[[#Totals],[Armenian Total]]</f>
        <v>0</v>
      </c>
      <c r="G14" s="4">
        <f>Orange[[#Totals],[Bengali Total]]</f>
        <v>0</v>
      </c>
      <c r="H14" s="4">
        <f>Orange[[#Totals],[Chinese Total]]</f>
        <v>31</v>
      </c>
      <c r="I14" s="4">
        <f>Orange[[#Totals],[Farsi (Persian) Total]]</f>
        <v>0</v>
      </c>
      <c r="J14" s="4">
        <f>Orange[[#Totals],[French Total]]</f>
        <v>1</v>
      </c>
      <c r="K14" s="4">
        <f>Orange[[#Totals],[German Total]]</f>
        <v>0</v>
      </c>
      <c r="L14" s="4">
        <f>Orange[[#Totals],[Hebrew Total]]</f>
        <v>0</v>
      </c>
      <c r="M14" s="4">
        <f>Orange[[#Totals],[Hindi Total]]</f>
        <v>0</v>
      </c>
      <c r="N14" s="4">
        <f>Orange[[#Totals],[Hmong Total]]</f>
        <v>0</v>
      </c>
      <c r="O14" s="4">
        <f>Orange[[#Totals],[Italian Total]]</f>
        <v>0</v>
      </c>
      <c r="P14" s="4">
        <f>Orange[[#Totals],[Japanese Total]]</f>
        <v>1</v>
      </c>
      <c r="Q14" s="4">
        <f>Orange[[#Totals],[Korean Total]]</f>
        <v>21</v>
      </c>
      <c r="R14" s="4">
        <f>Orange[[#Totals],[Portuguese Total]]</f>
        <v>0</v>
      </c>
      <c r="S14" s="4">
        <f>Orange[[#Totals],[Punjabi Total]]</f>
        <v>0</v>
      </c>
      <c r="T14" s="4">
        <f>Orange[[#Totals],[Russian Total]]</f>
        <v>0</v>
      </c>
      <c r="U14" s="4">
        <f>Orange[[#Totals],[Spanish Total]]</f>
        <v>2346</v>
      </c>
      <c r="V14" s="4">
        <f>Orange[[#Totals],[Tagalog (Filipino) Total]]</f>
        <v>10</v>
      </c>
      <c r="W14" s="4">
        <f>Orange[[#Totals],[Urdu Total]]</f>
        <v>1</v>
      </c>
      <c r="X14" s="4">
        <f>Orange[[#Totals],[Vietnamese Total]]</f>
        <v>330</v>
      </c>
      <c r="Y14" s="4">
        <f>Orange[[#Totals],[Other Total]]</f>
        <v>5</v>
      </c>
      <c r="Z14" s="4">
        <f>SUM(Table30[[#This Row],[American Sign Language Total]:[Other Total]])</f>
        <v>2860</v>
      </c>
    </row>
    <row r="15" spans="1:26" x14ac:dyDescent="0.25">
      <c r="A15" t="s">
        <v>0</v>
      </c>
      <c r="B15" s="4">
        <v>6</v>
      </c>
      <c r="C15" s="10">
        <v>43</v>
      </c>
      <c r="D15" s="4">
        <f>Riverside[[#Totals],[American Sign Language Total]]</f>
        <v>1</v>
      </c>
      <c r="E15" s="4">
        <f>Riverside[[#Totals],[Arabic Total]]</f>
        <v>10</v>
      </c>
      <c r="F15" s="4">
        <f>Riverside[[#Totals],[Armenian Total]]</f>
        <v>0</v>
      </c>
      <c r="G15" s="4">
        <f>Riverside[[#Totals],[Bengali Total]]</f>
        <v>0</v>
      </c>
      <c r="H15" s="4">
        <f>Riverside[[#Totals],[Chinese Total]]</f>
        <v>152</v>
      </c>
      <c r="I15" s="4">
        <f>Riverside[[#Totals],[Farsi (Persian) Total]]</f>
        <v>0</v>
      </c>
      <c r="J15" s="4">
        <f>Riverside[[#Totals],[French Total]]</f>
        <v>0</v>
      </c>
      <c r="K15" s="4">
        <f>Riverside[[#Totals],[German Total]]</f>
        <v>0</v>
      </c>
      <c r="L15" s="4">
        <f>Riverside[[#Totals],[Hebrew Total]]</f>
        <v>1</v>
      </c>
      <c r="M15" s="4">
        <f>Riverside[[#Totals],[Hindi Total]]</f>
        <v>1</v>
      </c>
      <c r="N15" s="4">
        <f>Riverside[[#Totals],[Hmong Total]]</f>
        <v>1</v>
      </c>
      <c r="O15" s="4">
        <f>Riverside[[#Totals],[Italian Total]]</f>
        <v>0</v>
      </c>
      <c r="P15" s="4">
        <f>Riverside[[#Totals],[Japanese Total]]</f>
        <v>1</v>
      </c>
      <c r="Q15" s="4">
        <f>Riverside[[#Totals],[Korean Total]]</f>
        <v>0</v>
      </c>
      <c r="R15" s="4">
        <f>Riverside[[#Totals],[Portuguese Total]]</f>
        <v>1</v>
      </c>
      <c r="S15" s="4">
        <f>Riverside[[#Totals],[Punjabi Total]]</f>
        <v>0</v>
      </c>
      <c r="T15" s="4">
        <f>Riverside[[#Totals],[Russian Total]]</f>
        <v>2</v>
      </c>
      <c r="U15" s="4">
        <f>Riverside[[#Totals],[Spanish Total]]</f>
        <v>2494</v>
      </c>
      <c r="V15" s="4">
        <f>Riverside[[#Totals],[Tagalog (Filipino) Total]]</f>
        <v>7</v>
      </c>
      <c r="W15" s="4">
        <f>Riverside[[#Totals],[Urdu Total]]</f>
        <v>0</v>
      </c>
      <c r="X15" s="4">
        <f>Riverside[[#Totals],[Vietnamese Total]]</f>
        <v>1</v>
      </c>
      <c r="Y15" s="4">
        <f>Riverside[[#Totals],[Other Total]]</f>
        <v>5</v>
      </c>
      <c r="Z15" s="4">
        <f>SUM(Table30[[#This Row],[American Sign Language Total]:[Other Total]])</f>
        <v>2677</v>
      </c>
    </row>
    <row r="16" spans="1:26" x14ac:dyDescent="0.25">
      <c r="A16" t="s">
        <v>26</v>
      </c>
      <c r="B16" s="4">
        <v>5</v>
      </c>
      <c r="C16" s="10">
        <v>33</v>
      </c>
      <c r="D16" s="4">
        <f>Sacramento[[#Totals],[American Sign Language Total]]</f>
        <v>0</v>
      </c>
      <c r="E16" s="4">
        <f>Sacramento[[#Totals],[Arabic Total]]</f>
        <v>4</v>
      </c>
      <c r="F16" s="4">
        <f>Sacramento[[#Totals],[Armenian Total]]</f>
        <v>13</v>
      </c>
      <c r="G16" s="4">
        <f>Sacramento[[#Totals],[Bengali Total]]</f>
        <v>6</v>
      </c>
      <c r="H16" s="4">
        <f>Sacramento[[#Totals],[Chinese Total]]</f>
        <v>37</v>
      </c>
      <c r="I16" s="4">
        <f>Sacramento[[#Totals],[Farsi (Persian) Total]]</f>
        <v>20</v>
      </c>
      <c r="J16" s="4">
        <f>Sacramento[[#Totals],[French Total]]</f>
        <v>1</v>
      </c>
      <c r="K16" s="4">
        <f>Sacramento[[#Totals],[German Total]]</f>
        <v>1</v>
      </c>
      <c r="L16" s="4">
        <f>Sacramento[[#Totals],[Hebrew Total]]</f>
        <v>6</v>
      </c>
      <c r="M16" s="4">
        <f>Sacramento[[#Totals],[Hindi Total]]</f>
        <v>20</v>
      </c>
      <c r="N16" s="4">
        <f>Sacramento[[#Totals],[Hmong Total]]</f>
        <v>1</v>
      </c>
      <c r="O16" s="4">
        <f>Sacramento[[#Totals],[Italian Total]]</f>
        <v>2</v>
      </c>
      <c r="P16" s="4">
        <f>Sacramento[[#Totals],[Japanese Total]]</f>
        <v>5</v>
      </c>
      <c r="Q16" s="4">
        <f>Sacramento[[#Totals],[Korean Total]]</f>
        <v>16</v>
      </c>
      <c r="R16" s="4">
        <f>Sacramento[[#Totals],[Portuguese Total]]</f>
        <v>1</v>
      </c>
      <c r="S16" s="4">
        <f>Sacramento[[#Totals],[Punjabi Total]]</f>
        <v>10</v>
      </c>
      <c r="T16" s="4">
        <f>Sacramento[[#Totals],[Russian Total]]</f>
        <v>32</v>
      </c>
      <c r="U16" s="4">
        <f>Sacramento[[#Totals],[Spanish Total]]</f>
        <v>426</v>
      </c>
      <c r="V16" s="4">
        <f>Sacramento[[#Totals],[Tagalog (Filipino) Total]]</f>
        <v>9</v>
      </c>
      <c r="W16" s="4">
        <f>Sacramento[[#Totals],[Urdu Total]]</f>
        <v>4</v>
      </c>
      <c r="X16" s="4">
        <f>Sacramento[[#Totals],[Vietnamese Total]]</f>
        <v>3</v>
      </c>
      <c r="Y16" s="4">
        <f>Sacramento[[#Totals],[Other Total]]</f>
        <v>185</v>
      </c>
      <c r="Z16" s="4">
        <f>SUM(Table30[[#This Row],[American Sign Language Total]:[Other Total]])</f>
        <v>802</v>
      </c>
    </row>
    <row r="17" spans="1:26" x14ac:dyDescent="0.25">
      <c r="A17" t="s">
        <v>4</v>
      </c>
      <c r="B17" s="4">
        <v>4</v>
      </c>
      <c r="C17" s="10">
        <v>57</v>
      </c>
      <c r="D17" s="4">
        <f>SanBernardino[[#Totals],[American Sign Language Total]]</f>
        <v>2</v>
      </c>
      <c r="E17" s="4">
        <f>SanBernardino[[#Totals],[Arabic Total]]</f>
        <v>2</v>
      </c>
      <c r="F17" s="4">
        <f>SanBernardino[[#Totals],[Armenian Total]]</f>
        <v>0</v>
      </c>
      <c r="G17" s="4">
        <f>SanBernardino[[#Totals],[Bengali Total]]</f>
        <v>0</v>
      </c>
      <c r="H17" s="4">
        <f>SanBernardino[[#Totals],[Chinese Total]]</f>
        <v>11</v>
      </c>
      <c r="I17" s="4">
        <f>SanBernardino[[#Totals],[Farsi (Persian) Total]]</f>
        <v>0</v>
      </c>
      <c r="J17" s="4">
        <f>SanBernardino[[#Totals],[French Total]]</f>
        <v>0</v>
      </c>
      <c r="K17" s="4">
        <f>SanBernardino[[#Totals],[German Total]]</f>
        <v>0</v>
      </c>
      <c r="L17" s="4">
        <f>SanBernardino[[#Totals],[Hebrew Total]]</f>
        <v>0</v>
      </c>
      <c r="M17" s="4">
        <f>SanBernardino[[#Totals],[Hindi Total]]</f>
        <v>0</v>
      </c>
      <c r="N17" s="4">
        <f>SanBernardino[[#Totals],[Hmong Total]]</f>
        <v>0</v>
      </c>
      <c r="O17" s="4">
        <f>SanBernardino[[#Totals],[Italian Total]]</f>
        <v>0</v>
      </c>
      <c r="P17" s="4">
        <f>SanBernardino[[#Totals],[Japanese Total]]</f>
        <v>3</v>
      </c>
      <c r="Q17" s="4">
        <f>SanBernardino[[#Totals],[Korean Total]]</f>
        <v>1</v>
      </c>
      <c r="R17" s="4">
        <f>SanBernardino[[#Totals],[Portuguese Total]]</f>
        <v>0</v>
      </c>
      <c r="S17" s="4">
        <f>SanBernardino[[#Totals],[Punjabi Total]]</f>
        <v>1</v>
      </c>
      <c r="T17" s="4">
        <f>SanBernardino[[#Totals],[Russian Total]]</f>
        <v>0</v>
      </c>
      <c r="U17" s="4">
        <f>SanBernardino[[#Totals],[Spanish Total]]</f>
        <v>731</v>
      </c>
      <c r="V17" s="4">
        <f>SanBernardino[[#Totals],[Tagalog (Filipino) Total]]</f>
        <v>403</v>
      </c>
      <c r="W17" s="4">
        <f>SanBernardino[[#Totals],[Urdu Total]]</f>
        <v>0</v>
      </c>
      <c r="X17" s="4">
        <f>SanBernardino[[#Totals],[Vietnamese Total]]</f>
        <v>4</v>
      </c>
      <c r="Y17" s="4">
        <f>SanBernardino[[#Totals],[Other Total]]</f>
        <v>3</v>
      </c>
      <c r="Z17" s="4">
        <f>SUM(Table30[[#This Row],[American Sign Language Total]:[Other Total]])</f>
        <v>1161</v>
      </c>
    </row>
    <row r="18" spans="1:26" x14ac:dyDescent="0.25">
      <c r="A18" t="s">
        <v>6</v>
      </c>
      <c r="B18" s="4">
        <v>10</v>
      </c>
      <c r="C18" s="10">
        <v>64</v>
      </c>
      <c r="D18" s="4">
        <f>SanDiego[[#Totals],[American Sign Language Total]]</f>
        <v>5</v>
      </c>
      <c r="E18" s="4">
        <f>SanDiego[[#Totals],[Arabic Total]]</f>
        <v>39</v>
      </c>
      <c r="F18" s="4">
        <f>SanDiego[[#Totals],[Armenian Total]]</f>
        <v>0</v>
      </c>
      <c r="G18" s="4">
        <f>SanDiego[[#Totals],[Bengali Total]]</f>
        <v>1</v>
      </c>
      <c r="H18" s="4">
        <f>SanDiego[[#Totals],[Chinese Total]]</f>
        <v>144</v>
      </c>
      <c r="I18" s="4">
        <f>SanDiego[[#Totals],[Farsi (Persian) Total]]</f>
        <v>3</v>
      </c>
      <c r="J18" s="4">
        <f>SanDiego[[#Totals],[French Total]]</f>
        <v>107</v>
      </c>
      <c r="K18" s="4">
        <f>SanDiego[[#Totals],[German Total]]</f>
        <v>3</v>
      </c>
      <c r="L18" s="4">
        <f>SanDiego[[#Totals],[Hebrew Total]]</f>
        <v>0</v>
      </c>
      <c r="M18" s="4">
        <f>SanDiego[[#Totals],[Hindi Total]]</f>
        <v>0</v>
      </c>
      <c r="N18" s="4">
        <f>SanDiego[[#Totals],[Hmong Total]]</f>
        <v>0</v>
      </c>
      <c r="O18" s="4">
        <f>SanDiego[[#Totals],[Italian Total]]</f>
        <v>2</v>
      </c>
      <c r="P18" s="4">
        <f>SanDiego[[#Totals],[Japanese Total]]</f>
        <v>1</v>
      </c>
      <c r="Q18" s="4">
        <f>SanDiego[[#Totals],[Korean Total]]</f>
        <v>6</v>
      </c>
      <c r="R18" s="4">
        <f>SanDiego[[#Totals],[Portuguese Total]]</f>
        <v>1</v>
      </c>
      <c r="S18" s="4">
        <f>SanDiego[[#Totals],[Punjabi Total]]</f>
        <v>0</v>
      </c>
      <c r="T18" s="4">
        <f>SanDiego[[#Totals],[Russian Total]]</f>
        <v>3</v>
      </c>
      <c r="U18" s="4">
        <f>SanDiego[[#Totals],[Spanish Total]]</f>
        <v>3908</v>
      </c>
      <c r="V18" s="4">
        <f>SanDiego[[#Totals],[Tagalog (Filipino) Total]]</f>
        <v>0</v>
      </c>
      <c r="W18" s="4">
        <f>SanDiego[[#Totals],[Urdu Total]]</f>
        <v>0</v>
      </c>
      <c r="X18" s="4">
        <f>SanDiego[[#Totals],[Vietnamese Total]]</f>
        <v>8</v>
      </c>
      <c r="Y18" s="4">
        <f>SanDiego[[#Totals],[Other Total]]</f>
        <v>12</v>
      </c>
      <c r="Z18" s="4">
        <f>SUM(Table30[[#This Row],[American Sign Language Total]:[Other Total]])</f>
        <v>4243</v>
      </c>
    </row>
    <row r="19" spans="1:26" x14ac:dyDescent="0.25">
      <c r="A19" t="s">
        <v>253</v>
      </c>
      <c r="B19" s="4">
        <v>1</v>
      </c>
      <c r="C19" s="10">
        <v>38</v>
      </c>
      <c r="D19" s="4">
        <f>SanBernardino917[[#Totals],[American Sign Language Total]]</f>
        <v>0</v>
      </c>
      <c r="E19" s="4">
        <f>SanBernardino917[[#Totals],[Arabic Total]]</f>
        <v>33</v>
      </c>
      <c r="F19" s="4">
        <f>SanBernardino917[[#Totals],[Armenian Total]]</f>
        <v>0</v>
      </c>
      <c r="G19" s="4">
        <f>SanBernardino917[[#Totals],[Bengali Total]]</f>
        <v>0</v>
      </c>
      <c r="H19" s="4">
        <f>SanBernardino917[[#Totals],[Chinese Total]]</f>
        <v>415</v>
      </c>
      <c r="I19" s="4">
        <f>SanBernardino917[[#Totals],[Farsi (Persian) Total]]</f>
        <v>0</v>
      </c>
      <c r="J19" s="4">
        <f>SanBernardino917[[#Totals],[French Total]]</f>
        <v>0</v>
      </c>
      <c r="K19" s="4">
        <f>SanBernardino917[[#Totals],[German Total]]</f>
        <v>0</v>
      </c>
      <c r="L19" s="4">
        <f>SanBernardino917[[#Totals],[Hebrew Total]]</f>
        <v>0</v>
      </c>
      <c r="M19" s="4">
        <f>SanBernardino917[[#Totals],[Hindi Total]]</f>
        <v>0</v>
      </c>
      <c r="N19" s="4">
        <f>SanBernardino917[[#Totals],[Hmong Total]]</f>
        <v>0</v>
      </c>
      <c r="O19" s="4">
        <f>SanBernardino917[[#Totals],[Italian Total]]</f>
        <v>0</v>
      </c>
      <c r="P19" s="4">
        <f>SanBernardino917[[#Totals],[Japanese Total]]</f>
        <v>61</v>
      </c>
      <c r="Q19" s="4">
        <f>SanBernardino917[[#Totals],[Portuguese Total]]</f>
        <v>0</v>
      </c>
      <c r="R19" s="4">
        <f>SanBernardino917[[#Totals],[Portuguese Total]]</f>
        <v>0</v>
      </c>
      <c r="S19" s="4">
        <f>SanBernardino917[[#Totals],[Punjabi Total]]</f>
        <v>0</v>
      </c>
      <c r="T19" s="4">
        <f>SanBernardino917[[#Totals],[Russian Total]]</f>
        <v>0</v>
      </c>
      <c r="U19" s="4">
        <f>SanBernardino917[[#Totals],[Spanish Total]]</f>
        <v>613</v>
      </c>
      <c r="V19" s="4">
        <f>SanBernardino917[[#Totals],[Tagalog (Filipino) Total]]</f>
        <v>32</v>
      </c>
      <c r="W19" s="4">
        <f>SanBernardino917[[#Totals],[Urdu Total]]</f>
        <v>0</v>
      </c>
      <c r="X19" s="4">
        <f>SanBernardino917[[#Totals],[Vietnamese Total]]</f>
        <v>47</v>
      </c>
      <c r="Y19" s="4">
        <f>SanBernardino917[[#Totals],[Other Total]]</f>
        <v>0</v>
      </c>
      <c r="Z19" s="4">
        <f>SUM(Table30[[#This Row],[American Sign Language Total]:[Other Total]])</f>
        <v>1201</v>
      </c>
    </row>
    <row r="20" spans="1:26" x14ac:dyDescent="0.25">
      <c r="A20" t="s">
        <v>107</v>
      </c>
      <c r="B20" s="4">
        <v>1</v>
      </c>
      <c r="C20" s="10">
        <v>1</v>
      </c>
      <c r="D20" s="4">
        <f>'San Joaquin'!F4</f>
        <v>0</v>
      </c>
      <c r="E20" s="4">
        <f>'San Joaquin'!G4</f>
        <v>0</v>
      </c>
      <c r="F20" s="4">
        <f>'San Joaquin'!H4</f>
        <v>0</v>
      </c>
      <c r="G20" s="4">
        <f>'San Joaquin'!I4</f>
        <v>0</v>
      </c>
      <c r="H20" s="4">
        <f>'San Joaquin'!J4</f>
        <v>0</v>
      </c>
      <c r="I20" s="4">
        <f>'San Joaquin'!K4</f>
        <v>0</v>
      </c>
      <c r="J20" s="4">
        <f>'San Joaquin'!L4</f>
        <v>0</v>
      </c>
      <c r="K20" s="4">
        <f>'San Joaquin'!M4</f>
        <v>0</v>
      </c>
      <c r="L20" s="4">
        <f>'San Joaquin'!N4</f>
        <v>0</v>
      </c>
      <c r="M20" s="4">
        <f>'San Joaquin'!O4</f>
        <v>0</v>
      </c>
      <c r="N20" s="4">
        <f>'San Joaquin'!P4</f>
        <v>0</v>
      </c>
      <c r="O20" s="4">
        <f>'San Joaquin'!Q4</f>
        <v>0</v>
      </c>
      <c r="P20" s="4">
        <f>'San Joaquin'!R4</f>
        <v>0</v>
      </c>
      <c r="Q20" s="4">
        <f>'San Joaquin'!S4</f>
        <v>0</v>
      </c>
      <c r="R20" s="4">
        <f>'San Joaquin'!T4</f>
        <v>0</v>
      </c>
      <c r="S20" s="4">
        <f>'San Joaquin'!U4</f>
        <v>0</v>
      </c>
      <c r="T20" s="4">
        <f>'San Joaquin'!V4</f>
        <v>0</v>
      </c>
      <c r="U20" s="4">
        <f>'San Joaquin'!W4</f>
        <v>157</v>
      </c>
      <c r="V20" s="4">
        <f>'San Joaquin'!X4</f>
        <v>0</v>
      </c>
      <c r="W20" s="4">
        <f>'San Joaquin'!Y4</f>
        <v>0</v>
      </c>
      <c r="X20" s="4">
        <f>'San Joaquin'!Z4</f>
        <v>0</v>
      </c>
      <c r="Y20" s="4">
        <f>'San Joaquin'!AA4</f>
        <v>0</v>
      </c>
      <c r="Z20" s="4">
        <f>SUM(Table30[[#This Row],[American Sign Language Total]:[Other Total]])</f>
        <v>157</v>
      </c>
    </row>
    <row r="21" spans="1:26" x14ac:dyDescent="0.25">
      <c r="A21" t="s">
        <v>259</v>
      </c>
      <c r="B21" s="4">
        <v>1</v>
      </c>
      <c r="C21" s="24">
        <v>1</v>
      </c>
      <c r="D21" s="4">
        <f>SanJoaquin18[[#Totals],[American Sign Language Total]]</f>
        <v>0</v>
      </c>
      <c r="E21" s="4">
        <f>SanJoaquin18[[#Totals],[Arabic Total]]</f>
        <v>0</v>
      </c>
      <c r="F21" s="4">
        <f>SanJoaquin18[[#Totals],[Armenian Total]]</f>
        <v>0</v>
      </c>
      <c r="G21" s="4">
        <f>SanJoaquin18[[#Totals],[Bengali Total]]</f>
        <v>0</v>
      </c>
      <c r="H21" s="4">
        <f>SanJoaquin18[[#Totals],[Chinese Total]]</f>
        <v>0</v>
      </c>
      <c r="I21" s="4">
        <f>SanJoaquin18[[#Totals],[Farsi (Persian) Total]]</f>
        <v>0</v>
      </c>
      <c r="J21" s="4">
        <f>SanJoaquin18[[#Totals],[French Total]]</f>
        <v>0</v>
      </c>
      <c r="K21" s="4">
        <f>SanJoaquin18[[#Totals],[German Total]]</f>
        <v>0</v>
      </c>
      <c r="L21" s="4">
        <f>SanJoaquin18[[#Totals],[Hebrew Total]]</f>
        <v>0</v>
      </c>
      <c r="M21" s="4">
        <f>SanJoaquin18[[#Totals],[Hindi Total]]</f>
        <v>0</v>
      </c>
      <c r="N21" s="4">
        <f>SanJoaquin18[[#Totals],[Hmong Total]]</f>
        <v>0</v>
      </c>
      <c r="O21" s="4">
        <f>SanJoaquin18[[#Totals],[Italian Total]]</f>
        <v>0</v>
      </c>
      <c r="P21" s="4">
        <f>SanJoaquin18[[#Totals],[Japanese Total]]</f>
        <v>0</v>
      </c>
      <c r="Q21" s="4">
        <f>SanJoaquin18[[#Totals],[Korean Total]]</f>
        <v>0</v>
      </c>
      <c r="R21" s="4">
        <f>SanJoaquin18[[#Totals],[Portuguese Total]]</f>
        <v>0</v>
      </c>
      <c r="S21" s="4">
        <f>SanJoaquin18[[#Totals],[Punjabi Total]]</f>
        <v>0</v>
      </c>
      <c r="T21" s="4">
        <f>SanJoaquin18[[#Totals],[Russian Total]]</f>
        <v>0</v>
      </c>
      <c r="U21" s="4">
        <f>SanJoaquin18[[#Totals],[Spanish Total]]</f>
        <v>30</v>
      </c>
      <c r="V21" s="4">
        <f>SanJoaquin18[[#Totals],[Tagalog (Filipino) Total]]</f>
        <v>0</v>
      </c>
      <c r="W21" s="4">
        <f>SanJoaquin18[[#Totals],[Urdu Total]]</f>
        <v>0</v>
      </c>
      <c r="X21" s="4">
        <f>SanJoaquin18[[#Totals],[Vietnamese Total]]</f>
        <v>0</v>
      </c>
      <c r="Y21" s="4">
        <f>SanJoaquin18[[#Totals],[Other Total]]</f>
        <v>0</v>
      </c>
      <c r="Z21" s="4">
        <f>SUM(Table30[[#This Row],[American Sign Language Total]:[Other Total]])</f>
        <v>30</v>
      </c>
    </row>
    <row r="22" spans="1:26" x14ac:dyDescent="0.25">
      <c r="A22" t="s">
        <v>111</v>
      </c>
      <c r="B22" s="4">
        <v>4</v>
      </c>
      <c r="C22" s="10">
        <v>15</v>
      </c>
      <c r="D22" s="4">
        <f>'San Mateo'!F7</f>
        <v>0</v>
      </c>
      <c r="E22" s="4">
        <f>'San Mateo'!G7</f>
        <v>0</v>
      </c>
      <c r="F22" s="4">
        <f>'San Mateo'!H7</f>
        <v>0</v>
      </c>
      <c r="G22" s="4">
        <f>'San Mateo'!I7</f>
        <v>0</v>
      </c>
      <c r="H22" s="4">
        <f>'San Mateo'!J7</f>
        <v>97</v>
      </c>
      <c r="I22" s="4">
        <f>'San Mateo'!K7</f>
        <v>0</v>
      </c>
      <c r="J22" s="4">
        <f>'San Mateo'!L7</f>
        <v>0</v>
      </c>
      <c r="K22" s="4">
        <f>'San Mateo'!M7</f>
        <v>0</v>
      </c>
      <c r="L22" s="4">
        <f>'San Mateo'!N7</f>
        <v>0</v>
      </c>
      <c r="M22" s="4">
        <f>'San Mateo'!O7</f>
        <v>1</v>
      </c>
      <c r="N22" s="4">
        <f>'San Mateo'!P7</f>
        <v>0</v>
      </c>
      <c r="O22" s="4">
        <f>'San Mateo'!Q7</f>
        <v>0</v>
      </c>
      <c r="P22" s="4">
        <f>'San Mateo'!R7</f>
        <v>0</v>
      </c>
      <c r="Q22" s="4">
        <f>'San Mateo'!S7</f>
        <v>0</v>
      </c>
      <c r="R22" s="4">
        <f>'San Mateo'!T7</f>
        <v>0</v>
      </c>
      <c r="S22" s="4">
        <f>'San Mateo'!U7</f>
        <v>0</v>
      </c>
      <c r="T22" s="4">
        <f>'San Mateo'!V7</f>
        <v>0</v>
      </c>
      <c r="U22" s="4">
        <f>'San Mateo'!W7</f>
        <v>250</v>
      </c>
      <c r="V22" s="4">
        <f>'San Mateo'!X7</f>
        <v>1</v>
      </c>
      <c r="W22" s="4">
        <f>'San Mateo'!Y7</f>
        <v>0</v>
      </c>
      <c r="X22" s="4">
        <f>'San Mateo'!Z7</f>
        <v>0</v>
      </c>
      <c r="Y22" s="4">
        <f>'San Mateo'!AA7</f>
        <v>5</v>
      </c>
      <c r="Z22" s="4">
        <f>SUM(Table30[[#This Row],[American Sign Language Total]:[Other Total]])</f>
        <v>354</v>
      </c>
    </row>
    <row r="23" spans="1:26" x14ac:dyDescent="0.25">
      <c r="A23" t="s">
        <v>10</v>
      </c>
      <c r="B23" s="4">
        <v>2</v>
      </c>
      <c r="C23" s="10">
        <v>3</v>
      </c>
      <c r="D23" s="4">
        <f>SantaBarbara[[#Totals],[American Sign Language Total]]</f>
        <v>0</v>
      </c>
      <c r="E23" s="4">
        <f>SantaBarbara[[#Totals],[Arabic Total]]</f>
        <v>0</v>
      </c>
      <c r="F23" s="4">
        <f>SantaBarbara[[#Totals],[Armenian Total]]</f>
        <v>0</v>
      </c>
      <c r="G23" s="4">
        <f>SantaBarbara[[#Totals],[Bengali Total]]</f>
        <v>0</v>
      </c>
      <c r="H23" s="4">
        <f>SantaBarbara[[#Totals],[Chinese Total]]</f>
        <v>0</v>
      </c>
      <c r="I23" s="4">
        <f>SantaBarbara[[#Totals],[Farsi (Persian) Total]]</f>
        <v>0</v>
      </c>
      <c r="J23" s="4">
        <f>SantaBarbara[[#Totals],[French Total]]</f>
        <v>0</v>
      </c>
      <c r="K23" s="4">
        <f>SantaBarbara[[#Totals],[German Total]]</f>
        <v>0</v>
      </c>
      <c r="L23" s="4">
        <f>SantaBarbara[[#Totals],[Hebrew Total]]</f>
        <v>0</v>
      </c>
      <c r="M23" s="4">
        <f>SantaBarbara[[#Totals],[Hindi Total]]</f>
        <v>0</v>
      </c>
      <c r="N23" s="4">
        <f>SantaBarbara[[#Totals],[Hmong Total]]</f>
        <v>0</v>
      </c>
      <c r="O23" s="4">
        <f>SantaBarbara[[#Totals],[Italian Total]]</f>
        <v>0</v>
      </c>
      <c r="P23" s="4">
        <f>SantaBarbara[[#Totals],[Japanese Total]]</f>
        <v>0</v>
      </c>
      <c r="Q23" s="4">
        <f>SantaBarbara[[#Totals],[Korean Total]]</f>
        <v>0</v>
      </c>
      <c r="R23" s="4">
        <f>SantaBarbara[[#Totals],[Portuguese Total]]</f>
        <v>0</v>
      </c>
      <c r="S23" s="4">
        <f>SantaBarbara[[#Totals],[Punjabi Total]]</f>
        <v>0</v>
      </c>
      <c r="T23" s="4">
        <f>SantaBarbara[[#Totals],[Russian Total]]</f>
        <v>0</v>
      </c>
      <c r="U23" s="4">
        <f>SantaBarbara[[#Totals],[Spanish Total]]</f>
        <v>339</v>
      </c>
      <c r="V23" s="4">
        <f>SantaBarbara[[#Totals],[Tagalog (Filipino) Total]]</f>
        <v>0</v>
      </c>
      <c r="W23" s="4">
        <f>SantaBarbara[[#Totals],[Urdu Total]]</f>
        <v>0</v>
      </c>
      <c r="X23" s="4">
        <f>SantaBarbara[[#Totals],[Vietnamese Total]]</f>
        <v>0</v>
      </c>
      <c r="Y23" s="4">
        <f>SantaBarbara[[#Totals],[Other Total]]</f>
        <v>0</v>
      </c>
      <c r="Z23" s="4">
        <f>SUM(Table30[[#This Row],[American Sign Language Total]:[Other Total]])</f>
        <v>339</v>
      </c>
    </row>
    <row r="24" spans="1:26" x14ac:dyDescent="0.25">
      <c r="A24" t="s">
        <v>9</v>
      </c>
      <c r="B24" s="4">
        <v>10</v>
      </c>
      <c r="C24" s="10">
        <v>21</v>
      </c>
      <c r="D24" s="4">
        <f>SantaClara[[#Totals],[American Sign Language Total]]</f>
        <v>1</v>
      </c>
      <c r="E24" s="4">
        <f>SantaClara[[#Totals],[Arabic Total]]</f>
        <v>0</v>
      </c>
      <c r="F24" s="4">
        <f>SantaClara[[#Totals],[Armenian Total]]</f>
        <v>0</v>
      </c>
      <c r="G24" s="4">
        <f>SantaClara[[#Totals],[Bengali Total]]</f>
        <v>0</v>
      </c>
      <c r="H24" s="4">
        <f>SantaClara[[#Totals],[Chinese Total]]</f>
        <v>149</v>
      </c>
      <c r="I24" s="4">
        <f>SantaClara[[#Totals],[Farsi (Persian) Total]]</f>
        <v>0</v>
      </c>
      <c r="J24" s="4">
        <f>SantaClara[[#Totals],[French Total]]</f>
        <v>1</v>
      </c>
      <c r="K24" s="4">
        <f>SantaClara[[#Totals],[German Total]]</f>
        <v>0</v>
      </c>
      <c r="L24" s="4">
        <f>SantaClara[[#Totals],[Hebrew Total]]</f>
        <v>0</v>
      </c>
      <c r="M24" s="4">
        <f>SantaClara[[#Totals],[Hindi Total]]</f>
        <v>0</v>
      </c>
      <c r="N24" s="4">
        <f>SantaClara[[#Totals],[Hmong Total]]</f>
        <v>0</v>
      </c>
      <c r="O24" s="4">
        <f>SantaClara[[#Totals],[Italian Total]]</f>
        <v>0</v>
      </c>
      <c r="P24" s="4">
        <f>SantaClara[[#Totals],[Japanese Total]]</f>
        <v>2</v>
      </c>
      <c r="Q24" s="4">
        <f>SantaClara[[#Totals],[Korean Total]]</f>
        <v>0</v>
      </c>
      <c r="R24" s="4">
        <f>SantaClara[[#Totals],[Portuguese Total]]</f>
        <v>0</v>
      </c>
      <c r="S24" s="4">
        <f>SantaClara[[#Totals],[Punjabi Total]]</f>
        <v>10</v>
      </c>
      <c r="T24" s="4">
        <f>SantaClara[[#Totals],[Russian Total]]</f>
        <v>2</v>
      </c>
      <c r="U24" s="4">
        <f>SantaClara[[#Totals],[Spanish Total]]</f>
        <v>1540</v>
      </c>
      <c r="V24" s="4">
        <f>SantaClara[[#Totals],[Tagalog (Filipino) Total]]</f>
        <v>6</v>
      </c>
      <c r="W24" s="4">
        <f>SantaClara[[#Totals],[Urdu Total]]</f>
        <v>2</v>
      </c>
      <c r="X24" s="4">
        <f>SantaClara[[#Totals],[Vietnamese Total]]</f>
        <v>159</v>
      </c>
      <c r="Y24" s="4">
        <f>SantaClara[[#Totals],[Other Total]]</f>
        <v>8</v>
      </c>
      <c r="Z24" s="4">
        <f>SUM(Table30[[#This Row],[American Sign Language Total]:[Other Total]])</f>
        <v>1880</v>
      </c>
    </row>
    <row r="25" spans="1:26" x14ac:dyDescent="0.25">
      <c r="A25" t="s">
        <v>116</v>
      </c>
      <c r="B25" s="4">
        <v>1</v>
      </c>
      <c r="C25" s="10">
        <v>1</v>
      </c>
      <c r="D25" s="4">
        <f>Shasta!F4</f>
        <v>0</v>
      </c>
      <c r="E25" s="4">
        <f>Shasta!G4</f>
        <v>0</v>
      </c>
      <c r="F25" s="4">
        <f>Shasta!H4</f>
        <v>0</v>
      </c>
      <c r="G25" s="4">
        <f>Shasta!I4</f>
        <v>0</v>
      </c>
      <c r="H25" s="4">
        <f>Shasta!J4</f>
        <v>0</v>
      </c>
      <c r="I25" s="4">
        <f>Shasta!K4</f>
        <v>0</v>
      </c>
      <c r="J25" s="4">
        <f>Shasta!L4</f>
        <v>18</v>
      </c>
      <c r="K25" s="4">
        <f>Shasta!M4</f>
        <v>0</v>
      </c>
      <c r="L25" s="4">
        <f>Shasta!N4</f>
        <v>0</v>
      </c>
      <c r="M25" s="4">
        <f>Shasta!O4</f>
        <v>0</v>
      </c>
      <c r="N25" s="4">
        <f>Shasta!P4</f>
        <v>0</v>
      </c>
      <c r="O25" s="4">
        <f>Shasta!Q4</f>
        <v>0</v>
      </c>
      <c r="P25" s="4">
        <f>Shasta!R4</f>
        <v>0</v>
      </c>
      <c r="Q25" s="4">
        <f>Shasta!S4</f>
        <v>18</v>
      </c>
      <c r="R25" s="4">
        <f>Shasta!T4</f>
        <v>0</v>
      </c>
      <c r="S25" s="4">
        <f>Shasta!U4</f>
        <v>0</v>
      </c>
      <c r="T25" s="4">
        <f>Shasta!V4</f>
        <v>0</v>
      </c>
      <c r="U25" s="4">
        <f>Shasta!W4</f>
        <v>362</v>
      </c>
      <c r="V25" s="4">
        <f>Shasta!X4</f>
        <v>0</v>
      </c>
      <c r="W25" s="4">
        <f>Shasta!Y4</f>
        <v>0</v>
      </c>
      <c r="X25" s="4">
        <f>Shasta!Z4</f>
        <v>0</v>
      </c>
      <c r="Y25" s="4">
        <f>Shasta!AA4</f>
        <v>0</v>
      </c>
      <c r="Z25" s="4">
        <f>SUM(Table30[[#This Row],[American Sign Language Total]:[Other Total]])</f>
        <v>398</v>
      </c>
    </row>
    <row r="26" spans="1:26" x14ac:dyDescent="0.25">
      <c r="A26" t="s">
        <v>300</v>
      </c>
      <c r="B26" s="4">
        <v>1</v>
      </c>
      <c r="C26" s="24">
        <v>1</v>
      </c>
      <c r="D26" s="4">
        <f>SanBernardino910111219[[#Totals],[American Sign Language Total]]</f>
        <v>0</v>
      </c>
      <c r="E26" s="4">
        <f>SanBernardino910111219[[#Totals],[Arabic Total]]</f>
        <v>0</v>
      </c>
      <c r="F26" s="4">
        <f>SanBernardino910111219[[#Totals],[Armenian Total]]</f>
        <v>0</v>
      </c>
      <c r="G26" s="4">
        <f>SanBernardino910111219[[#Totals],[Bengali Total]]</f>
        <v>0</v>
      </c>
      <c r="H26" s="4">
        <f>SanBernardino910111219[[#Totals],[Chinese Total]]</f>
        <v>0</v>
      </c>
      <c r="I26" s="4">
        <f>SanBernardino910111219[[#Totals],[Farsi (Persian) Total]]</f>
        <v>0</v>
      </c>
      <c r="J26" s="4">
        <f>SanBernardino910111219[[#Totals],[French Total]]</f>
        <v>0</v>
      </c>
      <c r="K26" s="4">
        <f>SanBernardino910111219[[#Totals],[German Total]]</f>
        <v>0</v>
      </c>
      <c r="L26" s="4">
        <f>SanBernardino910111219[[#Totals],[Hebrew Total]]</f>
        <v>0</v>
      </c>
      <c r="M26" s="4">
        <f>SanBernardino910111219[[#Totals],[Hindi Total]]</f>
        <v>0</v>
      </c>
      <c r="N26" s="4">
        <f>SanBernardino910111219[[#Totals],[Hmong Total]]</f>
        <v>0</v>
      </c>
      <c r="O26" s="4">
        <f>SanBernardino910111219[[#Totals],[Italian Total]]</f>
        <v>0</v>
      </c>
      <c r="P26" s="4">
        <f>SanBernardino910111219[[#Totals],[Japanese Total]]</f>
        <v>0</v>
      </c>
      <c r="Q26" s="4">
        <f>SanBernardino910111219[[#Totals],[Korean Total]]</f>
        <v>0</v>
      </c>
      <c r="R26" s="4">
        <f>SanBernardino910111219[[#Totals],[Portuguese Total]]</f>
        <v>0</v>
      </c>
      <c r="S26" s="4">
        <f>SanBernardino910111219[[#Totals],[Punjabi Total]]</f>
        <v>0</v>
      </c>
      <c r="T26" s="4">
        <f>SanBernardino910111219[[#Totals],[Russian Total]]</f>
        <v>0</v>
      </c>
      <c r="U26" s="4">
        <f>SanBernardino910111219[[#Totals],[Spanish Total]]</f>
        <v>2</v>
      </c>
      <c r="V26" s="4">
        <f>SanBernardino910111219[[#Totals],[Tagalog (Filipino) Total]]</f>
        <v>0</v>
      </c>
      <c r="W26" s="4">
        <f>SanBernardino910111219[[#Totals],[Urdu Total]]</f>
        <v>0</v>
      </c>
      <c r="X26" s="4">
        <f>SanBernardino910111219[[#Totals],[Vietnamese Total]]</f>
        <v>0</v>
      </c>
      <c r="Y26" s="4">
        <f>SanBernardino910111219[[#Totals],[Other Total]]</f>
        <v>0</v>
      </c>
      <c r="Z26" s="5">
        <f>SUM(Table30[[#This Row],[American Sign Language Total]:[Other Total]])</f>
        <v>2</v>
      </c>
    </row>
    <row r="27" spans="1:26" x14ac:dyDescent="0.25">
      <c r="A27" t="s">
        <v>301</v>
      </c>
      <c r="B27" s="4">
        <v>1</v>
      </c>
      <c r="C27" s="24">
        <v>1</v>
      </c>
      <c r="D27" s="4">
        <f>SanBernardino91011121921[[#Totals],[American Sign Language Total]]</f>
        <v>0</v>
      </c>
      <c r="E27" s="4">
        <f>SanBernardino91011121921[[#Totals],[Arabic Total]]</f>
        <v>0</v>
      </c>
      <c r="F27" s="4">
        <f>SanBernardino91011121921[[#Totals],[Armenian Total]]</f>
        <v>0</v>
      </c>
      <c r="G27" s="4">
        <f>SanBernardino91011121921[[#Totals],[Bengali Total]]</f>
        <v>0</v>
      </c>
      <c r="H27" s="4">
        <f>SanBernardino91011121921[[#Totals],[Chinese Total]]</f>
        <v>0</v>
      </c>
      <c r="I27" s="4">
        <f>SanBernardino91011121921[[#Totals],[Farsi (Persian) Total]]</f>
        <v>0</v>
      </c>
      <c r="J27" s="4">
        <f>SanBernardino91011121921[[#Totals],[French Total]]</f>
        <v>0</v>
      </c>
      <c r="K27" s="4">
        <f>SanBernardino91011121921[[#Totals],[German Total]]</f>
        <v>0</v>
      </c>
      <c r="L27" s="4">
        <f>SanBernardino91011121921[[#Totals],[Hebrew Total]]</f>
        <v>0</v>
      </c>
      <c r="M27" s="4">
        <f>SanBernardino91011121921[[#Totals],[Hindi Total]]</f>
        <v>0</v>
      </c>
      <c r="N27" s="4">
        <f>SanBernardino91011121921[[#Totals],[Hmong Total]]</f>
        <v>0</v>
      </c>
      <c r="O27" s="4">
        <f>SanBernardino91011121921[[#Totals],[Italian Total]]</f>
        <v>0</v>
      </c>
      <c r="P27" s="4">
        <f>SanBernardino91011121921[[#Totals],[Japanese Total]]</f>
        <v>0</v>
      </c>
      <c r="Q27" s="4">
        <f>SanBernardino91011121921[[#Totals],[Korean Total]]</f>
        <v>0</v>
      </c>
      <c r="R27" s="4">
        <f>SanBernardino91011121921[[#Totals],[Portuguese Total]]</f>
        <v>0</v>
      </c>
      <c r="S27" s="4">
        <f>SanBernardino91011121921[[#Totals],[Punjabi Total]]</f>
        <v>0</v>
      </c>
      <c r="T27" s="4">
        <f>SanBernardino91011121921[[#Totals],[Russian Total]]</f>
        <v>0</v>
      </c>
      <c r="U27" s="4">
        <f>SanBernardino91011121921[[#Totals],[Spanish Total]]</f>
        <v>41</v>
      </c>
      <c r="V27" s="4">
        <f>SanBernardino91011121921[[#Totals],[Tagalog (Filipino) Total]]</f>
        <v>0</v>
      </c>
      <c r="W27" s="4">
        <f>SanBernardino91011121921[[#Totals],[Urdu Total]]</f>
        <v>0</v>
      </c>
      <c r="X27" s="4">
        <f>SanBernardino91011121921[[#Totals],[Vietnamese Total]]</f>
        <v>0</v>
      </c>
      <c r="Y27" s="4">
        <f>SanBernardino91011121921[[#Totals],[Other Total]]</f>
        <v>0</v>
      </c>
      <c r="Z27" s="5">
        <f>SUM(Table30[[#This Row],[American Sign Language Total]:[Other Total]])</f>
        <v>41</v>
      </c>
    </row>
    <row r="28" spans="1:26" x14ac:dyDescent="0.25">
      <c r="A28" t="s">
        <v>302</v>
      </c>
      <c r="B28" s="4">
        <v>2</v>
      </c>
      <c r="C28" s="24">
        <v>2</v>
      </c>
      <c r="D28" s="4">
        <f>SanBernardino9101112192122[[#Totals],[American Sign Language Total]]</f>
        <v>0</v>
      </c>
      <c r="E28" s="4">
        <f>SanBernardino9101112192122[[#Totals],[Arabic Total]]</f>
        <v>0</v>
      </c>
      <c r="F28" s="4">
        <f>SanBernardino9101112192122[[#Totals],[Armenian Total]]</f>
        <v>0</v>
      </c>
      <c r="G28" s="4">
        <f>SanBernardino9101112192122[[#Totals],[Bengali Total]]</f>
        <v>0</v>
      </c>
      <c r="H28" s="4">
        <f>SanBernardino9101112192122[[#Totals],[Chinese Total]]</f>
        <v>0</v>
      </c>
      <c r="I28" s="4">
        <f>SanBernardino9101112192122[[#Totals],[Farsi (Persian) Total]]</f>
        <v>0</v>
      </c>
      <c r="J28" s="4">
        <f>SanBernardino9101112192122[[#Totals],[French Total]]</f>
        <v>0</v>
      </c>
      <c r="K28" s="4">
        <f>SanBernardino9101112192122[[#Totals],[German Total]]</f>
        <v>0</v>
      </c>
      <c r="L28" s="4">
        <f>SanBernardino9101112192122[[#Totals],[Hebrew Total]]</f>
        <v>0</v>
      </c>
      <c r="M28" s="4">
        <f>SanBernardino9101112192122[[#Totals],[Hindi Total]]</f>
        <v>0</v>
      </c>
      <c r="N28" s="4">
        <f>SanBernardino9101112192122[[#Totals],[Hmong Total]]</f>
        <v>0</v>
      </c>
      <c r="O28" s="4">
        <f>SanBernardino9101112192122[[#Totals],[Italian Total]]</f>
        <v>0</v>
      </c>
      <c r="P28" s="4">
        <f>SanBernardino9101112192122[[#Totals],[Japanese Total]]</f>
        <v>0</v>
      </c>
      <c r="Q28" s="4">
        <f>SanBernardino9101112192122[[#Totals],[Korean Total]]</f>
        <v>0</v>
      </c>
      <c r="R28" s="4">
        <f>SanBernardino9101112192122[[#Totals],[Portuguese Total]]</f>
        <v>0</v>
      </c>
      <c r="S28" s="4">
        <f>SanBernardino9101112192122[[#Totals],[Punjabi Total]]</f>
        <v>0</v>
      </c>
      <c r="T28" s="4">
        <f>SanBernardino9101112192122[[#Totals],[Russian Total]]</f>
        <v>0</v>
      </c>
      <c r="U28" s="4">
        <f>SanBernardino9101112192122[[#Totals],[Spanish Total]]</f>
        <v>64</v>
      </c>
      <c r="V28" s="4">
        <f>SanBernardino9101112192122[[#Totals],[Tagalog (Filipino) Total]]</f>
        <v>0</v>
      </c>
      <c r="W28" s="4">
        <f>SanBernardino9101112192122[[#Totals],[Urdu Total]]</f>
        <v>0</v>
      </c>
      <c r="X28" s="4">
        <f>SanBernardino9101112192122[[#Totals],[Vietnamese Total]]</f>
        <v>0</v>
      </c>
      <c r="Y28" s="4">
        <f>SanBernardino9101112192122[[#Totals],[Other Total]]</f>
        <v>0</v>
      </c>
      <c r="Z28" s="5">
        <f>SUM(Table30[[#This Row],[American Sign Language Total]:[Other Total]])</f>
        <v>64</v>
      </c>
    </row>
    <row r="29" spans="1:26" x14ac:dyDescent="0.25">
      <c r="A29" t="s">
        <v>303</v>
      </c>
      <c r="B29" s="4">
        <v>1</v>
      </c>
      <c r="C29" s="24">
        <v>2</v>
      </c>
      <c r="D29" s="4">
        <f>SanBernardino910111219212223[[#Totals],[American Sign Language Total]]</f>
        <v>0</v>
      </c>
      <c r="E29" s="4">
        <f>SanBernardino910111219212223[[#Totals],[Arabic Total]]</f>
        <v>0</v>
      </c>
      <c r="F29" s="4">
        <f>SanBernardino910111219212223[[#Totals],[Armenian Total]]</f>
        <v>0</v>
      </c>
      <c r="G29" s="4">
        <f>SanBernardino910111219212223[[#Totals],[Bengali Total]]</f>
        <v>0</v>
      </c>
      <c r="H29" s="4">
        <f>SanBernardino910111219212223[[#Totals],[Chinese Total]]</f>
        <v>0</v>
      </c>
      <c r="I29" s="4">
        <f>SanBernardino910111219212223[[#Totals],[Farsi (Persian) Total]]</f>
        <v>0</v>
      </c>
      <c r="J29" s="4">
        <f>SanBernardino910111219212223[[#Totals],[French Total]]</f>
        <v>0</v>
      </c>
      <c r="K29" s="4">
        <f>SanBernardino910111219212223[[#Totals],[German Total]]</f>
        <v>0</v>
      </c>
      <c r="L29" s="4">
        <f>SanBernardino910111219212223[[#Totals],[Hebrew Total]]</f>
        <v>0</v>
      </c>
      <c r="M29" s="4">
        <f>SanBernardino910111219212223[[#Totals],[Hindi Total]]</f>
        <v>0</v>
      </c>
      <c r="N29" s="4">
        <f>SanBernardino910111219212223[[#Totals],[Hmong Total]]</f>
        <v>0</v>
      </c>
      <c r="O29" s="4">
        <f>SanBernardino910111219212223[[#Totals],[Italian Total]]</f>
        <v>0</v>
      </c>
      <c r="P29" s="4">
        <f>SanBernardino910111219212223[[#Totals],[Japanese Total]]</f>
        <v>0</v>
      </c>
      <c r="Q29" s="4">
        <f>SanBernardino910111219212223[[#Totals],[Korean Total]]</f>
        <v>0</v>
      </c>
      <c r="R29" s="4">
        <f>SanBernardino910111219212223[[#Totals],[Portuguese Total]]</f>
        <v>0</v>
      </c>
      <c r="S29" s="4">
        <f>SanBernardino910111219212223[[#Totals],[Punjabi Total]]</f>
        <v>0</v>
      </c>
      <c r="T29" s="4">
        <f>SanBernardino910111219212223[[#Totals],[Russian Total]]</f>
        <v>0</v>
      </c>
      <c r="U29" s="4">
        <f>SanBernardino910111219212223[[#Totals],[Spanish Total]]</f>
        <v>85</v>
      </c>
      <c r="V29" s="4">
        <f>SanBernardino910111219212223[[#Totals],[Tagalog (Filipino) Total]]</f>
        <v>0</v>
      </c>
      <c r="W29" s="4">
        <f>SanBernardino910111219212223[[#Totals],[Urdu Total]]</f>
        <v>0</v>
      </c>
      <c r="X29" s="4">
        <f>SanBernardino910111219212223[[#Totals],[Vietnamese Total]]</f>
        <v>0</v>
      </c>
      <c r="Y29" s="4">
        <f>SanBernardino910111219212223[[#Totals],[Other Total]]</f>
        <v>0</v>
      </c>
      <c r="Z29" s="5">
        <f>SUM(Table30[[#This Row],[American Sign Language Total]:[Other Total]])</f>
        <v>85</v>
      </c>
    </row>
    <row r="30" spans="1:26" x14ac:dyDescent="0.25">
      <c r="A30" t="s">
        <v>11</v>
      </c>
      <c r="B30" s="4">
        <v>1</v>
      </c>
      <c r="C30" s="10">
        <v>13</v>
      </c>
      <c r="D30" s="4">
        <f>Yolo[[#Totals],[American Sign Language Total]]</f>
        <v>0</v>
      </c>
      <c r="E30" s="4">
        <f>Yolo[[#Totals],[Arabic Total]]</f>
        <v>0</v>
      </c>
      <c r="F30" s="4">
        <f>Yolo[[#Totals],[Armenian Total]]</f>
        <v>0</v>
      </c>
      <c r="G30" s="4">
        <f>Yolo[[#Totals],[Bengali Total]]</f>
        <v>0</v>
      </c>
      <c r="H30" s="4">
        <f>Yolo[[#Totals],[Chinese Total]]</f>
        <v>0</v>
      </c>
      <c r="I30" s="4">
        <f>Yolo[[#Totals],[Farsi (Persian) Total]]</f>
        <v>0</v>
      </c>
      <c r="J30" s="4">
        <f>Yolo[[#Totals],[French Total]]</f>
        <v>0</v>
      </c>
      <c r="K30" s="4">
        <f>Yolo[[#Totals],[German Total]]</f>
        <v>0</v>
      </c>
      <c r="L30" s="4">
        <f>Yolo[[#Totals],[Hebrew Total]]</f>
        <v>0</v>
      </c>
      <c r="M30" s="4">
        <f>Yolo[[#Totals],[Hindi Total]]</f>
        <v>0</v>
      </c>
      <c r="N30" s="4">
        <f>Yolo[[#Totals],[Hmong Total]]</f>
        <v>0</v>
      </c>
      <c r="O30" s="4">
        <f>Yolo[[#Totals],[Italian Total]]</f>
        <v>0</v>
      </c>
      <c r="P30" s="4">
        <f>Yolo[[#Totals],[Japanese Total]]</f>
        <v>0</v>
      </c>
      <c r="Q30" s="4">
        <f>Yolo[[#Totals],[Korean Total]]</f>
        <v>0</v>
      </c>
      <c r="R30" s="4">
        <f>Yolo[[#Totals],[Portuguese Total]]</f>
        <v>0</v>
      </c>
      <c r="S30" s="4">
        <f>Yolo[[#Totals],[Punjabi Total]]</f>
        <v>0</v>
      </c>
      <c r="T30" s="4">
        <f>Yolo[[#Totals],[Russian Total]]</f>
        <v>0</v>
      </c>
      <c r="U30" s="4">
        <f>Yolo[[#Totals],[Spanish Total]]</f>
        <v>102</v>
      </c>
      <c r="V30" s="4">
        <f>Yolo[[#Totals],[Tagalog (Filipino) Total]]</f>
        <v>0</v>
      </c>
      <c r="W30" s="4">
        <f>Yolo[[#Totals],[Urdu Total]]</f>
        <v>0</v>
      </c>
      <c r="X30" s="4">
        <f>Yolo[[#Totals],[Vietnamese Total]]</f>
        <v>0</v>
      </c>
      <c r="Y30" s="4">
        <f>Yolo[[#Totals],[Other Total]]</f>
        <v>0</v>
      </c>
      <c r="Z30" s="4">
        <f>SUM(Table30[[#This Row],[American Sign Language Total]:[Other Total]])</f>
        <v>102</v>
      </c>
    </row>
    <row r="31" spans="1:26" x14ac:dyDescent="0.25">
      <c r="A31" t="s">
        <v>328</v>
      </c>
      <c r="B31" s="5">
        <f>SUBTOTAL(109,Table30[Participating Districts Total])</f>
        <v>91</v>
      </c>
      <c r="C31" s="15">
        <f>SUBTOTAL(109,Table30[Participating Schools Total])</f>
        <v>410</v>
      </c>
      <c r="D31" s="5">
        <f>SUBTOTAL(109,Table30[American Sign Language Total])</f>
        <v>195</v>
      </c>
      <c r="E31" s="5">
        <f>SUM(Table30[Arabic Total])</f>
        <v>179</v>
      </c>
      <c r="F31" s="5">
        <f>SUM(Table30[Armenian Total])</f>
        <v>1250</v>
      </c>
      <c r="G31" s="5">
        <f>SUBTOTAL(109,Table30[Bengali Total])</f>
        <v>72</v>
      </c>
      <c r="H31" s="5">
        <f>SUBTOTAL(109,Table30[Chinese Total])</f>
        <v>4225</v>
      </c>
      <c r="I31" s="5">
        <f>SUBTOTAL(109,Table30[Farsi (Persian) Total])</f>
        <v>226</v>
      </c>
      <c r="J31" s="5">
        <f>SUM(Table30[French Total])</f>
        <v>741</v>
      </c>
      <c r="K31" s="5">
        <f>SUM(Table30[German Total])</f>
        <v>39</v>
      </c>
      <c r="L31" s="5">
        <f>SUBTOTAL(109,Table30[Hebrew Total])</f>
        <v>85</v>
      </c>
      <c r="M31" s="5">
        <f>SUBTOTAL(109,Table30[Hindi Total])</f>
        <v>69</v>
      </c>
      <c r="N31" s="5">
        <f>SUBTOTAL(109,Table30[Hmong Total])</f>
        <v>2</v>
      </c>
      <c r="O31" s="5">
        <f>SUM(Table30[Italian Total])</f>
        <v>21</v>
      </c>
      <c r="P31" s="5">
        <f>SUM(Table30[[ Japanese Total]])</f>
        <v>356</v>
      </c>
      <c r="Q31" s="5">
        <f>SUM(Table30[Korean Total])</f>
        <v>1048</v>
      </c>
      <c r="R31" s="5">
        <f>SUM(Table30[Portuguese Total])</f>
        <v>41</v>
      </c>
      <c r="S31" s="5">
        <f>SUBTOTAL(109,Table30[Punjabi Total])</f>
        <v>33</v>
      </c>
      <c r="T31" s="5">
        <f>SUBTOTAL(109,Table30[Russian Total])</f>
        <v>447</v>
      </c>
      <c r="U31" s="5">
        <f>SUM(Table30[Spanish Total])</f>
        <v>53274</v>
      </c>
      <c r="V31" s="5">
        <f>SUM(Table30[Tagalog (Filipino) Total])</f>
        <v>677</v>
      </c>
      <c r="W31" s="5">
        <f>SUBTOTAL(109,Table30[Urdu Total])</f>
        <v>33</v>
      </c>
      <c r="X31" s="5">
        <f>SUM(Table30[Vietnamese Total])</f>
        <v>599</v>
      </c>
      <c r="Y31" s="5">
        <f>SUM(Table30[Other Total])</f>
        <v>2108</v>
      </c>
      <c r="Z31" s="5">
        <f>SUM(Table30[Recognitions Total])</f>
        <v>65720</v>
      </c>
    </row>
  </sheetData>
  <pageMargins left="0.7" right="0.7" top="0.75" bottom="0.75" header="0.3" footer="0.3"/>
  <pageSetup orientation="portrait" horizontalDpi="4294967295" verticalDpi="4294967295" r:id="rId1"/>
  <ignoredErrors>
    <ignoredError sqref="I16:K16 D17" formula="1"/>
  </ignoredError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8AB21-9047-4993-BAE2-9D77FD8A88DE}">
  <sheetPr codeName="Sheet12"/>
  <dimension ref="A1:AC4"/>
  <sheetViews>
    <sheetView workbookViewId="0"/>
  </sheetViews>
  <sheetFormatPr defaultRowHeight="15" x14ac:dyDescent="0.25"/>
  <cols>
    <col min="1" max="1" width="26.6328125" bestFit="1" customWidth="1"/>
    <col min="2" max="2" width="30.453125" bestFit="1" customWidth="1"/>
    <col min="3" max="5" width="30.45312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0.08984375" bestFit="1" customWidth="1"/>
    <col min="19" max="19" width="9.08984375" bestFit="1" customWidth="1"/>
    <col min="20" max="20" width="7.1796875" bestFit="1" customWidth="1"/>
    <col min="21" max="21" width="11.90625" bestFit="1" customWidth="1"/>
    <col min="22" max="22" width="9.54296875" bestFit="1" customWidth="1"/>
    <col min="23" max="23" width="9.90625" bestFit="1" customWidth="1"/>
    <col min="24" max="24" width="10" bestFit="1" customWidth="1"/>
    <col min="25" max="25" width="10.81640625" bestFit="1" customWidth="1"/>
    <col min="26" max="26" width="7.1796875" bestFit="1" customWidth="1"/>
    <col min="27" max="27" width="11.90625" bestFit="1" customWidth="1"/>
    <col min="28" max="28" width="7.6328125" bestFit="1" customWidth="1"/>
    <col min="29" max="29" width="10.90625" bestFit="1" customWidth="1"/>
  </cols>
  <sheetData>
    <row r="1" spans="1:29" ht="18" thickBot="1" x14ac:dyDescent="0.35">
      <c r="A1" s="12" t="s">
        <v>183</v>
      </c>
    </row>
    <row r="2" spans="1:29"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22</v>
      </c>
      <c r="U2" s="2" t="s">
        <v>47</v>
      </c>
      <c r="V2" s="2" t="s">
        <v>53</v>
      </c>
      <c r="W2" s="2" t="s">
        <v>48</v>
      </c>
      <c r="X2" s="2" t="s">
        <v>23</v>
      </c>
      <c r="Y2" s="2" t="s">
        <v>43</v>
      </c>
      <c r="Z2" s="2" t="s">
        <v>54</v>
      </c>
      <c r="AA2" s="2" t="s">
        <v>24</v>
      </c>
      <c r="AB2" s="2" t="s">
        <v>25</v>
      </c>
      <c r="AC2" s="2" t="s">
        <v>49</v>
      </c>
    </row>
    <row r="3" spans="1:29" ht="30" x14ac:dyDescent="0.25">
      <c r="A3" t="s">
        <v>190</v>
      </c>
      <c r="B3" s="6" t="s">
        <v>191</v>
      </c>
      <c r="C3" s="6" t="s">
        <v>191</v>
      </c>
      <c r="D3" s="2" t="s">
        <v>65</v>
      </c>
      <c r="E3" s="2" t="s">
        <v>71</v>
      </c>
      <c r="F3" s="7">
        <v>0</v>
      </c>
      <c r="G3" s="7">
        <v>0</v>
      </c>
      <c r="H3" s="7">
        <v>0</v>
      </c>
      <c r="I3" s="7">
        <v>0</v>
      </c>
      <c r="J3" s="7">
        <v>0</v>
      </c>
      <c r="K3" s="7">
        <v>0</v>
      </c>
      <c r="L3" s="7">
        <v>0</v>
      </c>
      <c r="M3" s="7">
        <v>0</v>
      </c>
      <c r="N3" s="7">
        <v>0</v>
      </c>
      <c r="O3" s="7">
        <v>0</v>
      </c>
      <c r="P3" s="7">
        <v>0</v>
      </c>
      <c r="Q3" s="7">
        <v>0</v>
      </c>
      <c r="R3" s="7">
        <v>0</v>
      </c>
      <c r="S3" s="7">
        <v>0</v>
      </c>
      <c r="T3" s="7">
        <v>0</v>
      </c>
      <c r="U3" s="7">
        <v>0</v>
      </c>
      <c r="V3" s="7">
        <v>0</v>
      </c>
      <c r="W3" s="7">
        <v>0</v>
      </c>
      <c r="X3" s="7">
        <v>41</v>
      </c>
      <c r="Y3" s="7">
        <v>0</v>
      </c>
      <c r="Z3" s="7">
        <v>0</v>
      </c>
      <c r="AA3" s="7">
        <v>0</v>
      </c>
      <c r="AB3" s="7">
        <v>0</v>
      </c>
      <c r="AC3" s="7">
        <f>SUM(Monterey1415[[#This Row],[American Sign Language Total]:[Other Total]])</f>
        <v>41</v>
      </c>
    </row>
    <row r="4" spans="1:29" x14ac:dyDescent="0.25">
      <c r="A4" s="7" t="s">
        <v>36</v>
      </c>
      <c r="B4" s="13" t="s">
        <v>79</v>
      </c>
      <c r="C4" s="13" t="s">
        <v>79</v>
      </c>
      <c r="D4" s="21"/>
      <c r="E4" s="21"/>
      <c r="F4" s="7">
        <f>SUBTOTAL(109,Monterey1415[American Sign Language Total])</f>
        <v>0</v>
      </c>
      <c r="G4" s="7">
        <f>SUBTOTAL(109,Monterey1415[Arabic Total])</f>
        <v>0</v>
      </c>
      <c r="H4" s="7">
        <f>SUBTOTAL(109,Monterey1415[Armenian Total])</f>
        <v>0</v>
      </c>
      <c r="I4" s="7">
        <f>SUBTOTAL(109,Monterey1415[Bengali Total])</f>
        <v>0</v>
      </c>
      <c r="J4" s="7">
        <f>SUBTOTAL(109,Monterey1415[Chinese Total])</f>
        <v>0</v>
      </c>
      <c r="K4" s="7">
        <f>SUBTOTAL(109,Monterey1415[Farsi (Persian) Total])</f>
        <v>0</v>
      </c>
      <c r="L4" s="7">
        <f>SUBTOTAL(109,Monterey1415[French Total])</f>
        <v>0</v>
      </c>
      <c r="M4" s="7">
        <f>SUBTOTAL(109,Monterey1415[German Total])</f>
        <v>0</v>
      </c>
      <c r="N4" s="7">
        <f>SUBTOTAL(109,Monterey1415[Hebrew Total])</f>
        <v>0</v>
      </c>
      <c r="O4" s="7">
        <f>SUBTOTAL(109,Monterey1415[Hindi Total])</f>
        <v>0</v>
      </c>
      <c r="P4" s="7">
        <f>SUBTOTAL(109,Monterey1415[Hmong Total])</f>
        <v>0</v>
      </c>
      <c r="Q4" s="7">
        <f>SUBTOTAL(109,Monterey1415[Italian Total])</f>
        <v>0</v>
      </c>
      <c r="R4" s="7">
        <f>SUBTOTAL(109,Monterey1415[Japanese Total])</f>
        <v>0</v>
      </c>
      <c r="S4" s="7">
        <f>SUBTOTAL(109,Monterey1415[Korean Total])</f>
        <v>0</v>
      </c>
      <c r="T4" s="7">
        <f>SUBTOTAL(109,Monterey1415[Latin Total])</f>
        <v>0</v>
      </c>
      <c r="U4" s="7">
        <f>SUBTOTAL(109,Monterey1415[Portuguese Total])</f>
        <v>0</v>
      </c>
      <c r="V4" s="7">
        <f>SUBTOTAL(109,Monterey1415[Punjabi Total])</f>
        <v>0</v>
      </c>
      <c r="W4" s="7">
        <f>SUBTOTAL(109,Monterey1415[Russian Total])</f>
        <v>0</v>
      </c>
      <c r="X4" s="7">
        <f>SUBTOTAL(109,Monterey1415[Spanish Total])</f>
        <v>41</v>
      </c>
      <c r="Y4" s="7">
        <f>SUBTOTAL(109,Monterey1415[Tagalog (Filipino) Total])</f>
        <v>0</v>
      </c>
      <c r="Z4" s="7">
        <f>SUBTOTAL(109,Monterey1415[Urdu Total])</f>
        <v>0</v>
      </c>
      <c r="AA4" s="7">
        <f>SUBTOTAL(109,Monterey1415[Vietnamese Total])</f>
        <v>0</v>
      </c>
      <c r="AB4" s="7">
        <f>SUBTOTAL(109,Monterey1415[Other Total])</f>
        <v>0</v>
      </c>
      <c r="AC4" s="7">
        <f>SUBTOTAL(109,Monterey1415[Total Seals per LEA])</f>
        <v>41</v>
      </c>
    </row>
  </sheetData>
  <conditionalFormatting sqref="A1:E2">
    <cfRule type="duplicateValues" dxfId="83" priority="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3"/>
  <dimension ref="A1:AB12"/>
  <sheetViews>
    <sheetView zoomScaleNormal="100" workbookViewId="0">
      <pane xSplit="1" ySplit="2" topLeftCell="B6" activePane="bottomRight" state="frozen"/>
      <selection activeCell="B11" sqref="B11"/>
      <selection pane="topRight" activeCell="B11" sqref="B11"/>
      <selection pane="bottomLeft" activeCell="B11" sqref="B11"/>
      <selection pane="bottomRight"/>
    </sheetView>
  </sheetViews>
  <sheetFormatPr defaultRowHeight="15" x14ac:dyDescent="0.25"/>
  <cols>
    <col min="1" max="1" width="25.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3</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110.4" customHeight="1" x14ac:dyDescent="0.25">
      <c r="A3" s="2" t="s">
        <v>95</v>
      </c>
      <c r="B3" s="2" t="s">
        <v>192</v>
      </c>
      <c r="C3" s="2" t="s">
        <v>193</v>
      </c>
      <c r="D3" s="2" t="s">
        <v>194</v>
      </c>
      <c r="E3" s="2" t="s">
        <v>85</v>
      </c>
      <c r="F3" s="9">
        <v>110</v>
      </c>
      <c r="G3" s="9">
        <v>4</v>
      </c>
      <c r="H3" s="9">
        <v>0</v>
      </c>
      <c r="I3" s="9">
        <v>0</v>
      </c>
      <c r="J3" s="9">
        <v>4</v>
      </c>
      <c r="K3" s="9">
        <v>0</v>
      </c>
      <c r="L3" s="9">
        <v>1</v>
      </c>
      <c r="M3" s="9">
        <v>0</v>
      </c>
      <c r="N3" s="9">
        <v>0</v>
      </c>
      <c r="O3" s="9">
        <v>0</v>
      </c>
      <c r="P3" s="9">
        <v>0</v>
      </c>
      <c r="Q3" s="9">
        <v>0</v>
      </c>
      <c r="R3" s="9">
        <v>1</v>
      </c>
      <c r="S3" s="9">
        <v>20</v>
      </c>
      <c r="T3" s="9">
        <v>0</v>
      </c>
      <c r="U3" s="9">
        <v>0</v>
      </c>
      <c r="V3" s="9">
        <v>0</v>
      </c>
      <c r="W3" s="9">
        <v>380</v>
      </c>
      <c r="X3" s="9">
        <v>9</v>
      </c>
      <c r="Y3" s="9">
        <v>1</v>
      </c>
      <c r="Z3" s="9">
        <v>30</v>
      </c>
      <c r="AA3" s="9">
        <v>3</v>
      </c>
      <c r="AB3" s="9">
        <f>SUM(F3:AA3)</f>
        <v>563</v>
      </c>
    </row>
    <row r="4" spans="1:28" s="7" customFormat="1" ht="30" x14ac:dyDescent="0.25">
      <c r="A4" s="2" t="s">
        <v>195</v>
      </c>
      <c r="B4" t="s">
        <v>198</v>
      </c>
      <c r="C4" s="7" t="s">
        <v>64</v>
      </c>
      <c r="D4" s="2" t="s">
        <v>65</v>
      </c>
      <c r="E4" s="2" t="s">
        <v>199</v>
      </c>
      <c r="F4" s="9">
        <v>0</v>
      </c>
      <c r="G4" s="9">
        <v>0</v>
      </c>
      <c r="H4" s="9">
        <v>0</v>
      </c>
      <c r="I4" s="9">
        <v>0</v>
      </c>
      <c r="J4" s="9">
        <v>0</v>
      </c>
      <c r="K4" s="9">
        <v>0</v>
      </c>
      <c r="L4" s="9">
        <v>0</v>
      </c>
      <c r="M4" s="9">
        <v>0</v>
      </c>
      <c r="N4" s="9">
        <v>0</v>
      </c>
      <c r="O4" s="9">
        <v>0</v>
      </c>
      <c r="P4" s="9">
        <v>0</v>
      </c>
      <c r="Q4" s="9">
        <v>0</v>
      </c>
      <c r="R4" s="9">
        <v>0</v>
      </c>
      <c r="S4" s="9">
        <v>0</v>
      </c>
      <c r="T4" s="9">
        <v>0</v>
      </c>
      <c r="U4" s="9">
        <v>0</v>
      </c>
      <c r="V4" s="9">
        <v>0</v>
      </c>
      <c r="W4" s="9">
        <v>59</v>
      </c>
      <c r="X4" s="9">
        <v>0</v>
      </c>
      <c r="Y4" s="9">
        <v>0</v>
      </c>
      <c r="Z4" s="9">
        <v>0</v>
      </c>
      <c r="AA4" s="9">
        <v>0</v>
      </c>
      <c r="AB4" s="9">
        <f t="shared" ref="AB4:AB10" si="0">SUM(F4:AA4)</f>
        <v>59</v>
      </c>
    </row>
    <row r="5" spans="1:28" s="7" customFormat="1" ht="30" x14ac:dyDescent="0.25">
      <c r="A5" s="7" t="s">
        <v>196</v>
      </c>
      <c r="B5" t="s">
        <v>200</v>
      </c>
      <c r="C5" s="2" t="s">
        <v>64</v>
      </c>
      <c r="D5" s="2" t="s">
        <v>65</v>
      </c>
      <c r="E5" s="2" t="s">
        <v>62</v>
      </c>
      <c r="F5" s="9">
        <v>0</v>
      </c>
      <c r="G5" s="9">
        <v>0</v>
      </c>
      <c r="H5" s="9">
        <v>0</v>
      </c>
      <c r="I5" s="9">
        <v>0</v>
      </c>
      <c r="J5" s="9">
        <v>0</v>
      </c>
      <c r="K5" s="9">
        <v>0</v>
      </c>
      <c r="L5" s="9">
        <v>0</v>
      </c>
      <c r="M5" s="9">
        <v>0</v>
      </c>
      <c r="N5" s="9">
        <v>0</v>
      </c>
      <c r="O5" s="9">
        <v>0</v>
      </c>
      <c r="P5" s="9">
        <v>0</v>
      </c>
      <c r="Q5" s="9">
        <v>0</v>
      </c>
      <c r="R5" s="9">
        <v>0</v>
      </c>
      <c r="S5" s="9">
        <v>0</v>
      </c>
      <c r="T5" s="9">
        <v>0</v>
      </c>
      <c r="U5" s="9">
        <v>0</v>
      </c>
      <c r="V5" s="9">
        <v>0</v>
      </c>
      <c r="W5" s="9">
        <v>175</v>
      </c>
      <c r="X5" s="9">
        <v>0</v>
      </c>
      <c r="Y5" s="9">
        <v>0</v>
      </c>
      <c r="Z5" s="9">
        <v>0</v>
      </c>
      <c r="AA5" s="9">
        <v>0</v>
      </c>
      <c r="AB5" s="9">
        <f t="shared" si="0"/>
        <v>175</v>
      </c>
    </row>
    <row r="6" spans="1:28" s="7" customFormat="1" ht="45" x14ac:dyDescent="0.25">
      <c r="A6" s="7" t="s">
        <v>13</v>
      </c>
      <c r="B6" s="6" t="s">
        <v>201</v>
      </c>
      <c r="C6" s="2" t="s">
        <v>64</v>
      </c>
      <c r="D6" s="2" t="s">
        <v>202</v>
      </c>
      <c r="E6" s="2" t="s">
        <v>71</v>
      </c>
      <c r="F6" s="9">
        <v>0</v>
      </c>
      <c r="G6" s="9">
        <v>0</v>
      </c>
      <c r="H6" s="9">
        <v>0</v>
      </c>
      <c r="I6" s="9">
        <v>0</v>
      </c>
      <c r="J6" s="9">
        <v>27</v>
      </c>
      <c r="K6" s="9">
        <v>0</v>
      </c>
      <c r="L6" s="9">
        <v>0</v>
      </c>
      <c r="M6" s="9">
        <v>0</v>
      </c>
      <c r="N6" s="9">
        <v>0</v>
      </c>
      <c r="O6" s="9">
        <v>0</v>
      </c>
      <c r="P6" s="9">
        <v>0</v>
      </c>
      <c r="Q6" s="9">
        <v>0</v>
      </c>
      <c r="R6" s="9">
        <v>0</v>
      </c>
      <c r="S6" s="9">
        <v>0</v>
      </c>
      <c r="T6" s="9">
        <v>0</v>
      </c>
      <c r="U6" s="9">
        <v>0</v>
      </c>
      <c r="V6" s="9">
        <v>0</v>
      </c>
      <c r="W6" s="9">
        <v>64</v>
      </c>
      <c r="X6" s="9">
        <v>0</v>
      </c>
      <c r="Y6" s="9">
        <v>0</v>
      </c>
      <c r="Z6" s="9">
        <v>0</v>
      </c>
      <c r="AA6" s="9">
        <v>1</v>
      </c>
      <c r="AB6" s="9">
        <f t="shared" si="0"/>
        <v>92</v>
      </c>
    </row>
    <row r="7" spans="1:28" s="7" customFormat="1" ht="30" x14ac:dyDescent="0.25">
      <c r="A7" s="2" t="s">
        <v>203</v>
      </c>
      <c r="B7" t="s">
        <v>203</v>
      </c>
      <c r="C7" s="2" t="s">
        <v>203</v>
      </c>
      <c r="D7" s="2" t="s">
        <v>65</v>
      </c>
      <c r="E7" s="2" t="s">
        <v>71</v>
      </c>
      <c r="F7" s="9">
        <v>0</v>
      </c>
      <c r="G7" s="9">
        <v>0</v>
      </c>
      <c r="H7" s="9">
        <v>0</v>
      </c>
      <c r="I7" s="9">
        <v>0</v>
      </c>
      <c r="J7" s="9">
        <v>0</v>
      </c>
      <c r="K7" s="9">
        <v>0</v>
      </c>
      <c r="L7" s="9">
        <v>0</v>
      </c>
      <c r="M7" s="9">
        <v>0</v>
      </c>
      <c r="N7" s="9">
        <v>0</v>
      </c>
      <c r="O7" s="9">
        <v>0</v>
      </c>
      <c r="P7" s="9">
        <v>0</v>
      </c>
      <c r="Q7" s="9">
        <v>0</v>
      </c>
      <c r="R7" s="9">
        <v>0</v>
      </c>
      <c r="S7" s="9">
        <v>0</v>
      </c>
      <c r="T7" s="9">
        <v>0</v>
      </c>
      <c r="U7" s="9">
        <v>0</v>
      </c>
      <c r="V7" s="9">
        <v>0</v>
      </c>
      <c r="W7" s="9">
        <v>104</v>
      </c>
      <c r="X7" s="9">
        <v>0</v>
      </c>
      <c r="Y7" s="9">
        <v>0</v>
      </c>
      <c r="Z7" s="9">
        <v>0</v>
      </c>
      <c r="AA7" s="9">
        <v>0</v>
      </c>
      <c r="AB7" s="9">
        <f>SUM(F7:AA7)</f>
        <v>104</v>
      </c>
    </row>
    <row r="8" spans="1:28" s="7" customFormat="1" ht="30" x14ac:dyDescent="0.25">
      <c r="A8" s="7" t="s">
        <v>40</v>
      </c>
      <c r="B8" s="2" t="s">
        <v>73</v>
      </c>
      <c r="C8" s="2" t="s">
        <v>73</v>
      </c>
      <c r="D8" s="2" t="s">
        <v>97</v>
      </c>
      <c r="E8" s="2" t="s">
        <v>104</v>
      </c>
      <c r="F8" s="9">
        <v>0</v>
      </c>
      <c r="G8" s="9">
        <v>0</v>
      </c>
      <c r="H8" s="9">
        <v>0</v>
      </c>
      <c r="I8" s="9">
        <v>0</v>
      </c>
      <c r="J8" s="9">
        <v>0</v>
      </c>
      <c r="K8" s="9">
        <v>0</v>
      </c>
      <c r="L8" s="9">
        <v>0</v>
      </c>
      <c r="M8" s="9">
        <v>0</v>
      </c>
      <c r="N8" s="9">
        <v>0</v>
      </c>
      <c r="O8" s="9">
        <v>0</v>
      </c>
      <c r="P8" s="9">
        <v>0</v>
      </c>
      <c r="Q8" s="9">
        <v>0</v>
      </c>
      <c r="R8" s="9">
        <v>0</v>
      </c>
      <c r="S8" s="9">
        <v>0</v>
      </c>
      <c r="T8" s="9">
        <v>0</v>
      </c>
      <c r="U8" s="9">
        <v>0</v>
      </c>
      <c r="V8" s="9">
        <v>0</v>
      </c>
      <c r="W8" s="9">
        <v>169</v>
      </c>
      <c r="X8" s="9">
        <v>0</v>
      </c>
      <c r="Y8" s="9">
        <v>0</v>
      </c>
      <c r="Z8" s="9">
        <v>0</v>
      </c>
      <c r="AA8" s="9">
        <v>0</v>
      </c>
      <c r="AB8" s="9">
        <f t="shared" si="0"/>
        <v>169</v>
      </c>
    </row>
    <row r="9" spans="1:28" s="7" customFormat="1" ht="44.4" customHeight="1" x14ac:dyDescent="0.25">
      <c r="A9" s="2" t="s">
        <v>41</v>
      </c>
      <c r="B9" s="2" t="s">
        <v>204</v>
      </c>
      <c r="C9" s="7" t="s">
        <v>205</v>
      </c>
      <c r="D9" s="2" t="s">
        <v>65</v>
      </c>
      <c r="E9" s="2" t="s">
        <v>103</v>
      </c>
      <c r="F9" s="9">
        <v>0</v>
      </c>
      <c r="G9" s="9">
        <v>0</v>
      </c>
      <c r="H9" s="9">
        <v>0</v>
      </c>
      <c r="I9" s="9">
        <v>0</v>
      </c>
      <c r="J9" s="9">
        <v>0</v>
      </c>
      <c r="K9" s="9">
        <v>0</v>
      </c>
      <c r="L9" s="9">
        <v>0</v>
      </c>
      <c r="M9" s="9">
        <v>0</v>
      </c>
      <c r="N9" s="9">
        <v>0</v>
      </c>
      <c r="O9" s="9">
        <v>0</v>
      </c>
      <c r="P9" s="9">
        <v>0</v>
      </c>
      <c r="Q9" s="9">
        <v>0</v>
      </c>
      <c r="R9" s="9">
        <v>0</v>
      </c>
      <c r="S9" s="9">
        <v>0</v>
      </c>
      <c r="T9" s="9">
        <v>0</v>
      </c>
      <c r="U9" s="9">
        <v>0</v>
      </c>
      <c r="V9" s="9">
        <v>0</v>
      </c>
      <c r="W9" s="9">
        <v>1095</v>
      </c>
      <c r="X9" s="9">
        <v>0</v>
      </c>
      <c r="Y9" s="9">
        <v>0</v>
      </c>
      <c r="Z9" s="9">
        <v>0</v>
      </c>
      <c r="AA9" s="9">
        <v>0</v>
      </c>
      <c r="AB9" s="9">
        <f t="shared" si="0"/>
        <v>1095</v>
      </c>
    </row>
    <row r="10" spans="1:28" ht="150" x14ac:dyDescent="0.25">
      <c r="A10" s="7" t="s">
        <v>197</v>
      </c>
      <c r="B10" s="6" t="s">
        <v>206</v>
      </c>
      <c r="C10" t="s">
        <v>207</v>
      </c>
      <c r="D10" s="2" t="s">
        <v>65</v>
      </c>
      <c r="E10" s="2" t="s">
        <v>104</v>
      </c>
      <c r="F10" s="9">
        <v>0</v>
      </c>
      <c r="G10" s="9">
        <v>0</v>
      </c>
      <c r="H10" s="9">
        <v>0</v>
      </c>
      <c r="I10" s="9">
        <v>0</v>
      </c>
      <c r="J10" s="9">
        <v>0</v>
      </c>
      <c r="K10" s="9">
        <v>0</v>
      </c>
      <c r="L10" s="9">
        <v>0</v>
      </c>
      <c r="M10" s="9">
        <v>0</v>
      </c>
      <c r="N10" s="9">
        <v>0</v>
      </c>
      <c r="O10" s="9">
        <v>0</v>
      </c>
      <c r="P10" s="9">
        <v>0</v>
      </c>
      <c r="Q10" s="9">
        <v>0</v>
      </c>
      <c r="R10" s="9">
        <v>0</v>
      </c>
      <c r="S10" s="9">
        <v>1</v>
      </c>
      <c r="T10" s="9">
        <v>0</v>
      </c>
      <c r="U10" s="9">
        <v>0</v>
      </c>
      <c r="V10" s="9">
        <v>0</v>
      </c>
      <c r="W10" s="9">
        <v>300</v>
      </c>
      <c r="X10" s="9">
        <v>1</v>
      </c>
      <c r="Y10" s="9">
        <v>0</v>
      </c>
      <c r="Z10" s="9">
        <v>300</v>
      </c>
      <c r="AA10" s="9">
        <v>1</v>
      </c>
      <c r="AB10" s="9">
        <f t="shared" si="0"/>
        <v>603</v>
      </c>
    </row>
    <row r="11" spans="1:28" ht="15.6" x14ac:dyDescent="0.3">
      <c r="A11" t="s">
        <v>208</v>
      </c>
      <c r="B11" s="11" t="s">
        <v>110</v>
      </c>
      <c r="C11" s="11" t="s">
        <v>98</v>
      </c>
      <c r="D11" s="20"/>
      <c r="E11" s="20"/>
      <c r="F11" s="4">
        <f>SUBTOTAL(109,Orange[American Sign Language Total])</f>
        <v>110</v>
      </c>
      <c r="G11" s="4">
        <f>SUBTOTAL(109,Orange[Arabic Total])</f>
        <v>4</v>
      </c>
      <c r="H11" s="4">
        <f>SUBTOTAL(109,Orange[Armenian Total])</f>
        <v>0</v>
      </c>
      <c r="I11" s="4">
        <f>SUBTOTAL(109,Orange[Bengali Total])</f>
        <v>0</v>
      </c>
      <c r="J11" s="4">
        <f>SUBTOTAL(109,Orange[Chinese Total])</f>
        <v>31</v>
      </c>
      <c r="K11" s="4">
        <f>SUBTOTAL(109,Orange[Farsi (Persian) Total])</f>
        <v>0</v>
      </c>
      <c r="L11" s="4">
        <f>SUBTOTAL(109,Orange[French Total])</f>
        <v>1</v>
      </c>
      <c r="M11" s="4">
        <f>SUBTOTAL(109,Orange[German Total])</f>
        <v>0</v>
      </c>
      <c r="N11" s="4">
        <f>SUBTOTAL(109,Orange[Hebrew Total])</f>
        <v>0</v>
      </c>
      <c r="O11" s="4">
        <f>SUBTOTAL(109,Orange[Hindi Total])</f>
        <v>0</v>
      </c>
      <c r="P11" s="4">
        <f>SUBTOTAL(109,Orange[Hmong Total])</f>
        <v>0</v>
      </c>
      <c r="Q11" s="4">
        <f>SUBTOTAL(109,Orange[Italian Total])</f>
        <v>0</v>
      </c>
      <c r="R11" s="4">
        <f>SUBTOTAL(109,Orange[Japanese Total])</f>
        <v>1</v>
      </c>
      <c r="S11" s="4">
        <f>SUBTOTAL(109,Orange[Korean Total])</f>
        <v>21</v>
      </c>
      <c r="T11" s="4">
        <f>SUBTOTAL(109,Orange[Portuguese Total])</f>
        <v>0</v>
      </c>
      <c r="U11" s="4">
        <f>SUBTOTAL(109,Orange[Punjabi Total])</f>
        <v>0</v>
      </c>
      <c r="V11" s="4">
        <f>SUBTOTAL(109,Orange[Russian Total])</f>
        <v>0</v>
      </c>
      <c r="W11" s="4">
        <f>SUBTOTAL(109,Orange[Spanish Total])</f>
        <v>2346</v>
      </c>
      <c r="X11" s="4">
        <f>SUBTOTAL(109,Orange[Tagalog (Filipino) Total])</f>
        <v>10</v>
      </c>
      <c r="Y11" s="4">
        <f>SUBTOTAL(109,Orange[Urdu Total])</f>
        <v>1</v>
      </c>
      <c r="Z11" s="4">
        <f>SUBTOTAL(109,Orange[Vietnamese Total])</f>
        <v>330</v>
      </c>
      <c r="AA11" s="4">
        <f>SUBTOTAL(109,Orange[Other Total])</f>
        <v>5</v>
      </c>
      <c r="AB11" s="4">
        <f>SUBTOTAL(109,Orange[Total Seals per LEA])</f>
        <v>2860</v>
      </c>
    </row>
    <row r="12" spans="1:28" ht="66.900000000000006" customHeight="1" x14ac:dyDescent="0.25"/>
  </sheetData>
  <sortState xmlns:xlrd2="http://schemas.microsoft.com/office/spreadsheetml/2017/richdata2" ref="A2:BN14">
    <sortCondition ref="A2:A14"/>
  </sortState>
  <conditionalFormatting sqref="A1:E1 A2:B2">
    <cfRule type="duplicateValues" dxfId="82" priority="2"/>
  </conditionalFormatting>
  <conditionalFormatting sqref="C2:E2">
    <cfRule type="duplicateValues" dxfId="81"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5E062-0484-4986-870B-6F25A84AE9A2}">
  <sheetPr codeName="Sheet15"/>
  <dimension ref="A1:AB9"/>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25.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0</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90" x14ac:dyDescent="0.25">
      <c r="A3" s="2" t="s">
        <v>209</v>
      </c>
      <c r="B3" s="2" t="s">
        <v>213</v>
      </c>
      <c r="C3" s="7" t="s">
        <v>64</v>
      </c>
      <c r="D3" s="2" t="s">
        <v>96</v>
      </c>
      <c r="E3" s="2" t="s">
        <v>62</v>
      </c>
      <c r="F3" s="14">
        <v>0</v>
      </c>
      <c r="G3" s="14">
        <v>0</v>
      </c>
      <c r="H3" s="14">
        <v>0</v>
      </c>
      <c r="I3" s="9">
        <v>0</v>
      </c>
      <c r="J3" s="9">
        <v>152</v>
      </c>
      <c r="K3" s="9">
        <v>0</v>
      </c>
      <c r="L3" s="14">
        <v>0</v>
      </c>
      <c r="M3" s="14">
        <v>0</v>
      </c>
      <c r="N3" s="9">
        <v>0</v>
      </c>
      <c r="O3" s="9">
        <v>0</v>
      </c>
      <c r="P3" s="14">
        <v>0</v>
      </c>
      <c r="Q3" s="14">
        <v>0</v>
      </c>
      <c r="R3" s="14">
        <v>0</v>
      </c>
      <c r="S3" s="14">
        <v>0</v>
      </c>
      <c r="T3" s="14">
        <v>0</v>
      </c>
      <c r="U3" s="9">
        <v>0</v>
      </c>
      <c r="V3" s="9">
        <v>0</v>
      </c>
      <c r="W3" s="14">
        <v>508</v>
      </c>
      <c r="X3" s="14">
        <v>0</v>
      </c>
      <c r="Y3" s="9">
        <v>0</v>
      </c>
      <c r="Z3" s="14">
        <v>0</v>
      </c>
      <c r="AA3" s="14">
        <v>0</v>
      </c>
      <c r="AB3" s="14">
        <f t="shared" ref="AB3:AB8" si="0">SUM(F3:AA3)</f>
        <v>660</v>
      </c>
    </row>
    <row r="4" spans="1:28" ht="120" x14ac:dyDescent="0.25">
      <c r="A4" s="7" t="s">
        <v>99</v>
      </c>
      <c r="B4" s="2" t="s">
        <v>214</v>
      </c>
      <c r="C4" s="2" t="s">
        <v>215</v>
      </c>
      <c r="D4" s="2" t="s">
        <v>89</v>
      </c>
      <c r="E4" s="2" t="s">
        <v>103</v>
      </c>
      <c r="F4" s="9">
        <v>0</v>
      </c>
      <c r="G4" s="9">
        <v>0</v>
      </c>
      <c r="H4" s="9">
        <v>0</v>
      </c>
      <c r="I4" s="9">
        <v>0</v>
      </c>
      <c r="J4" s="9">
        <v>0</v>
      </c>
      <c r="K4" s="9">
        <v>0</v>
      </c>
      <c r="L4" s="9">
        <v>0</v>
      </c>
      <c r="M4" s="9">
        <v>0</v>
      </c>
      <c r="N4" s="9">
        <v>0</v>
      </c>
      <c r="O4" s="9">
        <v>0</v>
      </c>
      <c r="P4" s="9">
        <v>0</v>
      </c>
      <c r="Q4" s="9">
        <v>0</v>
      </c>
      <c r="R4" s="9">
        <v>0</v>
      </c>
      <c r="S4" s="9">
        <v>0</v>
      </c>
      <c r="T4" s="9">
        <v>0</v>
      </c>
      <c r="U4" s="9">
        <v>0</v>
      </c>
      <c r="V4" s="9">
        <v>0</v>
      </c>
      <c r="W4" s="9">
        <v>852</v>
      </c>
      <c r="X4" s="9">
        <v>0</v>
      </c>
      <c r="Y4" s="9">
        <v>0</v>
      </c>
      <c r="Z4" s="9">
        <v>0</v>
      </c>
      <c r="AA4" s="9">
        <v>0</v>
      </c>
      <c r="AB4" s="9">
        <f t="shared" si="0"/>
        <v>852</v>
      </c>
    </row>
    <row r="5" spans="1:28" ht="30" x14ac:dyDescent="0.25">
      <c r="A5" s="7" t="s">
        <v>210</v>
      </c>
      <c r="B5" s="2" t="s">
        <v>216</v>
      </c>
      <c r="C5" s="2" t="s">
        <v>216</v>
      </c>
      <c r="D5" s="2" t="s">
        <v>65</v>
      </c>
      <c r="E5" s="2" t="s">
        <v>84</v>
      </c>
      <c r="F5" s="9">
        <v>0</v>
      </c>
      <c r="G5" s="9">
        <v>0</v>
      </c>
      <c r="H5" s="9">
        <v>0</v>
      </c>
      <c r="I5" s="9">
        <v>0</v>
      </c>
      <c r="J5" s="9">
        <v>0</v>
      </c>
      <c r="K5" s="9">
        <v>0</v>
      </c>
      <c r="L5" s="9">
        <v>0</v>
      </c>
      <c r="M5" s="9">
        <v>0</v>
      </c>
      <c r="N5" s="9">
        <v>0</v>
      </c>
      <c r="O5" s="9">
        <v>0</v>
      </c>
      <c r="P5" s="9">
        <v>0</v>
      </c>
      <c r="Q5" s="9">
        <v>0</v>
      </c>
      <c r="R5" s="9">
        <v>0</v>
      </c>
      <c r="S5" s="9">
        <v>0</v>
      </c>
      <c r="T5" s="9">
        <v>0</v>
      </c>
      <c r="U5" s="9">
        <v>0</v>
      </c>
      <c r="V5" s="9">
        <v>0</v>
      </c>
      <c r="W5" s="9">
        <v>240</v>
      </c>
      <c r="X5" s="9">
        <v>0</v>
      </c>
      <c r="Y5" s="9">
        <v>0</v>
      </c>
      <c r="Z5" s="9">
        <v>0</v>
      </c>
      <c r="AA5" s="9">
        <v>0</v>
      </c>
      <c r="AB5" s="9">
        <f t="shared" si="0"/>
        <v>240</v>
      </c>
    </row>
    <row r="6" spans="1:28" ht="107.4" customHeight="1" x14ac:dyDescent="0.25">
      <c r="A6" s="7" t="s">
        <v>211</v>
      </c>
      <c r="B6" s="2" t="s">
        <v>217</v>
      </c>
      <c r="C6" s="2" t="s">
        <v>217</v>
      </c>
      <c r="D6" s="2" t="s">
        <v>65</v>
      </c>
      <c r="E6" s="2" t="s">
        <v>103</v>
      </c>
      <c r="F6" s="9">
        <v>0</v>
      </c>
      <c r="G6" s="9">
        <v>0</v>
      </c>
      <c r="H6" s="9">
        <v>0</v>
      </c>
      <c r="I6" s="9">
        <v>0</v>
      </c>
      <c r="J6" s="9">
        <v>0</v>
      </c>
      <c r="K6" s="9">
        <v>0</v>
      </c>
      <c r="L6" s="9">
        <v>0</v>
      </c>
      <c r="M6" s="9">
        <v>0</v>
      </c>
      <c r="N6" s="9">
        <v>0</v>
      </c>
      <c r="O6" s="9">
        <v>0</v>
      </c>
      <c r="P6" s="9">
        <v>0</v>
      </c>
      <c r="Q6" s="9">
        <v>0</v>
      </c>
      <c r="R6" s="9">
        <v>0</v>
      </c>
      <c r="S6" s="9">
        <v>0</v>
      </c>
      <c r="T6" s="9">
        <v>0</v>
      </c>
      <c r="U6" s="9">
        <v>0</v>
      </c>
      <c r="V6" s="9">
        <v>0</v>
      </c>
      <c r="W6" s="9">
        <v>60</v>
      </c>
      <c r="X6" s="9">
        <v>0</v>
      </c>
      <c r="Y6" s="9">
        <v>0</v>
      </c>
      <c r="Z6" s="9">
        <v>0</v>
      </c>
      <c r="AA6" s="9">
        <v>0</v>
      </c>
      <c r="AB6" s="9">
        <f t="shared" si="0"/>
        <v>60</v>
      </c>
    </row>
    <row r="7" spans="1:28" ht="30" x14ac:dyDescent="0.25">
      <c r="A7" s="7" t="s">
        <v>212</v>
      </c>
      <c r="B7" s="2" t="s">
        <v>218</v>
      </c>
      <c r="C7" s="2" t="s">
        <v>64</v>
      </c>
      <c r="D7" s="2" t="s">
        <v>219</v>
      </c>
      <c r="E7" s="2" t="s">
        <v>71</v>
      </c>
      <c r="F7" s="9">
        <v>0</v>
      </c>
      <c r="G7" s="9">
        <v>0</v>
      </c>
      <c r="H7" s="9">
        <v>0</v>
      </c>
      <c r="I7" s="9">
        <v>0</v>
      </c>
      <c r="J7" s="9">
        <v>0</v>
      </c>
      <c r="K7" s="9">
        <v>0</v>
      </c>
      <c r="L7" s="9">
        <v>0</v>
      </c>
      <c r="M7" s="9">
        <v>0</v>
      </c>
      <c r="N7" s="9">
        <v>0</v>
      </c>
      <c r="O7" s="9">
        <v>0</v>
      </c>
      <c r="P7" s="9">
        <v>0</v>
      </c>
      <c r="Q7" s="9">
        <v>0</v>
      </c>
      <c r="R7" s="9">
        <v>0</v>
      </c>
      <c r="S7" s="9">
        <v>0</v>
      </c>
      <c r="T7" s="9">
        <v>0</v>
      </c>
      <c r="U7" s="9">
        <v>0</v>
      </c>
      <c r="V7" s="9">
        <v>0</v>
      </c>
      <c r="W7" s="9">
        <v>6</v>
      </c>
      <c r="X7" s="9">
        <v>0</v>
      </c>
      <c r="Y7" s="9">
        <v>0</v>
      </c>
      <c r="Z7" s="9">
        <v>0</v>
      </c>
      <c r="AA7" s="9">
        <v>0</v>
      </c>
      <c r="AB7" s="9">
        <f t="shared" si="0"/>
        <v>6</v>
      </c>
    </row>
    <row r="8" spans="1:28" ht="105" x14ac:dyDescent="0.25">
      <c r="A8" s="7" t="s">
        <v>100</v>
      </c>
      <c r="B8" s="2" t="s">
        <v>220</v>
      </c>
      <c r="C8" s="2" t="s">
        <v>101</v>
      </c>
      <c r="D8" s="2" t="s">
        <v>221</v>
      </c>
      <c r="E8" s="2" t="s">
        <v>85</v>
      </c>
      <c r="F8" s="9">
        <v>1</v>
      </c>
      <c r="G8" s="9">
        <v>10</v>
      </c>
      <c r="H8" s="9">
        <v>0</v>
      </c>
      <c r="I8" s="9">
        <v>0</v>
      </c>
      <c r="J8" s="9">
        <v>0</v>
      </c>
      <c r="K8" s="9">
        <v>0</v>
      </c>
      <c r="L8" s="9">
        <v>0</v>
      </c>
      <c r="M8" s="9">
        <v>0</v>
      </c>
      <c r="N8" s="9">
        <v>1</v>
      </c>
      <c r="O8" s="9">
        <v>1</v>
      </c>
      <c r="P8" s="9">
        <v>1</v>
      </c>
      <c r="Q8" s="9">
        <v>0</v>
      </c>
      <c r="R8" s="9">
        <v>1</v>
      </c>
      <c r="S8" s="9">
        <v>0</v>
      </c>
      <c r="T8" s="9">
        <v>1</v>
      </c>
      <c r="U8" s="9">
        <v>0</v>
      </c>
      <c r="V8" s="9">
        <v>2</v>
      </c>
      <c r="W8" s="9">
        <v>828</v>
      </c>
      <c r="X8" s="9">
        <v>7</v>
      </c>
      <c r="Y8" s="9">
        <v>0</v>
      </c>
      <c r="Z8" s="9">
        <v>1</v>
      </c>
      <c r="AA8" s="9">
        <v>5</v>
      </c>
      <c r="AB8" s="9">
        <f t="shared" si="0"/>
        <v>859</v>
      </c>
    </row>
    <row r="9" spans="1:28" ht="15.6" x14ac:dyDescent="0.3">
      <c r="A9" t="s">
        <v>132</v>
      </c>
      <c r="B9" s="11" t="s">
        <v>222</v>
      </c>
      <c r="C9" s="11" t="s">
        <v>223</v>
      </c>
      <c r="D9" s="20"/>
      <c r="E9" s="20"/>
      <c r="F9" s="4">
        <f>SUBTOTAL(109,Riverside[American Sign Language Total])</f>
        <v>1</v>
      </c>
      <c r="G9" s="4">
        <f>SUBTOTAL(109,Riverside[Arabic Total])</f>
        <v>10</v>
      </c>
      <c r="H9" s="4">
        <f>SUBTOTAL(109,Riverside[Armenian Total])</f>
        <v>0</v>
      </c>
      <c r="I9" s="4">
        <f>SUBTOTAL(109,Riverside[Bengali Total])</f>
        <v>0</v>
      </c>
      <c r="J9" s="4">
        <f>SUBTOTAL(109,Riverside[Chinese Total])</f>
        <v>152</v>
      </c>
      <c r="K9" s="4">
        <f>SUBTOTAL(109,Riverside[Farsi (Persian) Total])</f>
        <v>0</v>
      </c>
      <c r="L9" s="4">
        <f>SUBTOTAL(109,Riverside[French Total])</f>
        <v>0</v>
      </c>
      <c r="M9" s="4">
        <f>SUBTOTAL(109,Riverside[German Total])</f>
        <v>0</v>
      </c>
      <c r="N9" s="4">
        <f>SUBTOTAL(109,Riverside[Hebrew Total])</f>
        <v>1</v>
      </c>
      <c r="O9" s="4">
        <f>SUBTOTAL(109,Riverside[Hindi Total])</f>
        <v>1</v>
      </c>
      <c r="P9" s="4">
        <f>SUBTOTAL(109,Riverside[Hmong Total])</f>
        <v>1</v>
      </c>
      <c r="Q9" s="4">
        <f>SUBTOTAL(109,Riverside[Italian Total])</f>
        <v>0</v>
      </c>
      <c r="R9" s="4">
        <f>SUBTOTAL(109,Riverside[Japanese Total])</f>
        <v>1</v>
      </c>
      <c r="S9" s="4">
        <f>SUBTOTAL(109,Riverside[Korean Total])</f>
        <v>0</v>
      </c>
      <c r="T9" s="4">
        <f>SUBTOTAL(109,Riverside[Portuguese Total])</f>
        <v>1</v>
      </c>
      <c r="U9" s="4">
        <f>SUBTOTAL(109,Riverside[Punjabi Total])</f>
        <v>0</v>
      </c>
      <c r="V9" s="4">
        <f>SUBTOTAL(109,Riverside[Russian Total])</f>
        <v>2</v>
      </c>
      <c r="W9" s="4">
        <f>SUBTOTAL(109,Riverside[Spanish Total])</f>
        <v>2494</v>
      </c>
      <c r="X9" s="4">
        <f>SUBTOTAL(109,Riverside[Tagalog (Filipino) Total])</f>
        <v>7</v>
      </c>
      <c r="Y9" s="4">
        <f>SUBTOTAL(109,Riverside[Urdu Total])</f>
        <v>0</v>
      </c>
      <c r="Z9" s="4">
        <f>SUBTOTAL(109,Riverside[Vietnamese Total])</f>
        <v>1</v>
      </c>
      <c r="AA9" s="4">
        <f>SUBTOTAL(109,Riverside[Other Total])</f>
        <v>5</v>
      </c>
      <c r="AB9" s="4">
        <f>SUBTOTAL(109,Riverside[Total Seals per LEA])</f>
        <v>2677</v>
      </c>
    </row>
  </sheetData>
  <conditionalFormatting sqref="A1:E1 A2:B3">
    <cfRule type="duplicateValues" dxfId="80" priority="2"/>
  </conditionalFormatting>
  <conditionalFormatting sqref="C2:E3">
    <cfRule type="duplicateValues" dxfId="79"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713A-21A4-49CC-A3F7-C16EF77EED48}">
  <sheetPr codeName="Sheet16"/>
  <dimension ref="A1:AB8"/>
  <sheetViews>
    <sheetView zoomScaleNormal="100" workbookViewId="0">
      <pane xSplit="1" ySplit="2" topLeftCell="B3" activePane="bottomRight" state="frozen"/>
      <selection activeCell="U10" sqref="U10"/>
      <selection pane="topRight" activeCell="U10" sqref="U10"/>
      <selection pane="bottomLeft" activeCell="U10" sqref="U10"/>
      <selection pane="bottomRight"/>
    </sheetView>
  </sheetViews>
  <sheetFormatPr defaultRowHeight="15" x14ac:dyDescent="0.25"/>
  <cols>
    <col min="1" max="1" width="25.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5</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286.5" customHeight="1" x14ac:dyDescent="0.25">
      <c r="A3" s="2" t="s">
        <v>224</v>
      </c>
      <c r="B3" s="6" t="s">
        <v>227</v>
      </c>
      <c r="C3" s="2" t="s">
        <v>64</v>
      </c>
      <c r="D3" s="2" t="s">
        <v>228</v>
      </c>
      <c r="E3" s="2" t="s">
        <v>74</v>
      </c>
      <c r="F3" s="14">
        <v>0</v>
      </c>
      <c r="G3" s="14">
        <v>4</v>
      </c>
      <c r="H3" s="14">
        <v>13</v>
      </c>
      <c r="I3" s="9">
        <v>6</v>
      </c>
      <c r="J3" s="9">
        <v>33</v>
      </c>
      <c r="K3" s="9">
        <v>19</v>
      </c>
      <c r="L3" s="14">
        <v>1</v>
      </c>
      <c r="M3" s="14">
        <v>1</v>
      </c>
      <c r="N3" s="9">
        <v>6</v>
      </c>
      <c r="O3" s="9">
        <v>18</v>
      </c>
      <c r="P3" s="14">
        <v>1</v>
      </c>
      <c r="Q3" s="14">
        <v>2</v>
      </c>
      <c r="R3" s="14">
        <v>5</v>
      </c>
      <c r="S3" s="14">
        <v>16</v>
      </c>
      <c r="T3" s="14">
        <v>1</v>
      </c>
      <c r="U3" s="9">
        <v>8</v>
      </c>
      <c r="V3" s="9">
        <v>29</v>
      </c>
      <c r="W3" s="14">
        <v>87</v>
      </c>
      <c r="X3" s="14">
        <v>4</v>
      </c>
      <c r="Y3" s="9">
        <v>4</v>
      </c>
      <c r="Z3" s="14">
        <v>3</v>
      </c>
      <c r="AA3" s="14">
        <v>182</v>
      </c>
      <c r="AB3" s="14">
        <f>SUM(F3:AA3)</f>
        <v>443</v>
      </c>
    </row>
    <row r="4" spans="1:28" x14ac:dyDescent="0.25">
      <c r="A4" s="2" t="s">
        <v>225</v>
      </c>
      <c r="B4" s="2" t="s">
        <v>225</v>
      </c>
      <c r="C4" s="2" t="s">
        <v>64</v>
      </c>
      <c r="D4" s="2" t="s">
        <v>69</v>
      </c>
      <c r="E4" s="2" t="s">
        <v>71</v>
      </c>
      <c r="F4" s="14">
        <v>0</v>
      </c>
      <c r="G4" s="14">
        <v>0</v>
      </c>
      <c r="H4" s="14">
        <v>0</v>
      </c>
      <c r="I4" s="9">
        <v>0</v>
      </c>
      <c r="J4" s="9">
        <v>4</v>
      </c>
      <c r="K4" s="9">
        <v>1</v>
      </c>
      <c r="L4" s="14">
        <v>0</v>
      </c>
      <c r="M4" s="14">
        <v>0</v>
      </c>
      <c r="N4" s="9">
        <v>0</v>
      </c>
      <c r="O4" s="9">
        <v>2</v>
      </c>
      <c r="P4" s="14">
        <v>0</v>
      </c>
      <c r="Q4" s="14">
        <v>0</v>
      </c>
      <c r="R4" s="14">
        <v>0</v>
      </c>
      <c r="S4" s="14">
        <v>0</v>
      </c>
      <c r="T4" s="14">
        <v>0</v>
      </c>
      <c r="U4" s="9">
        <v>2</v>
      </c>
      <c r="V4" s="9">
        <v>3</v>
      </c>
      <c r="W4" s="14">
        <v>6</v>
      </c>
      <c r="X4" s="14">
        <v>5</v>
      </c>
      <c r="Y4" s="9">
        <v>0</v>
      </c>
      <c r="Z4" s="14">
        <v>0</v>
      </c>
      <c r="AA4" s="14">
        <v>1</v>
      </c>
      <c r="AB4" s="14">
        <f>SUM(F4:AA4)</f>
        <v>24</v>
      </c>
    </row>
    <row r="5" spans="1:28" s="7" customFormat="1" ht="30" x14ac:dyDescent="0.25">
      <c r="A5" s="7" t="s">
        <v>226</v>
      </c>
      <c r="B5" t="s">
        <v>229</v>
      </c>
      <c r="C5" s="7" t="s">
        <v>64</v>
      </c>
      <c r="D5" s="2" t="s">
        <v>230</v>
      </c>
      <c r="E5" s="2" t="s">
        <v>112</v>
      </c>
      <c r="F5" s="9">
        <v>0</v>
      </c>
      <c r="G5" s="9">
        <v>0</v>
      </c>
      <c r="H5" s="9">
        <v>0</v>
      </c>
      <c r="I5" s="9">
        <v>0</v>
      </c>
      <c r="J5" s="9">
        <v>0</v>
      </c>
      <c r="K5" s="9">
        <v>0</v>
      </c>
      <c r="L5" s="9">
        <v>0</v>
      </c>
      <c r="M5" s="9">
        <v>0</v>
      </c>
      <c r="N5" s="9">
        <v>0</v>
      </c>
      <c r="O5" s="9">
        <v>0</v>
      </c>
      <c r="P5" s="9">
        <v>0</v>
      </c>
      <c r="Q5" s="9">
        <v>0</v>
      </c>
      <c r="R5" s="9">
        <v>0</v>
      </c>
      <c r="S5" s="9">
        <v>0</v>
      </c>
      <c r="T5" s="9">
        <v>0</v>
      </c>
      <c r="U5" s="9">
        <v>0</v>
      </c>
      <c r="V5" s="9">
        <v>0</v>
      </c>
      <c r="W5" s="9">
        <v>20</v>
      </c>
      <c r="X5" s="9">
        <v>0</v>
      </c>
      <c r="Y5" s="9">
        <v>0</v>
      </c>
      <c r="Z5" s="9">
        <v>0</v>
      </c>
      <c r="AA5" s="9">
        <v>2</v>
      </c>
      <c r="AB5" s="9">
        <f>SUM(F5:AA5)</f>
        <v>22</v>
      </c>
    </row>
    <row r="6" spans="1:28" s="7" customFormat="1" ht="30" x14ac:dyDescent="0.25">
      <c r="A6" s="7" t="s">
        <v>315</v>
      </c>
      <c r="B6" s="2" t="s">
        <v>316</v>
      </c>
      <c r="C6" s="2" t="s">
        <v>316</v>
      </c>
      <c r="D6" s="2" t="s">
        <v>65</v>
      </c>
      <c r="E6" s="2" t="s">
        <v>62</v>
      </c>
      <c r="F6" s="9">
        <v>0</v>
      </c>
      <c r="G6" s="9">
        <v>0</v>
      </c>
      <c r="H6" s="9">
        <v>0</v>
      </c>
      <c r="I6" s="9">
        <v>0</v>
      </c>
      <c r="J6" s="9">
        <v>0</v>
      </c>
      <c r="K6" s="9">
        <v>0</v>
      </c>
      <c r="L6" s="9">
        <v>0</v>
      </c>
      <c r="M6" s="9">
        <v>0</v>
      </c>
      <c r="N6" s="9">
        <v>0</v>
      </c>
      <c r="O6" s="9">
        <v>0</v>
      </c>
      <c r="P6" s="9">
        <v>0</v>
      </c>
      <c r="Q6" s="9">
        <v>0</v>
      </c>
      <c r="R6" s="9">
        <v>0</v>
      </c>
      <c r="S6" s="9">
        <v>0</v>
      </c>
      <c r="T6" s="9">
        <v>0</v>
      </c>
      <c r="U6" s="9">
        <v>0</v>
      </c>
      <c r="V6" s="9">
        <v>0</v>
      </c>
      <c r="W6" s="9">
        <v>200</v>
      </c>
      <c r="X6" s="9">
        <v>0</v>
      </c>
      <c r="Y6" s="9">
        <v>0</v>
      </c>
      <c r="Z6" s="9">
        <v>0</v>
      </c>
      <c r="AA6" s="9">
        <v>0</v>
      </c>
      <c r="AB6" s="9">
        <f>SUM(F6:AA6)</f>
        <v>200</v>
      </c>
    </row>
    <row r="7" spans="1:28" ht="30" x14ac:dyDescent="0.25">
      <c r="A7" s="7" t="s">
        <v>42</v>
      </c>
      <c r="B7" s="6" t="s">
        <v>231</v>
      </c>
      <c r="C7" s="6" t="s">
        <v>231</v>
      </c>
      <c r="D7" s="2" t="s">
        <v>89</v>
      </c>
      <c r="E7" s="2" t="s">
        <v>104</v>
      </c>
      <c r="F7" s="9">
        <v>0</v>
      </c>
      <c r="G7" s="9">
        <v>0</v>
      </c>
      <c r="H7" s="9">
        <v>0</v>
      </c>
      <c r="I7" s="9">
        <v>0</v>
      </c>
      <c r="J7" s="9">
        <v>0</v>
      </c>
      <c r="K7" s="9">
        <v>0</v>
      </c>
      <c r="L7" s="9">
        <v>0</v>
      </c>
      <c r="M7" s="9">
        <v>0</v>
      </c>
      <c r="N7" s="9">
        <v>0</v>
      </c>
      <c r="O7" s="9">
        <v>0</v>
      </c>
      <c r="P7" s="9">
        <v>0</v>
      </c>
      <c r="Q7" s="9">
        <v>0</v>
      </c>
      <c r="R7" s="9">
        <v>0</v>
      </c>
      <c r="S7" s="9">
        <v>0</v>
      </c>
      <c r="T7" s="9">
        <v>0</v>
      </c>
      <c r="U7" s="9">
        <v>0</v>
      </c>
      <c r="V7" s="9">
        <v>0</v>
      </c>
      <c r="W7" s="9">
        <v>113</v>
      </c>
      <c r="X7" s="9">
        <v>0</v>
      </c>
      <c r="Y7" s="9">
        <v>0</v>
      </c>
      <c r="Z7" s="9">
        <v>0</v>
      </c>
      <c r="AA7" s="9">
        <v>0</v>
      </c>
      <c r="AB7" s="9">
        <f>SUM(F7:AA7)</f>
        <v>113</v>
      </c>
    </row>
    <row r="8" spans="1:28" ht="15.6" x14ac:dyDescent="0.3">
      <c r="A8" t="s">
        <v>142</v>
      </c>
      <c r="B8" s="11" t="s">
        <v>317</v>
      </c>
      <c r="C8" s="11" t="s">
        <v>39</v>
      </c>
      <c r="D8" s="20"/>
      <c r="E8" s="20"/>
      <c r="F8" s="4">
        <f>SUBTOTAL(109,Sacramento[American Sign Language Total])</f>
        <v>0</v>
      </c>
      <c r="G8" s="4">
        <f>SUBTOTAL(109,Sacramento[Arabic Total])</f>
        <v>4</v>
      </c>
      <c r="H8" s="4">
        <f>SUBTOTAL(109,Sacramento[Armenian Total])</f>
        <v>13</v>
      </c>
      <c r="I8" s="4">
        <f>SUBTOTAL(109,Sacramento[Bengali Total])</f>
        <v>6</v>
      </c>
      <c r="J8" s="4">
        <f>SUBTOTAL(109,Sacramento[Chinese Total])</f>
        <v>37</v>
      </c>
      <c r="K8" s="4">
        <f>SUBTOTAL(109,Sacramento[Farsi (Persian) Total])</f>
        <v>20</v>
      </c>
      <c r="L8" s="4">
        <f>SUBTOTAL(109,Sacramento[French Total])</f>
        <v>1</v>
      </c>
      <c r="M8" s="4">
        <f>SUBTOTAL(109,Sacramento[German Total])</f>
        <v>1</v>
      </c>
      <c r="N8" s="4">
        <f>SUBTOTAL(109,Sacramento[Hebrew Total])</f>
        <v>6</v>
      </c>
      <c r="O8" s="4">
        <f>SUBTOTAL(109,Sacramento[Hindi Total])</f>
        <v>20</v>
      </c>
      <c r="P8" s="4">
        <f>SUBTOTAL(109,Sacramento[Hmong Total])</f>
        <v>1</v>
      </c>
      <c r="Q8" s="4">
        <f>SUBTOTAL(109,Sacramento[Italian Total])</f>
        <v>2</v>
      </c>
      <c r="R8" s="4">
        <f>SUBTOTAL(109,Sacramento[Japanese Total])</f>
        <v>5</v>
      </c>
      <c r="S8" s="4">
        <f>SUBTOTAL(109,Sacramento[Korean Total])</f>
        <v>16</v>
      </c>
      <c r="T8" s="4">
        <f>SUBTOTAL(109,Sacramento[Portuguese Total])</f>
        <v>1</v>
      </c>
      <c r="U8" s="4">
        <f>SUBTOTAL(109,Sacramento[Punjabi Total])</f>
        <v>10</v>
      </c>
      <c r="V8" s="4">
        <f>SUBTOTAL(109,Sacramento[Russian Total])</f>
        <v>32</v>
      </c>
      <c r="W8" s="4">
        <f>SUBTOTAL(109,Sacramento[Spanish Total])</f>
        <v>426</v>
      </c>
      <c r="X8" s="4">
        <f>SUBTOTAL(109,Sacramento[Tagalog (Filipino) Total])</f>
        <v>9</v>
      </c>
      <c r="Y8" s="4">
        <f>SUBTOTAL(109,Sacramento[Urdu Total])</f>
        <v>4</v>
      </c>
      <c r="Z8" s="4">
        <f>SUBTOTAL(109,Sacramento[Vietnamese Total])</f>
        <v>3</v>
      </c>
      <c r="AA8" s="4">
        <f>SUBTOTAL(109,Sacramento[Other Total])</f>
        <v>185</v>
      </c>
      <c r="AB8" s="4">
        <f>SUBTOTAL(109,Sacramento[Total Seals per LEA])</f>
        <v>802</v>
      </c>
    </row>
  </sheetData>
  <conditionalFormatting sqref="A1:E1 A2:B3 A4">
    <cfRule type="duplicateValues" dxfId="78" priority="2"/>
  </conditionalFormatting>
  <conditionalFormatting sqref="C2:E2 D3:E4">
    <cfRule type="duplicateValues" dxfId="77" priority="1"/>
  </conditionalFormatting>
  <pageMargins left="0.7" right="0.7" top="0.75" bottom="0.75" header="0.3" footer="0.3"/>
  <pageSetup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2D4E3-F72A-4E81-9E20-4A784A138586}">
  <sheetPr codeName="Sheet17"/>
  <dimension ref="A1:AB7"/>
  <sheetViews>
    <sheetView zoomScaleNormal="100" workbookViewId="0">
      <pane xSplit="1" ySplit="2" topLeftCell="B3" activePane="bottomRight" state="frozen"/>
      <selection activeCell="U10" sqref="U10"/>
      <selection pane="topRight" activeCell="U10" sqref="U10"/>
      <selection pane="bottomLeft" activeCell="U10" sqref="U10"/>
      <selection pane="bottomRight"/>
    </sheetView>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4</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30" x14ac:dyDescent="0.25">
      <c r="A3" s="2" t="s">
        <v>232</v>
      </c>
      <c r="B3" t="s">
        <v>234</v>
      </c>
      <c r="C3" s="2" t="s">
        <v>64</v>
      </c>
      <c r="D3" s="2" t="s">
        <v>65</v>
      </c>
      <c r="E3" s="2" t="s">
        <v>62</v>
      </c>
      <c r="F3" s="14">
        <v>0</v>
      </c>
      <c r="G3" s="14">
        <v>0</v>
      </c>
      <c r="H3" s="14">
        <v>0</v>
      </c>
      <c r="I3" s="9">
        <v>0</v>
      </c>
      <c r="J3" s="9">
        <v>0</v>
      </c>
      <c r="K3" s="9">
        <v>0</v>
      </c>
      <c r="L3" s="14">
        <v>0</v>
      </c>
      <c r="M3" s="14">
        <v>0</v>
      </c>
      <c r="N3" s="9">
        <v>0</v>
      </c>
      <c r="O3" s="9">
        <v>0</v>
      </c>
      <c r="P3" s="14">
        <v>0</v>
      </c>
      <c r="Q3" s="14">
        <v>0</v>
      </c>
      <c r="R3" s="14">
        <v>0</v>
      </c>
      <c r="S3" s="14">
        <v>0</v>
      </c>
      <c r="T3" s="14">
        <v>0</v>
      </c>
      <c r="U3" s="9">
        <v>0</v>
      </c>
      <c r="V3" s="9">
        <v>0</v>
      </c>
      <c r="W3" s="14">
        <v>38</v>
      </c>
      <c r="X3" s="14">
        <v>1</v>
      </c>
      <c r="Y3" s="9">
        <v>0</v>
      </c>
      <c r="Z3" s="14">
        <v>0</v>
      </c>
      <c r="AA3" s="14">
        <v>0</v>
      </c>
      <c r="AB3" s="14">
        <f>SUM(F3:AA3)</f>
        <v>39</v>
      </c>
    </row>
    <row r="4" spans="1:28" ht="30" x14ac:dyDescent="0.25">
      <c r="A4" s="2" t="s">
        <v>233</v>
      </c>
      <c r="B4" s="6" t="s">
        <v>235</v>
      </c>
      <c r="C4" s="2" t="s">
        <v>235</v>
      </c>
      <c r="D4" s="2" t="s">
        <v>65</v>
      </c>
      <c r="E4" s="2" t="s">
        <v>62</v>
      </c>
      <c r="F4" s="14">
        <v>0</v>
      </c>
      <c r="G4" s="14">
        <v>0</v>
      </c>
      <c r="H4" s="14">
        <v>0</v>
      </c>
      <c r="I4" s="9">
        <v>0</v>
      </c>
      <c r="J4" s="9">
        <v>0</v>
      </c>
      <c r="K4" s="9">
        <v>0</v>
      </c>
      <c r="L4" s="14">
        <v>0</v>
      </c>
      <c r="M4" s="14">
        <v>0</v>
      </c>
      <c r="N4" s="9">
        <v>0</v>
      </c>
      <c r="O4" s="9">
        <v>0</v>
      </c>
      <c r="P4" s="14">
        <v>0</v>
      </c>
      <c r="Q4" s="14">
        <v>0</v>
      </c>
      <c r="R4" s="14">
        <v>0</v>
      </c>
      <c r="S4" s="14">
        <v>0</v>
      </c>
      <c r="T4" s="14">
        <v>0</v>
      </c>
      <c r="U4" s="9">
        <v>0</v>
      </c>
      <c r="V4" s="9">
        <v>0</v>
      </c>
      <c r="W4" s="14">
        <v>54</v>
      </c>
      <c r="X4" s="14">
        <v>0</v>
      </c>
      <c r="Y4" s="9">
        <v>0</v>
      </c>
      <c r="Z4" s="14">
        <v>0</v>
      </c>
      <c r="AA4" s="14">
        <v>0</v>
      </c>
      <c r="AB4" s="14">
        <f>SUM(F4:AA4)</f>
        <v>54</v>
      </c>
    </row>
    <row r="5" spans="1:28" s="7" customFormat="1" ht="225" x14ac:dyDescent="0.25">
      <c r="A5" s="7" t="s">
        <v>76</v>
      </c>
      <c r="B5" s="2" t="s">
        <v>236</v>
      </c>
      <c r="C5" s="2" t="s">
        <v>237</v>
      </c>
      <c r="D5" s="2" t="s">
        <v>238</v>
      </c>
      <c r="E5" s="2" t="s">
        <v>103</v>
      </c>
      <c r="F5" s="9">
        <v>2</v>
      </c>
      <c r="G5" s="9">
        <v>2</v>
      </c>
      <c r="H5" s="9">
        <v>0</v>
      </c>
      <c r="I5" s="9">
        <v>0</v>
      </c>
      <c r="J5" s="9">
        <v>11</v>
      </c>
      <c r="K5" s="9">
        <v>0</v>
      </c>
      <c r="L5" s="9">
        <v>0</v>
      </c>
      <c r="M5" s="9">
        <v>0</v>
      </c>
      <c r="N5" s="9">
        <v>0</v>
      </c>
      <c r="O5" s="9">
        <v>0</v>
      </c>
      <c r="P5" s="9">
        <v>0</v>
      </c>
      <c r="Q5" s="9">
        <v>0</v>
      </c>
      <c r="R5" s="9">
        <v>3</v>
      </c>
      <c r="S5" s="9">
        <v>1</v>
      </c>
      <c r="T5" s="9">
        <v>0</v>
      </c>
      <c r="U5" s="9">
        <v>1</v>
      </c>
      <c r="V5" s="9">
        <v>0</v>
      </c>
      <c r="W5" s="9">
        <v>639</v>
      </c>
      <c r="X5" s="9">
        <v>1</v>
      </c>
      <c r="Y5" s="9">
        <v>0</v>
      </c>
      <c r="Z5" s="9">
        <v>4</v>
      </c>
      <c r="AA5" s="9">
        <v>3</v>
      </c>
      <c r="AB5" s="9">
        <f>SUM(F5:AA5)</f>
        <v>667</v>
      </c>
    </row>
    <row r="6" spans="1:28" s="7" customFormat="1" ht="90" x14ac:dyDescent="0.25">
      <c r="A6" s="7" t="s">
        <v>102</v>
      </c>
      <c r="B6" s="2" t="s">
        <v>239</v>
      </c>
      <c r="C6" s="7" t="s">
        <v>64</v>
      </c>
      <c r="D6" s="2" t="s">
        <v>240</v>
      </c>
      <c r="E6" s="2" t="s">
        <v>124</v>
      </c>
      <c r="F6" s="9">
        <v>0</v>
      </c>
      <c r="G6" s="9">
        <v>0</v>
      </c>
      <c r="H6" s="9">
        <v>0</v>
      </c>
      <c r="I6" s="9">
        <v>0</v>
      </c>
      <c r="J6" s="9">
        <v>0</v>
      </c>
      <c r="K6" s="9">
        <v>0</v>
      </c>
      <c r="L6" s="9">
        <v>0</v>
      </c>
      <c r="M6" s="9">
        <v>0</v>
      </c>
      <c r="N6" s="9">
        <v>0</v>
      </c>
      <c r="O6" s="9">
        <v>0</v>
      </c>
      <c r="P6" s="9">
        <v>0</v>
      </c>
      <c r="Q6" s="9">
        <v>0</v>
      </c>
      <c r="R6" s="9">
        <v>0</v>
      </c>
      <c r="S6" s="9">
        <v>0</v>
      </c>
      <c r="T6" s="9">
        <v>0</v>
      </c>
      <c r="U6" s="9">
        <v>0</v>
      </c>
      <c r="V6" s="9">
        <v>0</v>
      </c>
      <c r="W6" s="9">
        <v>0</v>
      </c>
      <c r="X6" s="9">
        <v>401</v>
      </c>
      <c r="Y6" s="9">
        <v>0</v>
      </c>
      <c r="Z6" s="9">
        <v>0</v>
      </c>
      <c r="AA6" s="9">
        <v>0</v>
      </c>
      <c r="AB6" s="9">
        <f>SUM(F6:AA6)</f>
        <v>401</v>
      </c>
    </row>
    <row r="7" spans="1:28" ht="15.6" x14ac:dyDescent="0.3">
      <c r="A7" t="s">
        <v>38</v>
      </c>
      <c r="B7" s="11" t="s">
        <v>241</v>
      </c>
      <c r="C7" s="11" t="s">
        <v>242</v>
      </c>
      <c r="D7" s="20"/>
      <c r="E7" s="20"/>
      <c r="F7" s="4">
        <f>SUBTOTAL(109,SanBernardino[American Sign Language Total])</f>
        <v>2</v>
      </c>
      <c r="G7" s="4">
        <f>SUBTOTAL(109,SanBernardino[Arabic Total])</f>
        <v>2</v>
      </c>
      <c r="H7" s="4">
        <f>SUBTOTAL(109,SanBernardino[Armenian Total])</f>
        <v>0</v>
      </c>
      <c r="I7" s="4">
        <f>SUBTOTAL(109,SanBernardino[Bengali Total])</f>
        <v>0</v>
      </c>
      <c r="J7" s="4">
        <f>SUBTOTAL(109,SanBernardino[Chinese Total])</f>
        <v>11</v>
      </c>
      <c r="K7" s="4">
        <f>SUBTOTAL(109,SanBernardino[Farsi (Persian) Total])</f>
        <v>0</v>
      </c>
      <c r="L7" s="4">
        <f>SUBTOTAL(109,SanBernardino[French Total])</f>
        <v>0</v>
      </c>
      <c r="M7" s="4">
        <f>SUBTOTAL(109,SanBernardino[German Total])</f>
        <v>0</v>
      </c>
      <c r="N7" s="4">
        <f>SUBTOTAL(109,SanBernardino[Hebrew Total])</f>
        <v>0</v>
      </c>
      <c r="O7" s="4">
        <f>SUBTOTAL(109,SanBernardino[Hindi Total])</f>
        <v>0</v>
      </c>
      <c r="P7" s="4">
        <f>SUBTOTAL(109,SanBernardino[Hmong Total])</f>
        <v>0</v>
      </c>
      <c r="Q7" s="4">
        <f>SUBTOTAL(109,SanBernardino[Italian Total])</f>
        <v>0</v>
      </c>
      <c r="R7" s="4">
        <f>SUBTOTAL(109,SanBernardino[Japanese Total])</f>
        <v>3</v>
      </c>
      <c r="S7" s="4">
        <f>SUBTOTAL(109,SanBernardino[Korean Total])</f>
        <v>1</v>
      </c>
      <c r="T7" s="4">
        <f>SUBTOTAL(109,SanBernardino[Portuguese Total])</f>
        <v>0</v>
      </c>
      <c r="U7" s="4">
        <f>SUBTOTAL(109,SanBernardino[Punjabi Total])</f>
        <v>1</v>
      </c>
      <c r="V7" s="4">
        <f>SUBTOTAL(109,SanBernardino[Russian Total])</f>
        <v>0</v>
      </c>
      <c r="W7" s="4">
        <f>SUBTOTAL(109,SanBernardino[Spanish Total])</f>
        <v>731</v>
      </c>
      <c r="X7" s="4">
        <f>SUBTOTAL(109,SanBernardino[Tagalog (Filipino) Total])</f>
        <v>403</v>
      </c>
      <c r="Y7" s="4">
        <f>SUBTOTAL(109,SanBernardino[Urdu Total])</f>
        <v>0</v>
      </c>
      <c r="Z7" s="4">
        <f>SUBTOTAL(109,SanBernardino[Vietnamese Total])</f>
        <v>4</v>
      </c>
      <c r="AA7" s="4">
        <f>SUBTOTAL(109,SanBernardino[Other Total])</f>
        <v>3</v>
      </c>
      <c r="AB7" s="4">
        <f>SUBTOTAL(109,SanBernardino[Total Seals per LEA])</f>
        <v>1161</v>
      </c>
    </row>
  </sheetData>
  <conditionalFormatting sqref="A1:E1 A2:B4">
    <cfRule type="duplicateValues" dxfId="76" priority="2"/>
  </conditionalFormatting>
  <conditionalFormatting sqref="C2:E2 C3:C4">
    <cfRule type="duplicateValues" dxfId="75" priority="1"/>
  </conditionalFormatting>
  <pageMargins left="0.7" right="0.7" top="0.75" bottom="0.75" header="0.3" footer="0.3"/>
  <pageSetup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E0ACF-8D33-47A9-B3AF-15310FBAC714}">
  <sheetPr codeName="Sheet18"/>
  <dimension ref="A1:AB18"/>
  <sheetViews>
    <sheetView zoomScaleNormal="100" workbookViewId="0">
      <pane xSplit="1" ySplit="2" topLeftCell="B3" activePane="bottomRight" state="frozen"/>
      <selection activeCell="U10" sqref="U10"/>
      <selection pane="topRight" activeCell="U10" sqref="U10"/>
      <selection pane="bottomLeft" activeCell="U10" sqref="U10"/>
      <selection pane="bottomRight"/>
    </sheetView>
  </sheetViews>
  <sheetFormatPr defaultRowHeight="15" x14ac:dyDescent="0.25"/>
  <cols>
    <col min="1" max="1" width="23.6328125" bestFit="1" customWidth="1"/>
    <col min="2" max="2" width="47.08984375" customWidth="1"/>
    <col min="3" max="3" width="49.08984375" customWidth="1"/>
    <col min="4" max="5" width="41.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6</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30" x14ac:dyDescent="0.25">
      <c r="A3" s="2" t="s">
        <v>329</v>
      </c>
      <c r="B3" s="2" t="s">
        <v>330</v>
      </c>
      <c r="C3" s="2"/>
      <c r="D3" s="2" t="s">
        <v>331</v>
      </c>
      <c r="E3" s="2" t="s">
        <v>104</v>
      </c>
      <c r="F3" s="14">
        <v>0</v>
      </c>
      <c r="G3" s="14">
        <v>0</v>
      </c>
      <c r="H3" s="14">
        <v>0</v>
      </c>
      <c r="I3" s="9">
        <v>0</v>
      </c>
      <c r="J3" s="9">
        <v>0</v>
      </c>
      <c r="K3" s="9">
        <v>0</v>
      </c>
      <c r="L3" s="14">
        <v>0</v>
      </c>
      <c r="M3" s="14">
        <v>0</v>
      </c>
      <c r="N3" s="9">
        <v>0</v>
      </c>
      <c r="O3" s="9">
        <v>0</v>
      </c>
      <c r="P3" s="14">
        <v>0</v>
      </c>
      <c r="Q3" s="14">
        <v>0</v>
      </c>
      <c r="R3" s="14">
        <v>0</v>
      </c>
      <c r="S3" s="14">
        <v>0</v>
      </c>
      <c r="T3" s="14">
        <v>0</v>
      </c>
      <c r="U3" s="9">
        <v>0</v>
      </c>
      <c r="V3" s="9">
        <v>0</v>
      </c>
      <c r="W3" s="14">
        <v>135</v>
      </c>
      <c r="X3" s="14">
        <v>0</v>
      </c>
      <c r="Y3" s="9">
        <v>0</v>
      </c>
      <c r="Z3" s="14">
        <v>0</v>
      </c>
      <c r="AA3" s="14">
        <v>0</v>
      </c>
      <c r="AB3" s="14">
        <v>135</v>
      </c>
    </row>
    <row r="4" spans="1:28" ht="45" x14ac:dyDescent="0.25">
      <c r="A4" s="6" t="s">
        <v>332</v>
      </c>
      <c r="B4" t="s">
        <v>333</v>
      </c>
      <c r="C4" s="6"/>
      <c r="D4" s="2" t="s">
        <v>285</v>
      </c>
      <c r="E4" s="2" t="s">
        <v>103</v>
      </c>
      <c r="F4" s="14">
        <v>0</v>
      </c>
      <c r="G4" s="14">
        <v>0</v>
      </c>
      <c r="H4" s="14">
        <v>0</v>
      </c>
      <c r="I4" s="9">
        <v>0</v>
      </c>
      <c r="J4" s="9">
        <v>0</v>
      </c>
      <c r="K4" s="9">
        <v>0</v>
      </c>
      <c r="L4" s="14">
        <v>0</v>
      </c>
      <c r="M4" s="14">
        <v>0</v>
      </c>
      <c r="N4" s="9">
        <v>0</v>
      </c>
      <c r="O4" s="9">
        <v>0</v>
      </c>
      <c r="P4" s="14">
        <v>0</v>
      </c>
      <c r="Q4" s="14">
        <v>0</v>
      </c>
      <c r="R4" s="14">
        <v>0</v>
      </c>
      <c r="S4" s="14">
        <v>0</v>
      </c>
      <c r="T4" s="14">
        <v>0</v>
      </c>
      <c r="U4" s="9">
        <v>0</v>
      </c>
      <c r="V4" s="9">
        <v>0</v>
      </c>
      <c r="W4" s="14">
        <v>68</v>
      </c>
      <c r="X4" s="14">
        <v>0</v>
      </c>
      <c r="Y4" s="9">
        <v>0</v>
      </c>
      <c r="Z4" s="14">
        <v>0</v>
      </c>
      <c r="AA4" s="14">
        <v>0</v>
      </c>
      <c r="AB4" s="14">
        <v>68</v>
      </c>
    </row>
    <row r="5" spans="1:28" ht="90" x14ac:dyDescent="0.25">
      <c r="A5" s="2" t="s">
        <v>334</v>
      </c>
      <c r="B5" t="s">
        <v>334</v>
      </c>
      <c r="C5" s="2" t="s">
        <v>335</v>
      </c>
      <c r="D5" s="2" t="s">
        <v>65</v>
      </c>
      <c r="E5" s="2" t="s">
        <v>62</v>
      </c>
      <c r="F5" s="14">
        <v>0</v>
      </c>
      <c r="G5" s="14">
        <v>0</v>
      </c>
      <c r="H5" s="14">
        <v>0</v>
      </c>
      <c r="I5" s="9">
        <v>0</v>
      </c>
      <c r="J5" s="9">
        <v>0</v>
      </c>
      <c r="K5" s="9">
        <v>0</v>
      </c>
      <c r="L5" s="14">
        <v>0</v>
      </c>
      <c r="M5" s="14">
        <v>0</v>
      </c>
      <c r="N5" s="9">
        <v>0</v>
      </c>
      <c r="O5" s="9">
        <v>0</v>
      </c>
      <c r="P5" s="14">
        <v>0</v>
      </c>
      <c r="Q5" s="14">
        <v>0</v>
      </c>
      <c r="R5" s="14">
        <v>0</v>
      </c>
      <c r="S5" s="14">
        <v>0</v>
      </c>
      <c r="T5" s="14">
        <v>0</v>
      </c>
      <c r="U5" s="9">
        <v>0</v>
      </c>
      <c r="V5" s="9">
        <v>0</v>
      </c>
      <c r="W5" s="14">
        <v>454</v>
      </c>
      <c r="X5" s="14">
        <v>0</v>
      </c>
      <c r="Y5" s="9">
        <v>0</v>
      </c>
      <c r="Z5" s="14">
        <v>0</v>
      </c>
      <c r="AA5" s="14"/>
      <c r="AB5" s="14">
        <v>454</v>
      </c>
    </row>
    <row r="6" spans="1:28" ht="45" x14ac:dyDescent="0.25">
      <c r="A6" s="6" t="s">
        <v>336</v>
      </c>
      <c r="B6" s="6" t="s">
        <v>337</v>
      </c>
      <c r="C6" s="6"/>
      <c r="D6" s="6" t="s">
        <v>69</v>
      </c>
      <c r="E6" s="6" t="s">
        <v>103</v>
      </c>
      <c r="F6" s="9">
        <v>5</v>
      </c>
      <c r="G6" s="9">
        <v>39</v>
      </c>
      <c r="H6" s="9">
        <v>0</v>
      </c>
      <c r="I6" s="9">
        <v>1</v>
      </c>
      <c r="J6" s="9">
        <v>17</v>
      </c>
      <c r="K6" s="9">
        <v>2</v>
      </c>
      <c r="L6" s="9">
        <v>7</v>
      </c>
      <c r="M6" s="9">
        <v>3</v>
      </c>
      <c r="N6" s="9">
        <v>0</v>
      </c>
      <c r="O6" s="9">
        <v>0</v>
      </c>
      <c r="P6" s="9">
        <v>0</v>
      </c>
      <c r="Q6" s="9">
        <v>2</v>
      </c>
      <c r="R6" s="9">
        <v>1</v>
      </c>
      <c r="S6" s="9">
        <v>6</v>
      </c>
      <c r="T6" s="9">
        <v>1</v>
      </c>
      <c r="U6" s="9">
        <v>0</v>
      </c>
      <c r="V6" s="9">
        <v>3</v>
      </c>
      <c r="W6" s="9">
        <v>167</v>
      </c>
      <c r="X6" s="9">
        <v>0</v>
      </c>
      <c r="Y6" s="9">
        <v>0</v>
      </c>
      <c r="Z6" s="9">
        <v>8</v>
      </c>
      <c r="AA6" s="9">
        <v>11</v>
      </c>
      <c r="AB6" s="14">
        <v>273</v>
      </c>
    </row>
    <row r="7" spans="1:28" ht="45" x14ac:dyDescent="0.25">
      <c r="A7" s="7" t="s">
        <v>338</v>
      </c>
      <c r="B7" s="6" t="s">
        <v>339</v>
      </c>
      <c r="C7" s="2" t="s">
        <v>339</v>
      </c>
      <c r="D7" s="2" t="s">
        <v>65</v>
      </c>
      <c r="E7" s="2" t="s">
        <v>104</v>
      </c>
      <c r="F7" s="9">
        <v>0</v>
      </c>
      <c r="G7" s="9">
        <v>0</v>
      </c>
      <c r="H7" s="9">
        <v>0</v>
      </c>
      <c r="I7" s="9">
        <v>0</v>
      </c>
      <c r="J7" s="9">
        <v>0</v>
      </c>
      <c r="K7" s="9">
        <v>0</v>
      </c>
      <c r="L7" s="9">
        <v>0</v>
      </c>
      <c r="M7" s="9">
        <v>0</v>
      </c>
      <c r="N7" s="9">
        <v>0</v>
      </c>
      <c r="O7" s="9">
        <v>0</v>
      </c>
      <c r="P7" s="9">
        <v>0</v>
      </c>
      <c r="Q7" s="9">
        <v>0</v>
      </c>
      <c r="R7" s="9">
        <v>0</v>
      </c>
      <c r="S7" s="9">
        <v>0</v>
      </c>
      <c r="T7" s="9">
        <v>0</v>
      </c>
      <c r="U7" s="9">
        <v>0</v>
      </c>
      <c r="V7" s="9">
        <v>0</v>
      </c>
      <c r="W7" s="9">
        <v>191</v>
      </c>
      <c r="X7" s="9">
        <v>0</v>
      </c>
      <c r="Y7" s="9">
        <v>0</v>
      </c>
      <c r="Z7" s="9">
        <v>0</v>
      </c>
      <c r="AA7" s="9">
        <v>0</v>
      </c>
      <c r="AB7" s="14">
        <v>191</v>
      </c>
    </row>
    <row r="8" spans="1:28" s="27" customFormat="1" ht="30" x14ac:dyDescent="0.25">
      <c r="A8" s="27" t="s">
        <v>343</v>
      </c>
      <c r="B8" s="6" t="s">
        <v>343</v>
      </c>
      <c r="C8" s="6" t="s">
        <v>64</v>
      </c>
      <c r="D8" s="6" t="s">
        <v>344</v>
      </c>
      <c r="E8" s="6" t="s">
        <v>112</v>
      </c>
      <c r="F8" s="28">
        <v>0</v>
      </c>
      <c r="G8" s="28">
        <v>0</v>
      </c>
      <c r="H8" s="28">
        <v>0</v>
      </c>
      <c r="I8" s="28">
        <v>0</v>
      </c>
      <c r="J8" s="28">
        <v>27</v>
      </c>
      <c r="K8" s="28">
        <v>1</v>
      </c>
      <c r="L8" s="28">
        <v>0</v>
      </c>
      <c r="M8" s="28">
        <v>0</v>
      </c>
      <c r="N8" s="28">
        <v>0</v>
      </c>
      <c r="O8" s="28">
        <v>0</v>
      </c>
      <c r="P8" s="28">
        <v>0</v>
      </c>
      <c r="Q8" s="28">
        <v>0</v>
      </c>
      <c r="R8" s="28">
        <v>0</v>
      </c>
      <c r="S8" s="28">
        <v>0</v>
      </c>
      <c r="T8" s="28">
        <v>0</v>
      </c>
      <c r="U8" s="28">
        <v>0</v>
      </c>
      <c r="V8" s="28">
        <v>0</v>
      </c>
      <c r="W8" s="28">
        <v>40</v>
      </c>
      <c r="X8" s="28">
        <v>0</v>
      </c>
      <c r="Y8" s="28">
        <v>0</v>
      </c>
      <c r="Z8" s="28">
        <v>0</v>
      </c>
      <c r="AA8" s="28">
        <v>1</v>
      </c>
      <c r="AB8" s="29">
        <v>69</v>
      </c>
    </row>
    <row r="9" spans="1:28" s="27" customFormat="1" ht="45" x14ac:dyDescent="0.25">
      <c r="A9" s="27" t="s">
        <v>345</v>
      </c>
      <c r="B9" s="6" t="s">
        <v>345</v>
      </c>
      <c r="C9" s="6" t="s">
        <v>64</v>
      </c>
      <c r="D9" s="6" t="s">
        <v>69</v>
      </c>
      <c r="E9" s="6" t="s">
        <v>103</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8</v>
      </c>
      <c r="X9" s="28">
        <v>0</v>
      </c>
      <c r="Y9" s="28">
        <v>0</v>
      </c>
      <c r="Z9" s="28">
        <v>0</v>
      </c>
      <c r="AA9" s="28">
        <v>0</v>
      </c>
      <c r="AB9" s="29">
        <v>8</v>
      </c>
    </row>
    <row r="10" spans="1:28" s="27" customFormat="1" ht="30" x14ac:dyDescent="0.25">
      <c r="A10" s="27" t="s">
        <v>346</v>
      </c>
      <c r="B10" s="6" t="s">
        <v>347</v>
      </c>
      <c r="C10" s="6" t="s">
        <v>347</v>
      </c>
      <c r="D10" s="6" t="s">
        <v>65</v>
      </c>
      <c r="E10" s="6" t="s">
        <v>104</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424</v>
      </c>
      <c r="X10" s="28">
        <v>0</v>
      </c>
      <c r="Y10" s="28">
        <v>0</v>
      </c>
      <c r="Z10" s="28">
        <v>0</v>
      </c>
      <c r="AA10" s="28">
        <v>0</v>
      </c>
      <c r="AB10" s="29">
        <v>424</v>
      </c>
    </row>
    <row r="11" spans="1:28" s="27" customFormat="1" ht="30" x14ac:dyDescent="0.25">
      <c r="A11" s="27" t="s">
        <v>348</v>
      </c>
      <c r="B11" s="6" t="s">
        <v>349</v>
      </c>
      <c r="C11" s="6" t="s">
        <v>64</v>
      </c>
      <c r="D11" s="6" t="s">
        <v>69</v>
      </c>
      <c r="E11" s="6" t="s">
        <v>71</v>
      </c>
      <c r="F11" s="28">
        <v>0</v>
      </c>
      <c r="G11" s="28">
        <v>0</v>
      </c>
      <c r="H11" s="28">
        <v>0</v>
      </c>
      <c r="I11" s="28">
        <v>0</v>
      </c>
      <c r="J11" s="28">
        <v>0</v>
      </c>
      <c r="K11" s="28">
        <v>0</v>
      </c>
      <c r="L11" s="28">
        <v>0</v>
      </c>
      <c r="M11" s="28">
        <v>0</v>
      </c>
      <c r="N11" s="28">
        <v>0</v>
      </c>
      <c r="O11" s="28">
        <v>0</v>
      </c>
      <c r="P11" s="28">
        <v>0</v>
      </c>
      <c r="Q11" s="28">
        <v>0</v>
      </c>
      <c r="R11" s="28">
        <v>0</v>
      </c>
      <c r="S11" s="28">
        <v>0</v>
      </c>
      <c r="T11" s="28">
        <v>0</v>
      </c>
      <c r="U11" s="28">
        <v>0</v>
      </c>
      <c r="V11" s="28">
        <v>0</v>
      </c>
      <c r="W11" s="28">
        <v>15</v>
      </c>
      <c r="X11" s="28">
        <v>0</v>
      </c>
      <c r="Y11" s="28">
        <v>0</v>
      </c>
      <c r="Z11" s="28">
        <v>0</v>
      </c>
      <c r="AA11" s="28">
        <v>0</v>
      </c>
      <c r="AB11" s="29">
        <v>15</v>
      </c>
    </row>
    <row r="12" spans="1:28" ht="30" x14ac:dyDescent="0.25">
      <c r="A12" s="2" t="s">
        <v>243</v>
      </c>
      <c r="B12" s="2" t="s">
        <v>245</v>
      </c>
      <c r="C12" s="2" t="s">
        <v>245</v>
      </c>
      <c r="D12" s="2" t="s">
        <v>65</v>
      </c>
      <c r="E12" s="2" t="s">
        <v>104</v>
      </c>
      <c r="F12" s="9">
        <v>0</v>
      </c>
      <c r="G12" s="9">
        <v>0</v>
      </c>
      <c r="H12" s="9">
        <v>0</v>
      </c>
      <c r="I12" s="9">
        <v>0</v>
      </c>
      <c r="J12" s="9">
        <v>0</v>
      </c>
      <c r="K12" s="9">
        <v>0</v>
      </c>
      <c r="L12" s="9">
        <v>0</v>
      </c>
      <c r="M12" s="9">
        <v>0</v>
      </c>
      <c r="N12" s="9">
        <v>0</v>
      </c>
      <c r="O12" s="9">
        <v>0</v>
      </c>
      <c r="P12" s="9">
        <v>0</v>
      </c>
      <c r="Q12" s="9">
        <v>0</v>
      </c>
      <c r="R12" s="9">
        <v>0</v>
      </c>
      <c r="S12" s="9">
        <v>0</v>
      </c>
      <c r="T12" s="9">
        <v>0</v>
      </c>
      <c r="U12" s="9">
        <v>0</v>
      </c>
      <c r="V12" s="9">
        <v>0</v>
      </c>
      <c r="W12" s="9">
        <v>272</v>
      </c>
      <c r="X12" s="9">
        <v>0</v>
      </c>
      <c r="Y12" s="9">
        <v>0</v>
      </c>
      <c r="Z12" s="9">
        <v>0</v>
      </c>
      <c r="AA12" s="9">
        <v>0</v>
      </c>
      <c r="AB12" s="14">
        <f>SUM(F12:AA12)</f>
        <v>272</v>
      </c>
    </row>
    <row r="13" spans="1:28" ht="408.9" customHeight="1" x14ac:dyDescent="0.25">
      <c r="A13" s="7" t="s">
        <v>12</v>
      </c>
      <c r="B13" s="2" t="s">
        <v>246</v>
      </c>
      <c r="C13" s="2" t="s">
        <v>246</v>
      </c>
      <c r="D13" s="2" t="s">
        <v>105</v>
      </c>
      <c r="E13" s="2" t="s">
        <v>125</v>
      </c>
      <c r="F13" s="9">
        <v>0</v>
      </c>
      <c r="G13" s="9">
        <v>0</v>
      </c>
      <c r="H13" s="9">
        <v>0</v>
      </c>
      <c r="I13" s="9">
        <v>0</v>
      </c>
      <c r="J13" s="9">
        <v>100</v>
      </c>
      <c r="K13" s="9">
        <v>0</v>
      </c>
      <c r="L13" s="9">
        <v>100</v>
      </c>
      <c r="M13" s="9">
        <v>0</v>
      </c>
      <c r="N13" s="9">
        <v>0</v>
      </c>
      <c r="O13" s="9">
        <v>0</v>
      </c>
      <c r="P13" s="9">
        <v>0</v>
      </c>
      <c r="Q13" s="9">
        <v>0</v>
      </c>
      <c r="R13" s="9">
        <v>0</v>
      </c>
      <c r="S13" s="9">
        <v>0</v>
      </c>
      <c r="T13" s="9">
        <v>0</v>
      </c>
      <c r="U13" s="9">
        <v>0</v>
      </c>
      <c r="V13" s="9">
        <v>0</v>
      </c>
      <c r="W13" s="9">
        <v>200</v>
      </c>
      <c r="X13" s="9">
        <v>0</v>
      </c>
      <c r="Y13" s="9">
        <v>0</v>
      </c>
      <c r="Z13" s="9">
        <v>0</v>
      </c>
      <c r="AA13" s="9">
        <v>0</v>
      </c>
      <c r="AB13" s="14">
        <f t="shared" ref="AB13:AB14" si="0">SUM(F13:AA13)</f>
        <v>400</v>
      </c>
    </row>
    <row r="14" spans="1:28" ht="47.4" customHeight="1" x14ac:dyDescent="0.25">
      <c r="A14" s="2" t="s">
        <v>77</v>
      </c>
      <c r="B14" s="6" t="s">
        <v>78</v>
      </c>
      <c r="C14" s="6" t="s">
        <v>78</v>
      </c>
      <c r="D14" s="6" t="s">
        <v>65</v>
      </c>
      <c r="E14" s="2" t="s">
        <v>247</v>
      </c>
      <c r="F14" s="9">
        <v>0</v>
      </c>
      <c r="G14" s="9">
        <v>0</v>
      </c>
      <c r="H14" s="9">
        <v>0</v>
      </c>
      <c r="I14" s="9">
        <v>0</v>
      </c>
      <c r="J14" s="9">
        <v>0</v>
      </c>
      <c r="K14" s="9">
        <v>0</v>
      </c>
      <c r="L14" s="9">
        <v>0</v>
      </c>
      <c r="M14" s="9">
        <v>0</v>
      </c>
      <c r="N14" s="9">
        <v>0</v>
      </c>
      <c r="O14" s="9">
        <v>0</v>
      </c>
      <c r="P14" s="9">
        <v>0</v>
      </c>
      <c r="Q14" s="9">
        <v>0</v>
      </c>
      <c r="R14" s="9">
        <v>0</v>
      </c>
      <c r="S14" s="9">
        <v>0</v>
      </c>
      <c r="T14" s="9">
        <v>0</v>
      </c>
      <c r="U14" s="9">
        <v>0</v>
      </c>
      <c r="V14" s="9">
        <v>0</v>
      </c>
      <c r="W14" s="9">
        <v>143</v>
      </c>
      <c r="X14" s="9">
        <v>0</v>
      </c>
      <c r="Y14" s="9">
        <v>0</v>
      </c>
      <c r="Z14" s="9">
        <v>0</v>
      </c>
      <c r="AA14" s="9">
        <v>0</v>
      </c>
      <c r="AB14" s="14">
        <f t="shared" si="0"/>
        <v>143</v>
      </c>
    </row>
    <row r="15" spans="1:28" ht="45" x14ac:dyDescent="0.25">
      <c r="A15" s="2" t="s">
        <v>106</v>
      </c>
      <c r="B15" s="6" t="s">
        <v>248</v>
      </c>
      <c r="C15" s="2" t="s">
        <v>248</v>
      </c>
      <c r="D15" s="2" t="s">
        <v>65</v>
      </c>
      <c r="E15" s="2" t="s">
        <v>104</v>
      </c>
      <c r="F15" s="9">
        <v>0</v>
      </c>
      <c r="G15" s="9">
        <v>0</v>
      </c>
      <c r="H15" s="9">
        <v>0</v>
      </c>
      <c r="I15" s="9">
        <v>0</v>
      </c>
      <c r="J15" s="9">
        <v>0</v>
      </c>
      <c r="K15" s="9">
        <v>0</v>
      </c>
      <c r="L15" s="9">
        <v>0</v>
      </c>
      <c r="M15" s="9">
        <v>0</v>
      </c>
      <c r="N15" s="9">
        <v>0</v>
      </c>
      <c r="O15" s="9">
        <v>0</v>
      </c>
      <c r="P15" s="9">
        <v>0</v>
      </c>
      <c r="Q15" s="9">
        <v>0</v>
      </c>
      <c r="R15" s="9">
        <v>0</v>
      </c>
      <c r="S15" s="9">
        <v>0</v>
      </c>
      <c r="T15" s="9">
        <v>0</v>
      </c>
      <c r="U15" s="9">
        <v>0</v>
      </c>
      <c r="V15" s="9">
        <v>0</v>
      </c>
      <c r="W15" s="9">
        <v>990</v>
      </c>
      <c r="X15" s="9">
        <v>0</v>
      </c>
      <c r="Y15" s="9">
        <v>0</v>
      </c>
      <c r="Z15" s="9">
        <v>0</v>
      </c>
      <c r="AA15" s="9">
        <v>0</v>
      </c>
      <c r="AB15" s="14">
        <f>SUM(F15:AA15)</f>
        <v>990</v>
      </c>
    </row>
    <row r="16" spans="1:28" ht="41.1" customHeight="1" x14ac:dyDescent="0.25">
      <c r="A16" s="7" t="s">
        <v>8</v>
      </c>
      <c r="B16" s="2" t="s">
        <v>249</v>
      </c>
      <c r="C16" s="2" t="s">
        <v>249</v>
      </c>
      <c r="D16" s="2" t="s">
        <v>96</v>
      </c>
      <c r="E16" s="2" t="s">
        <v>104</v>
      </c>
      <c r="F16" s="9">
        <v>0</v>
      </c>
      <c r="G16" s="9">
        <v>0</v>
      </c>
      <c r="H16" s="9">
        <v>0</v>
      </c>
      <c r="I16" s="9">
        <v>0</v>
      </c>
      <c r="J16" s="9">
        <v>0</v>
      </c>
      <c r="K16" s="9">
        <v>0</v>
      </c>
      <c r="L16" s="9">
        <v>0</v>
      </c>
      <c r="M16" s="9">
        <v>0</v>
      </c>
      <c r="N16" s="9">
        <v>0</v>
      </c>
      <c r="O16" s="9">
        <v>0</v>
      </c>
      <c r="P16" s="9">
        <v>0</v>
      </c>
      <c r="Q16" s="9">
        <v>0</v>
      </c>
      <c r="R16" s="9">
        <v>0</v>
      </c>
      <c r="S16" s="9">
        <v>0</v>
      </c>
      <c r="T16" s="9">
        <v>0</v>
      </c>
      <c r="U16" s="9">
        <v>0</v>
      </c>
      <c r="V16" s="9">
        <v>0</v>
      </c>
      <c r="W16" s="9">
        <v>800</v>
      </c>
      <c r="X16" s="9">
        <v>0</v>
      </c>
      <c r="Y16" s="9">
        <v>0</v>
      </c>
      <c r="Z16" s="9">
        <v>0</v>
      </c>
      <c r="AA16" s="9">
        <v>0</v>
      </c>
      <c r="AB16" s="14">
        <f>SUM(F16:AA16)</f>
        <v>800</v>
      </c>
    </row>
    <row r="17" spans="1:28" ht="39.6" customHeight="1" x14ac:dyDescent="0.25">
      <c r="A17" s="7" t="s">
        <v>244</v>
      </c>
      <c r="B17" t="s">
        <v>250</v>
      </c>
      <c r="C17" s="2" t="s">
        <v>64</v>
      </c>
      <c r="D17" s="2" t="s">
        <v>69</v>
      </c>
      <c r="E17" s="2" t="s">
        <v>71</v>
      </c>
      <c r="F17" s="9">
        <v>0</v>
      </c>
      <c r="G17" s="9">
        <v>0</v>
      </c>
      <c r="H17" s="9">
        <v>0</v>
      </c>
      <c r="I17" s="9">
        <v>0</v>
      </c>
      <c r="J17" s="9">
        <v>0</v>
      </c>
      <c r="K17" s="9">
        <v>0</v>
      </c>
      <c r="L17" s="9">
        <v>0</v>
      </c>
      <c r="M17" s="9">
        <v>0</v>
      </c>
      <c r="N17" s="9">
        <v>0</v>
      </c>
      <c r="O17" s="9">
        <v>0</v>
      </c>
      <c r="P17" s="9">
        <v>0</v>
      </c>
      <c r="Q17" s="9">
        <v>0</v>
      </c>
      <c r="R17" s="9">
        <v>0</v>
      </c>
      <c r="S17" s="9">
        <v>0</v>
      </c>
      <c r="T17" s="9">
        <v>0</v>
      </c>
      <c r="U17" s="9">
        <v>0</v>
      </c>
      <c r="V17" s="9">
        <v>0</v>
      </c>
      <c r="W17" s="9">
        <v>1</v>
      </c>
      <c r="X17" s="9">
        <v>0</v>
      </c>
      <c r="Y17" s="9">
        <v>0</v>
      </c>
      <c r="Z17" s="9">
        <v>0</v>
      </c>
      <c r="AA17" s="9">
        <v>0</v>
      </c>
      <c r="AB17" s="14">
        <f>SUM(F17:AA17)</f>
        <v>1</v>
      </c>
    </row>
    <row r="18" spans="1:28" ht="15.6" x14ac:dyDescent="0.3">
      <c r="A18" t="s">
        <v>251</v>
      </c>
      <c r="B18" s="11" t="s">
        <v>252</v>
      </c>
      <c r="C18" s="11" t="s">
        <v>131</v>
      </c>
      <c r="D18" s="22"/>
      <c r="E18" s="20"/>
      <c r="F18" s="4">
        <f>SUBTOTAL(109,SanDiego[American Sign Language Total])</f>
        <v>5</v>
      </c>
      <c r="G18" s="4">
        <f>SUBTOTAL(109,SanDiego[Arabic Total])</f>
        <v>39</v>
      </c>
      <c r="H18" s="4">
        <f>SUBTOTAL(109,SanDiego[Armenian Total])</f>
        <v>0</v>
      </c>
      <c r="I18" s="4">
        <f>SUBTOTAL(109,SanDiego[Bengali Total])</f>
        <v>1</v>
      </c>
      <c r="J18" s="4">
        <f>SUBTOTAL(109,SanDiego[Chinese Total])</f>
        <v>144</v>
      </c>
      <c r="K18" s="4">
        <f>SUBTOTAL(109,SanDiego[Farsi (Persian) Total])</f>
        <v>3</v>
      </c>
      <c r="L18" s="4">
        <f>SUBTOTAL(109,SanDiego[French Total])</f>
        <v>107</v>
      </c>
      <c r="M18" s="4">
        <f>SUBTOTAL(109,SanDiego[German Total])</f>
        <v>3</v>
      </c>
      <c r="N18" s="4">
        <f>SUBTOTAL(109,SanDiego[Hebrew Total])</f>
        <v>0</v>
      </c>
      <c r="O18" s="4">
        <f>SUBTOTAL(109,SanDiego[Hindi Total])</f>
        <v>0</v>
      </c>
      <c r="P18" s="4">
        <f>SUBTOTAL(109,SanDiego[Hmong Total])</f>
        <v>0</v>
      </c>
      <c r="Q18" s="4">
        <f>SUBTOTAL(109,SanDiego[Italian Total])</f>
        <v>2</v>
      </c>
      <c r="R18" s="4">
        <f>SUBTOTAL(109,SanDiego[Japanese Total])</f>
        <v>1</v>
      </c>
      <c r="S18" s="4">
        <f>SUBTOTAL(109,SanDiego[Korean Total])</f>
        <v>6</v>
      </c>
      <c r="T18" s="4">
        <f>SUBTOTAL(109,SanDiego[Portuguese Total])</f>
        <v>1</v>
      </c>
      <c r="U18" s="4">
        <f>SUBTOTAL(109,SanDiego[Punjabi Total])</f>
        <v>0</v>
      </c>
      <c r="V18" s="4">
        <f>SUBTOTAL(109,SanDiego[Russian Total])</f>
        <v>3</v>
      </c>
      <c r="W18" s="4">
        <f>SUBTOTAL(109,SanDiego[Spanish Total])</f>
        <v>3908</v>
      </c>
      <c r="X18" s="4">
        <f>SUBTOTAL(109,SanDiego[Tagalog (Filipino) Total])</f>
        <v>0</v>
      </c>
      <c r="Y18" s="4">
        <f>SUBTOTAL(109,SanDiego[Urdu Total])</f>
        <v>0</v>
      </c>
      <c r="Z18" s="4">
        <f>SUBTOTAL(109,SanDiego[Vietnamese Total])</f>
        <v>8</v>
      </c>
      <c r="AA18" s="4">
        <f>SUBTOTAL(109,SanDiego[Other Total])</f>
        <v>12</v>
      </c>
      <c r="AB18" s="4">
        <f>SUBTOTAL(109,SanDiego[Total Seals per LEA])</f>
        <v>4243</v>
      </c>
    </row>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1A843-F79C-4786-8825-BD89F8D940C9}">
  <sheetPr codeName="Sheet19"/>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253</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294" customHeight="1" x14ac:dyDescent="0.25">
      <c r="A3" t="s">
        <v>254</v>
      </c>
      <c r="B3" s="6" t="s">
        <v>255</v>
      </c>
      <c r="C3" s="6" t="s">
        <v>256</v>
      </c>
      <c r="D3" s="2" t="s">
        <v>257</v>
      </c>
      <c r="E3" s="2" t="s">
        <v>62</v>
      </c>
      <c r="F3" s="9">
        <v>0</v>
      </c>
      <c r="G3" s="9">
        <v>33</v>
      </c>
      <c r="H3" s="9">
        <v>0</v>
      </c>
      <c r="I3" s="9">
        <v>0</v>
      </c>
      <c r="J3" s="9">
        <v>415</v>
      </c>
      <c r="K3" s="9">
        <v>0</v>
      </c>
      <c r="L3" s="9">
        <v>0</v>
      </c>
      <c r="M3" s="9">
        <v>0</v>
      </c>
      <c r="N3" s="9">
        <v>0</v>
      </c>
      <c r="O3" s="9">
        <v>0</v>
      </c>
      <c r="P3" s="9">
        <v>0</v>
      </c>
      <c r="Q3" s="9">
        <v>0</v>
      </c>
      <c r="R3" s="9">
        <v>61</v>
      </c>
      <c r="S3" s="9">
        <v>15</v>
      </c>
      <c r="T3" s="9">
        <v>0</v>
      </c>
      <c r="U3" s="9">
        <v>0</v>
      </c>
      <c r="V3" s="9">
        <v>0</v>
      </c>
      <c r="W3" s="9">
        <v>613</v>
      </c>
      <c r="X3" s="9">
        <v>32</v>
      </c>
      <c r="Y3" s="9">
        <v>0</v>
      </c>
      <c r="Z3" s="9">
        <v>47</v>
      </c>
      <c r="AA3" s="9">
        <v>0</v>
      </c>
      <c r="AB3" s="9">
        <f>SUM(SanBernardino917[[#This Row],[American Sign Language Total]:[Other Total]])</f>
        <v>1216</v>
      </c>
    </row>
    <row r="4" spans="1:28" ht="15.6" x14ac:dyDescent="0.3">
      <c r="A4" t="s">
        <v>36</v>
      </c>
      <c r="B4" s="11" t="s">
        <v>110</v>
      </c>
      <c r="C4" s="11" t="s">
        <v>258</v>
      </c>
      <c r="D4" s="20"/>
      <c r="E4" s="20"/>
      <c r="F4" s="4">
        <f>SUBTOTAL(109,SanBernardino917[American Sign Language Total])</f>
        <v>0</v>
      </c>
      <c r="G4" s="4">
        <f>SUBTOTAL(109,SanBernardino917[Arabic Total])</f>
        <v>33</v>
      </c>
      <c r="H4" s="4">
        <f>SUBTOTAL(109,SanBernardino917[Armenian Total])</f>
        <v>0</v>
      </c>
      <c r="I4" s="4">
        <f>SUBTOTAL(109,SanBernardino917[Bengali Total])</f>
        <v>0</v>
      </c>
      <c r="J4" s="4">
        <f>SUBTOTAL(109,SanBernardino917[Chinese Total])</f>
        <v>415</v>
      </c>
      <c r="K4" s="4">
        <f>SUBTOTAL(109,SanBernardino917[Farsi (Persian) Total])</f>
        <v>0</v>
      </c>
      <c r="L4" s="4">
        <f>SUBTOTAL(109,SanBernardino917[French Total])</f>
        <v>0</v>
      </c>
      <c r="M4" s="4">
        <f>SUBTOTAL(109,SanBernardino917[German Total])</f>
        <v>0</v>
      </c>
      <c r="N4" s="4">
        <f>SUBTOTAL(109,SanBernardino917[Hebrew Total])</f>
        <v>0</v>
      </c>
      <c r="O4" s="4">
        <f>SUBTOTAL(109,SanBernardino917[Hindi Total])</f>
        <v>0</v>
      </c>
      <c r="P4" s="4">
        <f>SUBTOTAL(109,SanBernardino917[Hmong Total])</f>
        <v>0</v>
      </c>
      <c r="Q4" s="4">
        <f>SUBTOTAL(109,SanBernardino917[Italian Total])</f>
        <v>0</v>
      </c>
      <c r="R4" s="4">
        <f>SUBTOTAL(109,SanBernardino917[Japanese Total])</f>
        <v>61</v>
      </c>
      <c r="S4" s="4">
        <f>SUBTOTAL(109,SanBernardino917[Korean Total])</f>
        <v>15</v>
      </c>
      <c r="T4" s="4">
        <f>SUBTOTAL(109,SanBernardino917[Portuguese Total])</f>
        <v>0</v>
      </c>
      <c r="U4" s="4">
        <f>SUBTOTAL(109,SanBernardino917[Punjabi Total])</f>
        <v>0</v>
      </c>
      <c r="V4" s="4">
        <f>SUBTOTAL(109,SanBernardino917[Russian Total])</f>
        <v>0</v>
      </c>
      <c r="W4" s="4">
        <f>SUBTOTAL(109,SanBernardino917[Spanish Total])</f>
        <v>613</v>
      </c>
      <c r="X4" s="4">
        <f>SUBTOTAL(109,SanBernardino917[Tagalog (Filipino) Total])</f>
        <v>32</v>
      </c>
      <c r="Y4" s="4">
        <f>SUBTOTAL(109,SanBernardino917[Urdu Total])</f>
        <v>0</v>
      </c>
      <c r="Z4" s="4">
        <f>SUBTOTAL(109,SanBernardino917[Vietnamese Total])</f>
        <v>47</v>
      </c>
      <c r="AA4" s="4">
        <f>SUBTOTAL(109,SanBernardino917[Other Total])</f>
        <v>0</v>
      </c>
      <c r="AB4" s="4">
        <f>SUBTOTAL(109,SanBernardino917[Total Seals per LEA])</f>
        <v>1216</v>
      </c>
    </row>
  </sheetData>
  <conditionalFormatting sqref="A1:E1 A2:B2">
    <cfRule type="duplicateValues" dxfId="74" priority="2"/>
  </conditionalFormatting>
  <conditionalFormatting sqref="C2:E2">
    <cfRule type="duplicateValues" dxfId="73" priority="1"/>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BFB2-C1E8-4F74-AEC1-DC0A74D9E366}">
  <sheetPr codeName="Sheet20"/>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107</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45" x14ac:dyDescent="0.25">
      <c r="A3" s="7" t="s">
        <v>108</v>
      </c>
      <c r="B3" s="7" t="s">
        <v>109</v>
      </c>
      <c r="C3" s="7" t="s">
        <v>109</v>
      </c>
      <c r="D3" s="2" t="s">
        <v>65</v>
      </c>
      <c r="E3" s="2" t="s">
        <v>103</v>
      </c>
      <c r="F3" s="9">
        <v>0</v>
      </c>
      <c r="G3" s="9">
        <v>0</v>
      </c>
      <c r="H3" s="9">
        <v>0</v>
      </c>
      <c r="I3" s="9">
        <v>0</v>
      </c>
      <c r="J3" s="9">
        <v>0</v>
      </c>
      <c r="K3" s="9">
        <v>0</v>
      </c>
      <c r="L3" s="9">
        <v>0</v>
      </c>
      <c r="M3" s="9">
        <v>0</v>
      </c>
      <c r="N3" s="9">
        <v>0</v>
      </c>
      <c r="O3" s="9">
        <v>0</v>
      </c>
      <c r="P3" s="9">
        <v>0</v>
      </c>
      <c r="Q3" s="9">
        <v>0</v>
      </c>
      <c r="R3" s="9">
        <v>0</v>
      </c>
      <c r="S3" s="9">
        <v>0</v>
      </c>
      <c r="T3" s="9">
        <v>0</v>
      </c>
      <c r="U3" s="9">
        <v>0</v>
      </c>
      <c r="V3" s="9">
        <v>0</v>
      </c>
      <c r="W3" s="9">
        <v>157</v>
      </c>
      <c r="X3" s="9">
        <v>0</v>
      </c>
      <c r="Y3" s="9">
        <v>0</v>
      </c>
      <c r="Z3" s="9">
        <v>0</v>
      </c>
      <c r="AA3" s="9">
        <v>0</v>
      </c>
      <c r="AB3" s="9">
        <f>SUM(F3:AA3)</f>
        <v>157</v>
      </c>
    </row>
    <row r="4" spans="1:28" x14ac:dyDescent="0.25">
      <c r="A4" t="s">
        <v>36</v>
      </c>
      <c r="B4" s="11" t="s">
        <v>72</v>
      </c>
      <c r="C4" s="11" t="s">
        <v>72</v>
      </c>
      <c r="D4" s="20"/>
      <c r="E4" s="20"/>
      <c r="F4" s="4">
        <f>SUBTOTAL(109,SanJoaquin[American Sign Language Total])</f>
        <v>0</v>
      </c>
      <c r="G4" s="4">
        <f>SUBTOTAL(109,SanJoaquin[Arabic Total])</f>
        <v>0</v>
      </c>
      <c r="H4" s="4">
        <f>SUBTOTAL(109,SanJoaquin[Armenian Total])</f>
        <v>0</v>
      </c>
      <c r="I4" s="4">
        <f>SUBTOTAL(109,SanJoaquin[Bengali Total])</f>
        <v>0</v>
      </c>
      <c r="J4" s="4">
        <f>SUBTOTAL(109,SanJoaquin[Chinese Total])</f>
        <v>0</v>
      </c>
      <c r="K4" s="4">
        <f>SUBTOTAL(109,SanJoaquin[Farsi (Persian) Total])</f>
        <v>0</v>
      </c>
      <c r="L4" s="4">
        <f>SUBTOTAL(109,SanJoaquin[French Total])</f>
        <v>0</v>
      </c>
      <c r="M4" s="4">
        <f>SUBTOTAL(109,SanJoaquin[German Total])</f>
        <v>0</v>
      </c>
      <c r="N4" s="4">
        <f>SUBTOTAL(109,SanJoaquin[Hebrew Total])</f>
        <v>0</v>
      </c>
      <c r="O4" s="4">
        <f>SUBTOTAL(109,SanJoaquin[Hindi Total])</f>
        <v>0</v>
      </c>
      <c r="P4" s="4">
        <f>SUBTOTAL(109,SanJoaquin[Hmong Total])</f>
        <v>0</v>
      </c>
      <c r="Q4" s="4">
        <f>SUBTOTAL(109,SanJoaquin[Italian Total])</f>
        <v>0</v>
      </c>
      <c r="R4" s="4">
        <f>SUBTOTAL(109,SanJoaquin[Japanese Total])</f>
        <v>0</v>
      </c>
      <c r="S4" s="4">
        <f>SUBTOTAL(109,SanJoaquin[Korean Total])</f>
        <v>0</v>
      </c>
      <c r="T4" s="4">
        <f>SUBTOTAL(109,SanJoaquin[Portuguese Total])</f>
        <v>0</v>
      </c>
      <c r="U4" s="4">
        <f>SUBTOTAL(109,SanJoaquin[Punjabi Total])</f>
        <v>0</v>
      </c>
      <c r="V4" s="4">
        <f>SUBTOTAL(109,SanJoaquin[Russian Total])</f>
        <v>0</v>
      </c>
      <c r="W4" s="4">
        <f>SUBTOTAL(109,SanJoaquin[Spanish Total])</f>
        <v>157</v>
      </c>
      <c r="X4" s="4">
        <f>SUBTOTAL(109,SanJoaquin[Tagalog (Filipino) Total])</f>
        <v>0</v>
      </c>
      <c r="Y4" s="4">
        <f>SUBTOTAL(109,SanJoaquin[Urdu Total])</f>
        <v>0</v>
      </c>
      <c r="Z4" s="4">
        <f>SUBTOTAL(109,SanJoaquin[Vietnamese Total])</f>
        <v>0</v>
      </c>
      <c r="AA4" s="4">
        <f>SUBTOTAL(109,SanJoaquin[Other Total])</f>
        <v>0</v>
      </c>
      <c r="AB4" s="4">
        <f>SUBTOTAL(109,SanJoaquin[Total Seals per LEA])</f>
        <v>157</v>
      </c>
    </row>
  </sheetData>
  <conditionalFormatting sqref="A1:E1 A2:B2">
    <cfRule type="duplicateValues" dxfId="72" priority="2"/>
  </conditionalFormatting>
  <conditionalFormatting sqref="C2:E2">
    <cfRule type="duplicateValues" dxfId="71" priority="1"/>
  </conditionalFormatting>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39A-D69E-4D42-A68D-DE0B88380094}">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259</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45" x14ac:dyDescent="0.25">
      <c r="A3" t="s">
        <v>260</v>
      </c>
      <c r="B3" t="s">
        <v>261</v>
      </c>
      <c r="C3" s="7" t="s">
        <v>64</v>
      </c>
      <c r="D3" s="2" t="s">
        <v>262</v>
      </c>
      <c r="E3" s="2" t="s">
        <v>71</v>
      </c>
      <c r="F3" s="9">
        <v>0</v>
      </c>
      <c r="G3" s="9">
        <v>0</v>
      </c>
      <c r="H3" s="9">
        <v>0</v>
      </c>
      <c r="I3" s="9">
        <v>0</v>
      </c>
      <c r="J3" s="9">
        <v>0</v>
      </c>
      <c r="K3" s="9">
        <v>0</v>
      </c>
      <c r="L3" s="9">
        <v>0</v>
      </c>
      <c r="M3" s="9">
        <v>0</v>
      </c>
      <c r="N3" s="9">
        <v>0</v>
      </c>
      <c r="O3" s="9">
        <v>0</v>
      </c>
      <c r="P3" s="9">
        <v>0</v>
      </c>
      <c r="Q3" s="9">
        <v>0</v>
      </c>
      <c r="R3" s="9">
        <v>0</v>
      </c>
      <c r="S3" s="9">
        <v>0</v>
      </c>
      <c r="T3" s="9">
        <v>0</v>
      </c>
      <c r="U3" s="9">
        <v>0</v>
      </c>
      <c r="V3" s="9">
        <v>0</v>
      </c>
      <c r="W3" s="9">
        <v>30</v>
      </c>
      <c r="X3" s="9">
        <v>0</v>
      </c>
      <c r="Y3" s="9">
        <v>0</v>
      </c>
      <c r="Z3" s="9">
        <v>0</v>
      </c>
      <c r="AA3" s="9">
        <v>0</v>
      </c>
      <c r="AB3" s="9">
        <f>SUM(SanJoaquin18[[#This Row],[American Sign Language Total]:[Other Total]])</f>
        <v>30</v>
      </c>
    </row>
    <row r="4" spans="1:28" x14ac:dyDescent="0.25">
      <c r="A4" t="s">
        <v>36</v>
      </c>
      <c r="B4" s="11" t="s">
        <v>72</v>
      </c>
      <c r="C4" s="11" t="s">
        <v>63</v>
      </c>
      <c r="D4" s="20"/>
      <c r="E4" s="20"/>
      <c r="F4" s="4">
        <f>SUBTOTAL(109,SanJoaquin18[American Sign Language Total])</f>
        <v>0</v>
      </c>
      <c r="G4" s="4">
        <f>SUBTOTAL(109,SanJoaquin18[Arabic Total])</f>
        <v>0</v>
      </c>
      <c r="H4" s="4">
        <f>SUBTOTAL(109,SanJoaquin18[Armenian Total])</f>
        <v>0</v>
      </c>
      <c r="I4" s="4">
        <f>SUBTOTAL(109,SanJoaquin18[Bengali Total])</f>
        <v>0</v>
      </c>
      <c r="J4" s="4">
        <f>SUBTOTAL(109,SanJoaquin18[Chinese Total])</f>
        <v>0</v>
      </c>
      <c r="K4" s="4">
        <f>SUBTOTAL(109,SanJoaquin18[Farsi (Persian) Total])</f>
        <v>0</v>
      </c>
      <c r="L4" s="4">
        <f>SUBTOTAL(109,SanJoaquin18[French Total])</f>
        <v>0</v>
      </c>
      <c r="M4" s="4">
        <f>SUBTOTAL(109,SanJoaquin18[German Total])</f>
        <v>0</v>
      </c>
      <c r="N4" s="4">
        <f>SUBTOTAL(109,SanJoaquin18[Hebrew Total])</f>
        <v>0</v>
      </c>
      <c r="O4" s="4">
        <f>SUBTOTAL(109,SanJoaquin18[Hindi Total])</f>
        <v>0</v>
      </c>
      <c r="P4" s="4">
        <f>SUBTOTAL(109,SanJoaquin18[Hmong Total])</f>
        <v>0</v>
      </c>
      <c r="Q4" s="4">
        <f>SUBTOTAL(109,SanJoaquin18[Italian Total])</f>
        <v>0</v>
      </c>
      <c r="R4" s="4">
        <f>SUBTOTAL(109,SanJoaquin18[Japanese Total])</f>
        <v>0</v>
      </c>
      <c r="S4" s="4">
        <f>SUBTOTAL(109,SanJoaquin18[Korean Total])</f>
        <v>0</v>
      </c>
      <c r="T4" s="4">
        <f>SUBTOTAL(109,SanJoaquin18[Portuguese Total])</f>
        <v>0</v>
      </c>
      <c r="U4" s="4">
        <f>SUBTOTAL(109,SanJoaquin18[Punjabi Total])</f>
        <v>0</v>
      </c>
      <c r="V4" s="4">
        <f>SUBTOTAL(109,SanJoaquin18[Russian Total])</f>
        <v>0</v>
      </c>
      <c r="W4" s="4">
        <f>SUBTOTAL(109,SanJoaquin18[Spanish Total])</f>
        <v>30</v>
      </c>
      <c r="X4" s="4">
        <f>SUBTOTAL(109,SanJoaquin18[Tagalog (Filipino) Total])</f>
        <v>0</v>
      </c>
      <c r="Y4" s="4">
        <f>SUBTOTAL(109,SanJoaquin18[Urdu Total])</f>
        <v>0</v>
      </c>
      <c r="Z4" s="4">
        <f>SUBTOTAL(109,SanJoaquin18[Vietnamese Total])</f>
        <v>0</v>
      </c>
      <c r="AA4" s="4">
        <f>SUBTOTAL(109,SanJoaquin18[Other Total])</f>
        <v>0</v>
      </c>
      <c r="AB4" s="4">
        <f>SUBTOTAL(109,SanJoaquin18[Total Seals per LEA])</f>
        <v>30</v>
      </c>
    </row>
  </sheetData>
  <conditionalFormatting sqref="A1:E1 A2:B2">
    <cfRule type="duplicateValues" dxfId="70" priority="2"/>
  </conditionalFormatting>
  <conditionalFormatting sqref="C2:E2">
    <cfRule type="duplicateValues" dxfId="69" priority="1"/>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D70B7-59EC-4845-9250-67BCC3F181FE}">
  <sheetPr codeName="Sheet21"/>
  <dimension ref="A1:AB7"/>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111</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30" x14ac:dyDescent="0.25">
      <c r="A3" s="2" t="s">
        <v>263</v>
      </c>
      <c r="B3" s="6" t="s">
        <v>273</v>
      </c>
      <c r="C3" s="2" t="s">
        <v>264</v>
      </c>
      <c r="D3" s="2" t="s">
        <v>65</v>
      </c>
      <c r="E3" s="2" t="s">
        <v>104</v>
      </c>
      <c r="F3" s="14">
        <v>0</v>
      </c>
      <c r="G3" s="14">
        <v>0</v>
      </c>
      <c r="H3" s="14">
        <v>0</v>
      </c>
      <c r="I3" s="9">
        <v>0</v>
      </c>
      <c r="J3" s="9">
        <v>0</v>
      </c>
      <c r="K3" s="9">
        <v>0</v>
      </c>
      <c r="L3" s="14">
        <v>0</v>
      </c>
      <c r="M3" s="14">
        <v>0</v>
      </c>
      <c r="N3" s="9">
        <v>0</v>
      </c>
      <c r="O3" s="9">
        <v>0</v>
      </c>
      <c r="P3" s="14">
        <v>0</v>
      </c>
      <c r="Q3" s="14">
        <v>0</v>
      </c>
      <c r="R3" s="14">
        <v>0</v>
      </c>
      <c r="S3" s="14">
        <v>0</v>
      </c>
      <c r="T3" s="14">
        <v>0</v>
      </c>
      <c r="U3" s="9">
        <v>0</v>
      </c>
      <c r="V3" s="9">
        <v>0</v>
      </c>
      <c r="W3" s="14">
        <v>72</v>
      </c>
      <c r="X3" s="14">
        <v>0</v>
      </c>
      <c r="Y3" s="9">
        <v>0</v>
      </c>
      <c r="Z3" s="14">
        <v>0</v>
      </c>
      <c r="AA3" s="14">
        <v>0</v>
      </c>
      <c r="AB3" s="14">
        <f>SUM(SanBernardino910[[#This Row],[American Sign Language Total]:[Other Total]])</f>
        <v>72</v>
      </c>
    </row>
    <row r="4" spans="1:28" s="7" customFormat="1" ht="30" x14ac:dyDescent="0.25">
      <c r="A4" s="2" t="s">
        <v>265</v>
      </c>
      <c r="B4" s="2" t="s">
        <v>266</v>
      </c>
      <c r="C4" s="7" t="s">
        <v>64</v>
      </c>
      <c r="D4" s="2" t="s">
        <v>267</v>
      </c>
      <c r="E4" s="2" t="s">
        <v>71</v>
      </c>
      <c r="F4" s="9">
        <v>0</v>
      </c>
      <c r="G4" s="9">
        <v>0</v>
      </c>
      <c r="H4" s="9">
        <v>0</v>
      </c>
      <c r="I4" s="9">
        <v>0</v>
      </c>
      <c r="J4" s="9">
        <v>7</v>
      </c>
      <c r="K4" s="9">
        <v>0</v>
      </c>
      <c r="L4" s="9">
        <v>0</v>
      </c>
      <c r="M4" s="9">
        <v>0</v>
      </c>
      <c r="N4" s="9">
        <v>0</v>
      </c>
      <c r="O4" s="9">
        <v>0</v>
      </c>
      <c r="P4" s="9">
        <v>0</v>
      </c>
      <c r="Q4" s="9">
        <v>0</v>
      </c>
      <c r="R4" s="9">
        <v>0</v>
      </c>
      <c r="S4" s="9">
        <v>0</v>
      </c>
      <c r="T4" s="9">
        <v>0</v>
      </c>
      <c r="U4" s="9">
        <v>0</v>
      </c>
      <c r="V4" s="9">
        <v>0</v>
      </c>
      <c r="W4" s="9">
        <v>75</v>
      </c>
      <c r="X4" s="9">
        <v>0</v>
      </c>
      <c r="Y4" s="9">
        <v>0</v>
      </c>
      <c r="Z4" s="9">
        <v>0</v>
      </c>
      <c r="AA4" s="9">
        <v>0</v>
      </c>
      <c r="AB4" s="9">
        <f>SUM(SanBernardino910[[#This Row],[American Sign Language Total]:[Other Total]])</f>
        <v>82</v>
      </c>
    </row>
    <row r="5" spans="1:28" s="7" customFormat="1" ht="60" x14ac:dyDescent="0.25">
      <c r="A5" s="7" t="s">
        <v>268</v>
      </c>
      <c r="B5" s="2" t="s">
        <v>269</v>
      </c>
      <c r="C5" s="2" t="s">
        <v>270</v>
      </c>
      <c r="D5" s="2" t="s">
        <v>271</v>
      </c>
      <c r="E5" s="2" t="s">
        <v>62</v>
      </c>
      <c r="F5" s="9">
        <v>0</v>
      </c>
      <c r="G5" s="9">
        <v>0</v>
      </c>
      <c r="H5" s="9">
        <v>0</v>
      </c>
      <c r="I5" s="9">
        <v>0</v>
      </c>
      <c r="J5" s="9">
        <v>78</v>
      </c>
      <c r="K5" s="9">
        <v>0</v>
      </c>
      <c r="L5" s="9">
        <v>0</v>
      </c>
      <c r="M5" s="9">
        <v>0</v>
      </c>
      <c r="N5" s="9">
        <v>0</v>
      </c>
      <c r="O5" s="9">
        <v>0</v>
      </c>
      <c r="P5" s="9">
        <v>0</v>
      </c>
      <c r="Q5" s="9">
        <v>0</v>
      </c>
      <c r="R5" s="9">
        <v>0</v>
      </c>
      <c r="S5" s="9">
        <v>0</v>
      </c>
      <c r="T5" s="9">
        <v>0</v>
      </c>
      <c r="U5" s="9">
        <v>0</v>
      </c>
      <c r="V5" s="9">
        <v>0</v>
      </c>
      <c r="W5" s="9">
        <v>88</v>
      </c>
      <c r="X5" s="9">
        <v>0</v>
      </c>
      <c r="Y5" s="9">
        <v>0</v>
      </c>
      <c r="Z5" s="9">
        <v>0</v>
      </c>
      <c r="AA5" s="9">
        <v>0</v>
      </c>
      <c r="AB5" s="9">
        <f>SUM(SanBernardino910[[#This Row],[American Sign Language Total]:[Other Total]])</f>
        <v>166</v>
      </c>
    </row>
    <row r="6" spans="1:28" s="7" customFormat="1" ht="87" customHeight="1" x14ac:dyDescent="0.25">
      <c r="A6" s="2" t="s">
        <v>113</v>
      </c>
      <c r="B6" s="6" t="s">
        <v>272</v>
      </c>
      <c r="C6" s="2" t="s">
        <v>64</v>
      </c>
      <c r="D6" s="2" t="s">
        <v>69</v>
      </c>
      <c r="E6" s="2" t="s">
        <v>74</v>
      </c>
      <c r="F6" s="9">
        <v>0</v>
      </c>
      <c r="G6" s="9">
        <v>0</v>
      </c>
      <c r="H6" s="9">
        <v>0</v>
      </c>
      <c r="I6" s="9">
        <v>0</v>
      </c>
      <c r="J6" s="9">
        <v>12</v>
      </c>
      <c r="K6" s="9">
        <v>0</v>
      </c>
      <c r="L6" s="9">
        <v>0</v>
      </c>
      <c r="M6" s="9">
        <v>0</v>
      </c>
      <c r="N6" s="9">
        <v>0</v>
      </c>
      <c r="O6" s="9">
        <v>1</v>
      </c>
      <c r="P6" s="9">
        <v>0</v>
      </c>
      <c r="Q6" s="9">
        <v>0</v>
      </c>
      <c r="R6" s="9">
        <v>0</v>
      </c>
      <c r="S6" s="9">
        <v>0</v>
      </c>
      <c r="T6" s="9">
        <v>0</v>
      </c>
      <c r="U6" s="9">
        <v>0</v>
      </c>
      <c r="V6" s="9">
        <v>0</v>
      </c>
      <c r="W6" s="9">
        <v>15</v>
      </c>
      <c r="X6" s="9">
        <v>1</v>
      </c>
      <c r="Y6" s="9">
        <v>0</v>
      </c>
      <c r="Z6" s="9">
        <v>0</v>
      </c>
      <c r="AA6" s="9">
        <v>5</v>
      </c>
      <c r="AB6" s="9">
        <f>SUM(SanBernardino910[[#This Row],[American Sign Language Total]:[Other Total]])</f>
        <v>34</v>
      </c>
    </row>
    <row r="7" spans="1:28" ht="15.6" x14ac:dyDescent="0.3">
      <c r="A7" t="s">
        <v>38</v>
      </c>
      <c r="B7" s="11" t="s">
        <v>274</v>
      </c>
      <c r="C7" s="11" t="s">
        <v>55</v>
      </c>
      <c r="D7" s="20"/>
      <c r="E7" s="20"/>
      <c r="F7" s="4">
        <f>SUBTOTAL(109,SanBernardino910[American Sign Language Total])</f>
        <v>0</v>
      </c>
      <c r="G7" s="4">
        <f>SUBTOTAL(109,SanBernardino910[Arabic Total])</f>
        <v>0</v>
      </c>
      <c r="H7" s="4">
        <f>SUBTOTAL(109,SanBernardino910[Armenian Total])</f>
        <v>0</v>
      </c>
      <c r="I7" s="4">
        <f>SUBTOTAL(109,SanBernardino910[Bengali Total])</f>
        <v>0</v>
      </c>
      <c r="J7" s="4">
        <f>SUBTOTAL(109,SanBernardino910[Chinese Total])</f>
        <v>97</v>
      </c>
      <c r="K7" s="4">
        <f>SUBTOTAL(109,SanBernardino910[Farsi (Persian) Total])</f>
        <v>0</v>
      </c>
      <c r="L7" s="4">
        <f>SUBTOTAL(109,SanBernardino910[French Total])</f>
        <v>0</v>
      </c>
      <c r="M7" s="4">
        <f>SUBTOTAL(109,SanBernardino910[German Total])</f>
        <v>0</v>
      </c>
      <c r="N7" s="4">
        <f>SUBTOTAL(109,SanBernardino910[Hebrew Total])</f>
        <v>0</v>
      </c>
      <c r="O7" s="4">
        <f>SUBTOTAL(109,SanBernardino910[Hindi Total])</f>
        <v>1</v>
      </c>
      <c r="P7" s="4">
        <f>SUBTOTAL(109,SanBernardino910[Hmong Total])</f>
        <v>0</v>
      </c>
      <c r="Q7" s="4">
        <f>SUBTOTAL(109,SanBernardino910[Italian Total])</f>
        <v>0</v>
      </c>
      <c r="R7" s="4">
        <f>SUBTOTAL(109,SanBernardino910[Japanese Total])</f>
        <v>0</v>
      </c>
      <c r="S7" s="4">
        <f>SUBTOTAL(109,SanBernardino910[Korean Total])</f>
        <v>0</v>
      </c>
      <c r="T7" s="4">
        <f>SUBTOTAL(109,SanBernardino910[Portuguese Total])</f>
        <v>0</v>
      </c>
      <c r="U7" s="4">
        <f>SUBTOTAL(109,SanBernardino910[Punjabi Total])</f>
        <v>0</v>
      </c>
      <c r="V7" s="4">
        <f>SUBTOTAL(109,SanBernardino910[Russian Total])</f>
        <v>0</v>
      </c>
      <c r="W7" s="4">
        <f>SUBTOTAL(109,SanBernardino910[Spanish Total])</f>
        <v>250</v>
      </c>
      <c r="X7" s="4">
        <f>SUBTOTAL(109,SanBernardino910[Tagalog (Filipino) Total])</f>
        <v>1</v>
      </c>
      <c r="Y7" s="4">
        <f>SUBTOTAL(109,SanBernardino910[Urdu Total])</f>
        <v>0</v>
      </c>
      <c r="Z7" s="4">
        <f>SUBTOTAL(109,SanBernardino910[Vietnamese Total])</f>
        <v>0</v>
      </c>
      <c r="AA7" s="4">
        <f>SUBTOTAL(109,SanBernardino910[Other Total])</f>
        <v>5</v>
      </c>
      <c r="AB7" s="4">
        <f>SUBTOTAL(109,SanBernardino910[Total Seals per LEA])</f>
        <v>354</v>
      </c>
    </row>
  </sheetData>
  <conditionalFormatting sqref="A1:E1 A2:B3">
    <cfRule type="duplicateValues" dxfId="68" priority="2"/>
  </conditionalFormatting>
  <conditionalFormatting sqref="C2:E3">
    <cfRule type="duplicateValues" dxfId="67"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8"/>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9.08984375" defaultRowHeight="15" x14ac:dyDescent="0.25"/>
  <cols>
    <col min="1" max="1" width="19" bestFit="1" customWidth="1"/>
    <col min="2" max="2" width="35.36328125" bestFit="1" customWidth="1"/>
    <col min="3" max="3" width="35.36328125" customWidth="1"/>
    <col min="4" max="5" width="32.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0.08984375" bestFit="1" customWidth="1"/>
    <col min="19" max="19" width="8.90625" bestFit="1" customWidth="1"/>
    <col min="20" max="20" width="12.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8" t="s">
        <v>2</v>
      </c>
    </row>
    <row r="2" spans="1:28" s="6" customFormat="1" ht="45.6" thickTop="1" x14ac:dyDescent="0.25">
      <c r="A2" s="2" t="s">
        <v>32</v>
      </c>
      <c r="B2" s="7" t="s">
        <v>58</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6" customFormat="1" ht="45" x14ac:dyDescent="0.25">
      <c r="A3" s="2" t="s">
        <v>134</v>
      </c>
      <c r="B3" s="6" t="s">
        <v>143</v>
      </c>
      <c r="C3" s="2" t="s">
        <v>143</v>
      </c>
      <c r="D3" s="2" t="s">
        <v>65</v>
      </c>
      <c r="E3" s="6" t="s">
        <v>62</v>
      </c>
      <c r="F3" s="7">
        <v>0</v>
      </c>
      <c r="G3" s="7">
        <v>0</v>
      </c>
      <c r="H3" s="7">
        <v>0</v>
      </c>
      <c r="I3" s="7">
        <v>0</v>
      </c>
      <c r="J3" s="7">
        <v>761</v>
      </c>
      <c r="K3" s="7">
        <v>0</v>
      </c>
      <c r="L3" s="7">
        <v>0</v>
      </c>
      <c r="M3" s="7">
        <v>0</v>
      </c>
      <c r="N3" s="7">
        <v>0</v>
      </c>
      <c r="O3" s="7">
        <v>0</v>
      </c>
      <c r="P3" s="7">
        <v>0</v>
      </c>
      <c r="Q3" s="7">
        <v>0</v>
      </c>
      <c r="R3" s="7">
        <v>0</v>
      </c>
      <c r="S3" s="7">
        <v>0</v>
      </c>
      <c r="T3" s="7">
        <v>0</v>
      </c>
      <c r="U3" s="7">
        <v>0</v>
      </c>
      <c r="V3" s="7">
        <v>0</v>
      </c>
      <c r="W3" s="7">
        <v>422</v>
      </c>
      <c r="X3" s="7">
        <v>0</v>
      </c>
      <c r="Y3" s="7">
        <v>0</v>
      </c>
      <c r="Z3" s="7">
        <v>0</v>
      </c>
      <c r="AA3" s="7">
        <v>0</v>
      </c>
      <c r="AB3" s="7">
        <f>SUM(F3:AA3)</f>
        <v>1183</v>
      </c>
    </row>
    <row r="4" spans="1:28" s="6" customFormat="1" ht="45" x14ac:dyDescent="0.25">
      <c r="A4" s="2" t="s">
        <v>80</v>
      </c>
      <c r="B4" s="6" t="s">
        <v>135</v>
      </c>
      <c r="C4" s="7" t="s">
        <v>64</v>
      </c>
      <c r="D4" s="6" t="s">
        <v>138</v>
      </c>
      <c r="E4" s="6" t="s">
        <v>62</v>
      </c>
      <c r="F4" s="7">
        <v>0</v>
      </c>
      <c r="G4" s="7">
        <v>0</v>
      </c>
      <c r="H4" s="7">
        <v>0</v>
      </c>
      <c r="I4" s="7">
        <v>0</v>
      </c>
      <c r="J4" s="7">
        <v>11</v>
      </c>
      <c r="K4" s="7">
        <v>0</v>
      </c>
      <c r="L4" s="7">
        <v>0</v>
      </c>
      <c r="M4" s="7">
        <v>0</v>
      </c>
      <c r="N4" s="7">
        <v>0</v>
      </c>
      <c r="O4" s="7">
        <v>0</v>
      </c>
      <c r="P4" s="7">
        <v>0</v>
      </c>
      <c r="Q4" s="7">
        <v>0</v>
      </c>
      <c r="R4" s="7">
        <v>0</v>
      </c>
      <c r="S4" s="7">
        <v>0</v>
      </c>
      <c r="T4" s="7">
        <v>0</v>
      </c>
      <c r="U4" s="7">
        <v>0</v>
      </c>
      <c r="V4" s="7">
        <v>0</v>
      </c>
      <c r="W4" s="7">
        <v>368</v>
      </c>
      <c r="X4" s="7">
        <v>0</v>
      </c>
      <c r="Y4" s="7">
        <v>0</v>
      </c>
      <c r="Z4" s="7">
        <v>0</v>
      </c>
      <c r="AA4" s="7">
        <v>0</v>
      </c>
      <c r="AB4" s="7">
        <f>SUM(F4:AA4)</f>
        <v>379</v>
      </c>
    </row>
    <row r="5" spans="1:28" s="7" customFormat="1" ht="30" x14ac:dyDescent="0.25">
      <c r="A5" s="7" t="s">
        <v>30</v>
      </c>
      <c r="B5" s="7" t="s">
        <v>56</v>
      </c>
      <c r="C5" s="7" t="s">
        <v>56</v>
      </c>
      <c r="D5" s="2" t="s">
        <v>60</v>
      </c>
      <c r="E5" s="2" t="s">
        <v>62</v>
      </c>
      <c r="F5" s="7">
        <v>0</v>
      </c>
      <c r="G5" s="7">
        <v>0</v>
      </c>
      <c r="H5" s="7">
        <v>0</v>
      </c>
      <c r="I5" s="7">
        <v>0</v>
      </c>
      <c r="J5" s="7">
        <v>0</v>
      </c>
      <c r="K5" s="7">
        <v>0</v>
      </c>
      <c r="L5" s="7">
        <v>0</v>
      </c>
      <c r="M5" s="7">
        <v>0</v>
      </c>
      <c r="N5" s="7">
        <v>0</v>
      </c>
      <c r="O5" s="7">
        <v>0</v>
      </c>
      <c r="P5" s="7">
        <v>0</v>
      </c>
      <c r="Q5" s="7">
        <v>0</v>
      </c>
      <c r="R5" s="7">
        <v>0</v>
      </c>
      <c r="S5" s="7">
        <v>0</v>
      </c>
      <c r="T5" s="7">
        <v>0</v>
      </c>
      <c r="U5" s="7">
        <v>0</v>
      </c>
      <c r="V5" s="7">
        <v>0</v>
      </c>
      <c r="W5" s="7">
        <v>58</v>
      </c>
      <c r="X5" s="7">
        <v>0</v>
      </c>
      <c r="Y5" s="7">
        <v>0</v>
      </c>
      <c r="Z5" s="7">
        <v>0</v>
      </c>
      <c r="AA5" s="7">
        <v>0</v>
      </c>
      <c r="AB5" s="7">
        <f>SUM(F5:AA5)</f>
        <v>58</v>
      </c>
    </row>
    <row r="6" spans="1:28" s="7" customFormat="1" ht="60" x14ac:dyDescent="0.25">
      <c r="A6" s="7" t="s">
        <v>31</v>
      </c>
      <c r="B6" s="2" t="s">
        <v>136</v>
      </c>
      <c r="C6" s="2" t="s">
        <v>137</v>
      </c>
      <c r="D6" s="2" t="s">
        <v>138</v>
      </c>
      <c r="E6" s="2" t="s">
        <v>103</v>
      </c>
      <c r="F6" s="7">
        <v>0</v>
      </c>
      <c r="G6" s="7">
        <v>0</v>
      </c>
      <c r="H6" s="7">
        <v>0</v>
      </c>
      <c r="I6" s="7">
        <v>0</v>
      </c>
      <c r="J6" s="7">
        <v>3</v>
      </c>
      <c r="K6" s="7">
        <v>0</v>
      </c>
      <c r="L6" s="7">
        <v>0</v>
      </c>
      <c r="M6" s="7">
        <v>0</v>
      </c>
      <c r="N6" s="7">
        <v>0</v>
      </c>
      <c r="O6" s="7">
        <v>0</v>
      </c>
      <c r="P6" s="7">
        <v>0</v>
      </c>
      <c r="Q6" s="7">
        <v>0</v>
      </c>
      <c r="R6" s="7">
        <v>0</v>
      </c>
      <c r="S6" s="7">
        <v>0</v>
      </c>
      <c r="T6" s="7">
        <v>0</v>
      </c>
      <c r="U6" s="7">
        <v>0</v>
      </c>
      <c r="V6" s="7">
        <v>0</v>
      </c>
      <c r="W6" s="7">
        <v>63</v>
      </c>
      <c r="X6" s="7">
        <v>2</v>
      </c>
      <c r="Y6" s="7">
        <v>0</v>
      </c>
      <c r="Z6" s="7">
        <v>1</v>
      </c>
      <c r="AA6" s="7">
        <v>2</v>
      </c>
      <c r="AB6" s="7">
        <f>SUM(F6:AA6)</f>
        <v>71</v>
      </c>
    </row>
    <row r="7" spans="1:28" ht="60" x14ac:dyDescent="0.25">
      <c r="A7" s="2" t="s">
        <v>139</v>
      </c>
      <c r="B7" t="s">
        <v>140</v>
      </c>
      <c r="C7" s="2" t="s">
        <v>64</v>
      </c>
      <c r="D7" s="2" t="s">
        <v>141</v>
      </c>
      <c r="E7" s="2" t="s">
        <v>104</v>
      </c>
      <c r="F7" s="7">
        <v>0</v>
      </c>
      <c r="G7" s="7">
        <v>0</v>
      </c>
      <c r="H7" s="7">
        <v>0</v>
      </c>
      <c r="I7" s="7">
        <v>0</v>
      </c>
      <c r="J7" s="7">
        <v>0</v>
      </c>
      <c r="K7" s="7">
        <v>0</v>
      </c>
      <c r="L7" s="7">
        <v>0</v>
      </c>
      <c r="M7" s="7">
        <v>0</v>
      </c>
      <c r="N7" s="7">
        <v>0</v>
      </c>
      <c r="O7" s="7">
        <v>0</v>
      </c>
      <c r="P7" s="7">
        <v>0</v>
      </c>
      <c r="Q7" s="7">
        <v>0</v>
      </c>
      <c r="R7" s="7">
        <v>0</v>
      </c>
      <c r="S7" s="7">
        <v>0</v>
      </c>
      <c r="T7" s="7">
        <v>0</v>
      </c>
      <c r="U7" s="7">
        <v>0</v>
      </c>
      <c r="V7" s="7">
        <v>0</v>
      </c>
      <c r="W7" s="7">
        <v>18</v>
      </c>
      <c r="X7" s="7">
        <v>0</v>
      </c>
      <c r="Y7" s="7">
        <v>0</v>
      </c>
      <c r="Z7" s="7">
        <v>0</v>
      </c>
      <c r="AA7" s="7">
        <v>0</v>
      </c>
      <c r="AB7" s="7">
        <f>SUM(F7:AA7)</f>
        <v>18</v>
      </c>
    </row>
    <row r="8" spans="1:28" x14ac:dyDescent="0.25">
      <c r="A8" s="7" t="s">
        <v>142</v>
      </c>
      <c r="B8" s="17" t="s">
        <v>298</v>
      </c>
      <c r="C8" s="17" t="s">
        <v>128</v>
      </c>
      <c r="D8" s="18"/>
      <c r="E8" s="18"/>
      <c r="F8" s="9">
        <f>SUBTOTAL(109,Table2[American Sign Language Total])</f>
        <v>0</v>
      </c>
      <c r="G8" s="9">
        <f>SUBTOTAL(109,Table2[Arabic Total])</f>
        <v>0</v>
      </c>
      <c r="H8" s="9">
        <f>SUBTOTAL(109,Table2[Armenian Total])</f>
        <v>0</v>
      </c>
      <c r="I8" s="9">
        <f>SUBTOTAL(109,Table2[Bengali Total])</f>
        <v>0</v>
      </c>
      <c r="J8" s="9">
        <f>SUBTOTAL(109,Table2[Chinese Total])</f>
        <v>775</v>
      </c>
      <c r="K8" s="9">
        <f>SUBTOTAL(109,Table2[Farsi (Persian) Total])</f>
        <v>0</v>
      </c>
      <c r="L8" s="9">
        <f>SUBTOTAL(109,Table2[French Total])</f>
        <v>0</v>
      </c>
      <c r="M8" s="9">
        <f>SUBTOTAL(109,Table2[German Total])</f>
        <v>0</v>
      </c>
      <c r="N8" s="9">
        <f>SUBTOTAL(109,Table2[Hebrew Total])</f>
        <v>0</v>
      </c>
      <c r="O8" s="9">
        <f>SUBTOTAL(109,Table2[Hindi Total])</f>
        <v>0</v>
      </c>
      <c r="P8" s="9">
        <f>SUBTOTAL(109,Table2[Hmong Total])</f>
        <v>0</v>
      </c>
      <c r="Q8" s="9">
        <f>SUBTOTAL(109,Table2[Italian Total])</f>
        <v>0</v>
      </c>
      <c r="R8" s="9">
        <f>SUBTOTAL(109,Table2[Japanese Total])</f>
        <v>0</v>
      </c>
      <c r="S8" s="9">
        <f>SUBTOTAL(109,Table2[Korean Total])</f>
        <v>0</v>
      </c>
      <c r="T8" s="9">
        <f>SUBTOTAL(109,Table2[Portuguese Total])</f>
        <v>0</v>
      </c>
      <c r="U8" s="9">
        <f>SUBTOTAL(109,Table2[Punjabi Total])</f>
        <v>0</v>
      </c>
      <c r="V8" s="9">
        <f>SUBTOTAL(109,Table2[Russian Total])</f>
        <v>0</v>
      </c>
      <c r="W8" s="9">
        <f>SUBTOTAL(109,Table2[Spanish Total])</f>
        <v>929</v>
      </c>
      <c r="X8" s="9">
        <f>SUBTOTAL(109,Table2[Tagalog (Filipino) Total])</f>
        <v>2</v>
      </c>
      <c r="Y8" s="9">
        <f>SUBTOTAL(109,Table2[Urdu Total])</f>
        <v>0</v>
      </c>
      <c r="Z8" s="9">
        <f>SUBTOTAL(109,Table2[Vietnamese Total])</f>
        <v>1</v>
      </c>
      <c r="AA8" s="9">
        <f>SUBTOTAL(109,Table2[Other Total])</f>
        <v>2</v>
      </c>
      <c r="AB8" s="9">
        <f>SUBTOTAL(109,Table2[Total Seals per LEA])</f>
        <v>1709</v>
      </c>
    </row>
  </sheetData>
  <sortState xmlns:xlrd2="http://schemas.microsoft.com/office/spreadsheetml/2017/richdata2" ref="A2:AH12">
    <sortCondition ref="A2:A12"/>
  </sortState>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58F70-060C-4B36-AD8B-7BCE33788996}">
  <sheetPr codeName="Sheet22"/>
  <dimension ref="A1:AB5"/>
  <sheetViews>
    <sheetView zoomScaleNormal="100" workbookViewId="0">
      <pane xSplit="1" ySplit="2" topLeftCell="B3" activePane="bottomRight" state="frozen"/>
      <selection activeCell="C13" sqref="C13"/>
      <selection pane="topRight" activeCell="C13" sqref="C13"/>
      <selection pane="bottomLeft" activeCell="C13" sqref="C13"/>
      <selection pane="bottomRight"/>
    </sheetView>
  </sheetViews>
  <sheetFormatPr defaultRowHeight="15" x14ac:dyDescent="0.25"/>
  <cols>
    <col min="1" max="1" width="25.1796875" bestFit="1" customWidth="1"/>
    <col min="2" max="2" width="35.08984375" bestFit="1" customWidth="1"/>
    <col min="3" max="3" width="35.08984375" customWidth="1"/>
    <col min="4" max="4" width="44.36328125" customWidth="1"/>
    <col min="5" max="5" width="47.3632812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10</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x14ac:dyDescent="0.25">
      <c r="A3" t="s">
        <v>275</v>
      </c>
      <c r="B3" t="s">
        <v>276</v>
      </c>
      <c r="C3" t="s">
        <v>276</v>
      </c>
      <c r="D3" s="2" t="s">
        <v>65</v>
      </c>
      <c r="E3" s="2" t="s">
        <v>71</v>
      </c>
      <c r="F3" s="14">
        <v>0</v>
      </c>
      <c r="G3" s="14">
        <v>0</v>
      </c>
      <c r="H3" s="14">
        <v>0</v>
      </c>
      <c r="I3" s="9">
        <v>0</v>
      </c>
      <c r="J3" s="9">
        <v>0</v>
      </c>
      <c r="K3" s="9">
        <v>0</v>
      </c>
      <c r="L3" s="14">
        <v>0</v>
      </c>
      <c r="M3" s="14">
        <v>0</v>
      </c>
      <c r="N3" s="9">
        <v>0</v>
      </c>
      <c r="O3" s="9">
        <v>0</v>
      </c>
      <c r="P3" s="14">
        <v>0</v>
      </c>
      <c r="Q3" s="14">
        <v>0</v>
      </c>
      <c r="R3" s="14">
        <v>0</v>
      </c>
      <c r="S3" s="14">
        <v>0</v>
      </c>
      <c r="T3" s="14">
        <v>0</v>
      </c>
      <c r="U3" s="9">
        <v>0</v>
      </c>
      <c r="V3" s="9">
        <v>0</v>
      </c>
      <c r="W3" s="14">
        <v>30</v>
      </c>
      <c r="X3" s="14">
        <v>0</v>
      </c>
      <c r="Y3" s="9">
        <v>0</v>
      </c>
      <c r="Z3" s="14">
        <v>0</v>
      </c>
      <c r="AA3" s="14">
        <v>0</v>
      </c>
      <c r="AB3" s="14">
        <f>SUM(F3:AA3)</f>
        <v>30</v>
      </c>
    </row>
    <row r="4" spans="1:28" s="7" customFormat="1" ht="45" x14ac:dyDescent="0.25">
      <c r="A4" s="2" t="s">
        <v>114</v>
      </c>
      <c r="B4" s="2" t="s">
        <v>115</v>
      </c>
      <c r="C4" s="7" t="s">
        <v>64</v>
      </c>
      <c r="D4" s="2" t="s">
        <v>94</v>
      </c>
      <c r="E4" s="2" t="s">
        <v>85</v>
      </c>
      <c r="F4" s="9">
        <v>0</v>
      </c>
      <c r="G4" s="9">
        <v>0</v>
      </c>
      <c r="H4" s="9">
        <v>0</v>
      </c>
      <c r="I4" s="9">
        <v>0</v>
      </c>
      <c r="J4" s="9">
        <v>0</v>
      </c>
      <c r="K4" s="9">
        <v>0</v>
      </c>
      <c r="L4" s="9">
        <v>0</v>
      </c>
      <c r="M4" s="9">
        <v>0</v>
      </c>
      <c r="N4" s="9">
        <v>0</v>
      </c>
      <c r="O4" s="9">
        <v>0</v>
      </c>
      <c r="P4" s="9">
        <v>0</v>
      </c>
      <c r="Q4" s="9">
        <v>0</v>
      </c>
      <c r="R4" s="9">
        <v>0</v>
      </c>
      <c r="S4" s="9">
        <v>0</v>
      </c>
      <c r="T4" s="9">
        <v>0</v>
      </c>
      <c r="U4" s="9">
        <v>0</v>
      </c>
      <c r="V4" s="9">
        <v>0</v>
      </c>
      <c r="W4" s="9">
        <v>309</v>
      </c>
      <c r="X4" s="9">
        <v>0</v>
      </c>
      <c r="Y4" s="9">
        <v>0</v>
      </c>
      <c r="Z4" s="9">
        <v>0</v>
      </c>
      <c r="AA4" s="9">
        <v>0</v>
      </c>
      <c r="AB4" s="9">
        <f>SUM(F3:AA4)</f>
        <v>339</v>
      </c>
    </row>
    <row r="5" spans="1:28" x14ac:dyDescent="0.25">
      <c r="A5" t="s">
        <v>37</v>
      </c>
      <c r="B5" s="11" t="s">
        <v>55</v>
      </c>
      <c r="C5" s="11" t="s">
        <v>72</v>
      </c>
      <c r="D5" s="20"/>
      <c r="E5" s="20"/>
      <c r="F5" s="4">
        <f>SUBTOTAL(109,SantaBarbara[American Sign Language Total])</f>
        <v>0</v>
      </c>
      <c r="G5" s="4">
        <f>SUBTOTAL(109,SantaBarbara[Arabic Total])</f>
        <v>0</v>
      </c>
      <c r="H5" s="4">
        <f>SUBTOTAL(109,SantaBarbara[Armenian Total])</f>
        <v>0</v>
      </c>
      <c r="I5" s="4">
        <f>SUBTOTAL(109,SantaBarbara[Bengali Total])</f>
        <v>0</v>
      </c>
      <c r="J5" s="4">
        <f>SUBTOTAL(109,SantaBarbara[Chinese Total])</f>
        <v>0</v>
      </c>
      <c r="K5" s="4">
        <f>SUBTOTAL(109,SantaBarbara[Farsi (Persian) Total])</f>
        <v>0</v>
      </c>
      <c r="L5" s="4">
        <f>SUBTOTAL(109,SantaBarbara[French Total])</f>
        <v>0</v>
      </c>
      <c r="M5" s="4">
        <f>SUBTOTAL(109,SantaBarbara[German Total])</f>
        <v>0</v>
      </c>
      <c r="N5" s="4">
        <f>SUBTOTAL(109,SantaBarbara[Hebrew Total])</f>
        <v>0</v>
      </c>
      <c r="O5" s="4">
        <f>SUBTOTAL(109,SantaBarbara[Hindi Total])</f>
        <v>0</v>
      </c>
      <c r="P5" s="4">
        <f>SUBTOTAL(109,SantaBarbara[Hmong Total])</f>
        <v>0</v>
      </c>
      <c r="Q5" s="4">
        <f>SUBTOTAL(109,SantaBarbara[Italian Total])</f>
        <v>0</v>
      </c>
      <c r="R5" s="4">
        <f>SUBTOTAL(109,SantaBarbara[Japanese Total])</f>
        <v>0</v>
      </c>
      <c r="S5" s="4">
        <f>SUBTOTAL(109,SantaBarbara[Korean Total])</f>
        <v>0</v>
      </c>
      <c r="T5" s="4">
        <f>SUBTOTAL(109,SantaBarbara[Portuguese Total])</f>
        <v>0</v>
      </c>
      <c r="U5" s="4">
        <f>SUBTOTAL(109,SantaBarbara[Punjabi Total])</f>
        <v>0</v>
      </c>
      <c r="V5" s="4">
        <f>SUBTOTAL(109,SantaBarbara[Russian Total])</f>
        <v>0</v>
      </c>
      <c r="W5" s="4">
        <f>SUBTOTAL(109,SantaBarbara[Spanish Total])</f>
        <v>339</v>
      </c>
      <c r="X5" s="4">
        <f>SUBTOTAL(109,SantaBarbara[Tagalog (Filipino) Total])</f>
        <v>0</v>
      </c>
      <c r="Y5" s="4">
        <f>SUBTOTAL(109,SantaBarbara[Urdu Total])</f>
        <v>0</v>
      </c>
      <c r="Z5" s="4">
        <f>SUBTOTAL(109,SantaBarbara[Vietnamese Total])</f>
        <v>0</v>
      </c>
      <c r="AA5" s="4">
        <f>SUBTOTAL(109,SantaBarbara[Other Total])</f>
        <v>0</v>
      </c>
      <c r="AB5" s="4">
        <f>SUBTOTAL(109,SantaBarbara[Total Seals per LEA])</f>
        <v>369</v>
      </c>
    </row>
  </sheetData>
  <conditionalFormatting sqref="A1:E1 A2:B3">
    <cfRule type="duplicateValues" dxfId="66" priority="2"/>
  </conditionalFormatting>
  <conditionalFormatting sqref="C2:E3">
    <cfRule type="duplicateValues" dxfId="65" priority="1"/>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61009-5814-4DFC-B065-D0C830E2F1DE}">
  <sheetPr codeName="Sheet23"/>
  <dimension ref="A1:AB13"/>
  <sheetViews>
    <sheetView zoomScaleNormal="100" workbookViewId="0">
      <pane xSplit="1" ySplit="2" topLeftCell="B5" activePane="bottomRight" state="frozen"/>
      <selection activeCell="C13" sqref="C13"/>
      <selection pane="topRight" activeCell="C13" sqref="C13"/>
      <selection pane="bottomLeft" activeCell="C13" sqref="C13"/>
      <selection pane="bottomRight"/>
    </sheetView>
  </sheetViews>
  <sheetFormatPr defaultRowHeight="15" x14ac:dyDescent="0.25"/>
  <cols>
    <col min="1" max="1" width="24.81640625" style="6" bestFit="1" customWidth="1"/>
    <col min="2" max="2" width="37.54296875" bestFit="1" customWidth="1"/>
    <col min="3" max="5" width="37.542968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9</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45" x14ac:dyDescent="0.25">
      <c r="A3" s="2" t="s">
        <v>117</v>
      </c>
      <c r="B3" s="6" t="s">
        <v>281</v>
      </c>
      <c r="C3" s="2" t="s">
        <v>281</v>
      </c>
      <c r="D3" s="2" t="s">
        <v>65</v>
      </c>
      <c r="E3" s="2" t="s">
        <v>104</v>
      </c>
      <c r="F3" s="2">
        <v>0</v>
      </c>
      <c r="G3" s="2">
        <v>0</v>
      </c>
      <c r="H3" s="2">
        <v>0</v>
      </c>
      <c r="I3" s="2">
        <v>0</v>
      </c>
      <c r="J3" s="2">
        <v>0</v>
      </c>
      <c r="K3" s="2">
        <v>0</v>
      </c>
      <c r="L3" s="2">
        <v>0</v>
      </c>
      <c r="M3" s="2">
        <v>0</v>
      </c>
      <c r="N3" s="2">
        <v>0</v>
      </c>
      <c r="O3" s="2">
        <v>0</v>
      </c>
      <c r="P3" s="2">
        <v>0</v>
      </c>
      <c r="Q3" s="2">
        <v>0</v>
      </c>
      <c r="R3" s="2">
        <v>0</v>
      </c>
      <c r="S3" s="2">
        <v>0</v>
      </c>
      <c r="T3" s="2">
        <v>0</v>
      </c>
      <c r="U3" s="2">
        <v>0</v>
      </c>
      <c r="V3" s="2">
        <v>0</v>
      </c>
      <c r="W3" s="2">
        <v>643</v>
      </c>
      <c r="X3" s="2">
        <v>0</v>
      </c>
      <c r="Y3" s="2">
        <v>0</v>
      </c>
      <c r="Z3" s="2">
        <v>120</v>
      </c>
      <c r="AA3" s="2">
        <v>0</v>
      </c>
      <c r="AB3" s="2">
        <f t="shared" ref="AB3:AB12" si="0">SUM(F3:AA3)</f>
        <v>763</v>
      </c>
    </row>
    <row r="4" spans="1:28" s="7" customFormat="1" ht="30" x14ac:dyDescent="0.25">
      <c r="A4" s="2" t="s">
        <v>118</v>
      </c>
      <c r="B4" s="6" t="s">
        <v>282</v>
      </c>
      <c r="C4" s="7" t="s">
        <v>283</v>
      </c>
      <c r="D4" s="2" t="s">
        <v>65</v>
      </c>
      <c r="E4" s="2" t="s">
        <v>71</v>
      </c>
      <c r="F4" s="2">
        <v>0</v>
      </c>
      <c r="G4" s="2">
        <v>0</v>
      </c>
      <c r="H4" s="2">
        <v>0</v>
      </c>
      <c r="I4" s="2">
        <v>0</v>
      </c>
      <c r="J4" s="2">
        <v>104</v>
      </c>
      <c r="K4" s="2">
        <v>0</v>
      </c>
      <c r="L4" s="2">
        <v>0</v>
      </c>
      <c r="M4" s="2">
        <v>0</v>
      </c>
      <c r="N4" s="2">
        <v>0</v>
      </c>
      <c r="O4" s="2">
        <v>0</v>
      </c>
      <c r="P4" s="2">
        <v>0</v>
      </c>
      <c r="Q4" s="2">
        <v>0</v>
      </c>
      <c r="R4" s="2">
        <v>0</v>
      </c>
      <c r="S4" s="2">
        <v>0</v>
      </c>
      <c r="T4" s="2">
        <v>0</v>
      </c>
      <c r="U4" s="2">
        <v>0</v>
      </c>
      <c r="V4" s="2">
        <v>0</v>
      </c>
      <c r="W4" s="2">
        <v>0</v>
      </c>
      <c r="X4" s="2">
        <v>0</v>
      </c>
      <c r="Y4" s="2">
        <v>0</v>
      </c>
      <c r="Z4" s="2">
        <v>0</v>
      </c>
      <c r="AA4" s="2">
        <v>0</v>
      </c>
      <c r="AB4" s="2">
        <f t="shared" si="0"/>
        <v>104</v>
      </c>
    </row>
    <row r="5" spans="1:28" s="7" customFormat="1" ht="30" x14ac:dyDescent="0.25">
      <c r="A5" s="2" t="s">
        <v>119</v>
      </c>
      <c r="B5" s="7" t="s">
        <v>123</v>
      </c>
      <c r="C5" s="7" t="s">
        <v>64</v>
      </c>
      <c r="D5" s="2" t="s">
        <v>65</v>
      </c>
      <c r="E5" s="2" t="s">
        <v>62</v>
      </c>
      <c r="F5" s="2">
        <v>0</v>
      </c>
      <c r="G5" s="2">
        <v>0</v>
      </c>
      <c r="H5" s="2">
        <v>0</v>
      </c>
      <c r="I5" s="2">
        <v>0</v>
      </c>
      <c r="J5" s="2">
        <v>0</v>
      </c>
      <c r="K5" s="2">
        <v>0</v>
      </c>
      <c r="L5" s="2">
        <v>0</v>
      </c>
      <c r="M5" s="2">
        <v>0</v>
      </c>
      <c r="N5" s="2">
        <v>0</v>
      </c>
      <c r="O5" s="2">
        <v>0</v>
      </c>
      <c r="P5" s="2">
        <v>0</v>
      </c>
      <c r="Q5" s="2">
        <v>0</v>
      </c>
      <c r="R5" s="2">
        <v>0</v>
      </c>
      <c r="S5" s="2">
        <v>0</v>
      </c>
      <c r="T5" s="2">
        <v>0</v>
      </c>
      <c r="U5" s="2">
        <v>10</v>
      </c>
      <c r="V5" s="2">
        <v>2</v>
      </c>
      <c r="W5" s="2">
        <v>174</v>
      </c>
      <c r="X5" s="2">
        <v>6</v>
      </c>
      <c r="Y5" s="2">
        <v>2</v>
      </c>
      <c r="Z5" s="2">
        <v>39</v>
      </c>
      <c r="AA5" s="2">
        <v>5</v>
      </c>
      <c r="AB5" s="2">
        <f t="shared" si="0"/>
        <v>238</v>
      </c>
    </row>
    <row r="6" spans="1:28" s="7" customFormat="1" ht="60" x14ac:dyDescent="0.25">
      <c r="A6" s="2" t="s">
        <v>277</v>
      </c>
      <c r="B6" t="s">
        <v>284</v>
      </c>
      <c r="C6" s="7" t="s">
        <v>64</v>
      </c>
      <c r="D6" s="2" t="s">
        <v>285</v>
      </c>
      <c r="E6" s="2" t="s">
        <v>85</v>
      </c>
      <c r="F6" s="14">
        <v>1</v>
      </c>
      <c r="G6" s="14">
        <v>0</v>
      </c>
      <c r="H6" s="14">
        <v>0</v>
      </c>
      <c r="I6" s="9">
        <v>0</v>
      </c>
      <c r="J6" s="9">
        <v>6</v>
      </c>
      <c r="K6" s="9">
        <v>0</v>
      </c>
      <c r="L6" s="14">
        <v>1</v>
      </c>
      <c r="M6" s="14">
        <v>0</v>
      </c>
      <c r="N6" s="9">
        <v>0</v>
      </c>
      <c r="O6" s="9">
        <v>0</v>
      </c>
      <c r="P6" s="14">
        <v>0</v>
      </c>
      <c r="Q6" s="14">
        <v>0</v>
      </c>
      <c r="R6" s="14">
        <v>2</v>
      </c>
      <c r="S6" s="14">
        <v>0</v>
      </c>
      <c r="T6" s="14">
        <v>0</v>
      </c>
      <c r="U6" s="9">
        <v>0</v>
      </c>
      <c r="V6" s="9">
        <v>0</v>
      </c>
      <c r="W6" s="14">
        <v>8</v>
      </c>
      <c r="X6" s="14">
        <v>0</v>
      </c>
      <c r="Y6" s="9">
        <v>0</v>
      </c>
      <c r="Z6" s="14">
        <v>0</v>
      </c>
      <c r="AA6" s="14">
        <v>3</v>
      </c>
      <c r="AB6" s="14">
        <f t="shared" si="0"/>
        <v>21</v>
      </c>
    </row>
    <row r="7" spans="1:28" s="7" customFormat="1" ht="30" x14ac:dyDescent="0.25">
      <c r="A7" s="2" t="s">
        <v>120</v>
      </c>
      <c r="B7" s="2" t="s">
        <v>286</v>
      </c>
      <c r="C7" s="2" t="s">
        <v>286</v>
      </c>
      <c r="D7" s="2" t="s">
        <v>65</v>
      </c>
      <c r="E7" s="2" t="s">
        <v>104</v>
      </c>
      <c r="F7" s="2">
        <v>0</v>
      </c>
      <c r="G7" s="2">
        <v>0</v>
      </c>
      <c r="H7" s="2">
        <v>0</v>
      </c>
      <c r="I7" s="2">
        <v>0</v>
      </c>
      <c r="J7" s="2">
        <v>0</v>
      </c>
      <c r="K7" s="2">
        <v>0</v>
      </c>
      <c r="L7" s="2">
        <v>0</v>
      </c>
      <c r="M7" s="2">
        <v>0</v>
      </c>
      <c r="N7" s="2">
        <v>0</v>
      </c>
      <c r="O7" s="2">
        <v>0</v>
      </c>
      <c r="P7" s="2">
        <v>0</v>
      </c>
      <c r="Q7" s="2">
        <v>0</v>
      </c>
      <c r="R7" s="2">
        <v>0</v>
      </c>
      <c r="S7" s="2">
        <v>0</v>
      </c>
      <c r="T7" s="2">
        <v>0</v>
      </c>
      <c r="U7" s="2">
        <v>0</v>
      </c>
      <c r="V7" s="2">
        <v>0</v>
      </c>
      <c r="W7" s="2">
        <v>162</v>
      </c>
      <c r="X7" s="2">
        <v>0</v>
      </c>
      <c r="Y7" s="2">
        <v>0</v>
      </c>
      <c r="Z7" s="2">
        <v>0</v>
      </c>
      <c r="AA7" s="2">
        <v>0</v>
      </c>
      <c r="AB7" s="2">
        <f t="shared" si="0"/>
        <v>162</v>
      </c>
    </row>
    <row r="8" spans="1:28" s="7" customFormat="1" ht="30" x14ac:dyDescent="0.25">
      <c r="A8" s="2" t="s">
        <v>278</v>
      </c>
      <c r="B8" t="s">
        <v>287</v>
      </c>
      <c r="C8" t="s">
        <v>287</v>
      </c>
      <c r="D8" s="2" t="s">
        <v>65</v>
      </c>
      <c r="E8" s="2" t="s">
        <v>104</v>
      </c>
      <c r="F8" s="14">
        <v>0</v>
      </c>
      <c r="G8" s="14">
        <v>0</v>
      </c>
      <c r="H8" s="14">
        <v>0</v>
      </c>
      <c r="I8" s="9">
        <v>0</v>
      </c>
      <c r="J8" s="9">
        <v>0</v>
      </c>
      <c r="K8" s="9">
        <v>0</v>
      </c>
      <c r="L8" s="14">
        <v>0</v>
      </c>
      <c r="M8" s="14">
        <v>0</v>
      </c>
      <c r="N8" s="9">
        <v>0</v>
      </c>
      <c r="O8" s="9">
        <v>0</v>
      </c>
      <c r="P8" s="14">
        <v>0</v>
      </c>
      <c r="Q8" s="14">
        <v>0</v>
      </c>
      <c r="R8" s="14">
        <v>0</v>
      </c>
      <c r="S8" s="14">
        <v>0</v>
      </c>
      <c r="T8" s="14">
        <v>0</v>
      </c>
      <c r="U8" s="9">
        <v>0</v>
      </c>
      <c r="V8" s="9">
        <v>0</v>
      </c>
      <c r="W8" s="14">
        <v>17</v>
      </c>
      <c r="X8" s="14">
        <v>0</v>
      </c>
      <c r="Y8" s="9">
        <v>0</v>
      </c>
      <c r="Z8" s="14">
        <v>0</v>
      </c>
      <c r="AA8" s="14">
        <v>0</v>
      </c>
      <c r="AB8" s="2">
        <f t="shared" si="0"/>
        <v>17</v>
      </c>
    </row>
    <row r="9" spans="1:28" s="7" customFormat="1" ht="30" x14ac:dyDescent="0.25">
      <c r="A9" s="2" t="s">
        <v>121</v>
      </c>
      <c r="B9" t="s">
        <v>288</v>
      </c>
      <c r="C9" t="s">
        <v>288</v>
      </c>
      <c r="D9" s="2" t="s">
        <v>289</v>
      </c>
      <c r="E9" s="2" t="s">
        <v>104</v>
      </c>
      <c r="F9" s="2">
        <v>0</v>
      </c>
      <c r="G9" s="2">
        <v>0</v>
      </c>
      <c r="H9" s="2">
        <v>0</v>
      </c>
      <c r="I9" s="2">
        <v>0</v>
      </c>
      <c r="J9" s="2">
        <v>0</v>
      </c>
      <c r="K9" s="2">
        <v>0</v>
      </c>
      <c r="L9" s="2">
        <v>0</v>
      </c>
      <c r="M9" s="2">
        <v>0</v>
      </c>
      <c r="N9" s="2">
        <v>0</v>
      </c>
      <c r="O9" s="2">
        <v>0</v>
      </c>
      <c r="P9" s="2">
        <v>0</v>
      </c>
      <c r="Q9" s="2">
        <v>0</v>
      </c>
      <c r="R9" s="2">
        <v>0</v>
      </c>
      <c r="S9" s="2">
        <v>0</v>
      </c>
      <c r="T9" s="2">
        <v>0</v>
      </c>
      <c r="U9" s="2">
        <v>0</v>
      </c>
      <c r="V9" s="2">
        <v>0</v>
      </c>
      <c r="W9" s="2">
        <v>132</v>
      </c>
      <c r="X9" s="2">
        <v>0</v>
      </c>
      <c r="Y9" s="2">
        <v>0</v>
      </c>
      <c r="Z9" s="2">
        <v>0</v>
      </c>
      <c r="AA9" s="2">
        <v>0</v>
      </c>
      <c r="AB9" s="2">
        <f t="shared" si="0"/>
        <v>132</v>
      </c>
    </row>
    <row r="10" spans="1:28" s="7" customFormat="1" ht="90" x14ac:dyDescent="0.25">
      <c r="A10" s="2" t="s">
        <v>279</v>
      </c>
      <c r="B10" s="2" t="s">
        <v>290</v>
      </c>
      <c r="C10" s="2" t="s">
        <v>291</v>
      </c>
      <c r="D10" s="2" t="s">
        <v>292</v>
      </c>
      <c r="E10" s="2" t="s">
        <v>71</v>
      </c>
      <c r="F10" s="14">
        <v>0</v>
      </c>
      <c r="G10" s="14">
        <v>0</v>
      </c>
      <c r="H10" s="14">
        <v>0</v>
      </c>
      <c r="I10" s="9">
        <v>0</v>
      </c>
      <c r="J10" s="9">
        <v>0</v>
      </c>
      <c r="K10" s="9">
        <v>0</v>
      </c>
      <c r="L10" s="14">
        <v>0</v>
      </c>
      <c r="M10" s="14">
        <v>0</v>
      </c>
      <c r="N10" s="9">
        <v>0</v>
      </c>
      <c r="O10" s="9">
        <v>0</v>
      </c>
      <c r="P10" s="14">
        <v>0</v>
      </c>
      <c r="Q10" s="14">
        <v>0</v>
      </c>
      <c r="R10" s="14">
        <v>0</v>
      </c>
      <c r="S10" s="14">
        <v>0</v>
      </c>
      <c r="T10" s="14">
        <v>0</v>
      </c>
      <c r="U10" s="9">
        <v>0</v>
      </c>
      <c r="V10" s="9">
        <v>0</v>
      </c>
      <c r="W10" s="14">
        <v>323</v>
      </c>
      <c r="X10" s="14">
        <v>0</v>
      </c>
      <c r="Y10" s="9">
        <v>0</v>
      </c>
      <c r="Z10" s="14">
        <v>0</v>
      </c>
      <c r="AA10" s="14">
        <v>0</v>
      </c>
      <c r="AB10" s="14">
        <f t="shared" si="0"/>
        <v>323</v>
      </c>
    </row>
    <row r="11" spans="1:28" s="7" customFormat="1" ht="30" x14ac:dyDescent="0.25">
      <c r="A11" s="2" t="s">
        <v>280</v>
      </c>
      <c r="B11" t="s">
        <v>293</v>
      </c>
      <c r="C11" s="7" t="s">
        <v>64</v>
      </c>
      <c r="D11" s="2" t="s">
        <v>294</v>
      </c>
      <c r="E11" s="2" t="s">
        <v>71</v>
      </c>
      <c r="F11" s="14">
        <v>0</v>
      </c>
      <c r="G11" s="14">
        <v>0</v>
      </c>
      <c r="H11" s="14">
        <v>0</v>
      </c>
      <c r="I11" s="9">
        <v>0</v>
      </c>
      <c r="J11" s="9">
        <v>39</v>
      </c>
      <c r="K11" s="9">
        <v>0</v>
      </c>
      <c r="L11" s="14">
        <v>0</v>
      </c>
      <c r="M11" s="14">
        <v>0</v>
      </c>
      <c r="N11" s="9">
        <v>0</v>
      </c>
      <c r="O11" s="9">
        <v>0</v>
      </c>
      <c r="P11" s="14">
        <v>0</v>
      </c>
      <c r="Q11" s="14">
        <v>0</v>
      </c>
      <c r="R11" s="14">
        <v>0</v>
      </c>
      <c r="S11" s="14">
        <v>0</v>
      </c>
      <c r="T11" s="14">
        <v>0</v>
      </c>
      <c r="U11" s="9">
        <v>0</v>
      </c>
      <c r="V11" s="9">
        <v>0</v>
      </c>
      <c r="W11" s="14">
        <v>13</v>
      </c>
      <c r="X11" s="14">
        <v>0</v>
      </c>
      <c r="Y11" s="9">
        <v>0</v>
      </c>
      <c r="Z11" s="14">
        <v>0</v>
      </c>
      <c r="AA11" s="14">
        <v>0</v>
      </c>
      <c r="AB11" s="14">
        <f t="shared" si="0"/>
        <v>52</v>
      </c>
    </row>
    <row r="12" spans="1:28" s="7" customFormat="1" ht="45" x14ac:dyDescent="0.25">
      <c r="A12" s="2" t="s">
        <v>122</v>
      </c>
      <c r="B12" s="6" t="s">
        <v>295</v>
      </c>
      <c r="C12" s="7" t="s">
        <v>296</v>
      </c>
      <c r="D12" s="2" t="s">
        <v>65</v>
      </c>
      <c r="E12" s="2" t="s">
        <v>297</v>
      </c>
      <c r="F12" s="14">
        <v>0</v>
      </c>
      <c r="G12" s="14">
        <v>0</v>
      </c>
      <c r="H12" s="14">
        <v>0</v>
      </c>
      <c r="I12" s="9">
        <v>0</v>
      </c>
      <c r="J12" s="9">
        <v>0</v>
      </c>
      <c r="K12" s="9">
        <v>0</v>
      </c>
      <c r="L12" s="14">
        <v>0</v>
      </c>
      <c r="M12" s="14">
        <v>0</v>
      </c>
      <c r="N12" s="9">
        <v>0</v>
      </c>
      <c r="O12" s="9">
        <v>0</v>
      </c>
      <c r="P12" s="14">
        <v>0</v>
      </c>
      <c r="Q12" s="14">
        <v>0</v>
      </c>
      <c r="R12" s="14">
        <v>0</v>
      </c>
      <c r="S12" s="14">
        <v>0</v>
      </c>
      <c r="T12" s="14">
        <v>0</v>
      </c>
      <c r="U12" s="9">
        <v>0</v>
      </c>
      <c r="V12" s="9">
        <v>0</v>
      </c>
      <c r="W12" s="14">
        <v>68</v>
      </c>
      <c r="X12" s="14">
        <v>0</v>
      </c>
      <c r="Y12" s="9">
        <v>0</v>
      </c>
      <c r="Z12" s="14">
        <v>0</v>
      </c>
      <c r="AA12" s="14">
        <v>0</v>
      </c>
      <c r="AB12" s="14">
        <f t="shared" si="0"/>
        <v>68</v>
      </c>
    </row>
    <row r="13" spans="1:28" ht="15.6" x14ac:dyDescent="0.3">
      <c r="A13" s="6" t="s">
        <v>251</v>
      </c>
      <c r="B13" s="11" t="s">
        <v>298</v>
      </c>
      <c r="C13" s="11" t="s">
        <v>299</v>
      </c>
      <c r="D13" s="20"/>
      <c r="E13" s="20"/>
      <c r="F13" s="4">
        <f>SUBTOTAL(109,SantaClara[American Sign Language Total])</f>
        <v>1</v>
      </c>
      <c r="G13" s="4">
        <f>SUBTOTAL(109,SantaClara[Arabic Total])</f>
        <v>0</v>
      </c>
      <c r="H13" s="4">
        <f>SUBTOTAL(109,SantaClara[Armenian Total])</f>
        <v>0</v>
      </c>
      <c r="I13" s="4">
        <f>SUBTOTAL(109,SantaClara[Bengali Total])</f>
        <v>0</v>
      </c>
      <c r="J13" s="4">
        <f>SUBTOTAL(109,SantaClara[Chinese Total])</f>
        <v>149</v>
      </c>
      <c r="K13" s="4">
        <f>SUBTOTAL(109,SantaClara[Farsi (Persian) Total])</f>
        <v>0</v>
      </c>
      <c r="L13" s="4">
        <f>SUBTOTAL(109,SantaClara[French Total])</f>
        <v>1</v>
      </c>
      <c r="M13" s="4">
        <f>SUBTOTAL(109,SantaClara[German Total])</f>
        <v>0</v>
      </c>
      <c r="N13" s="4">
        <f>SUBTOTAL(109,SantaClara[Hebrew Total])</f>
        <v>0</v>
      </c>
      <c r="O13" s="4">
        <f>SUBTOTAL(109,SantaClara[Hindi Total])</f>
        <v>0</v>
      </c>
      <c r="P13" s="4">
        <f>SUBTOTAL(109,SantaClara[Hmong Total])</f>
        <v>0</v>
      </c>
      <c r="Q13" s="4">
        <f>SUBTOTAL(109,SantaClara[Italian Total])</f>
        <v>0</v>
      </c>
      <c r="R13" s="4">
        <f>SUBTOTAL(109,SantaClara[Japanese Total])</f>
        <v>2</v>
      </c>
      <c r="S13" s="4">
        <f>SUBTOTAL(109,SantaClara[Korean Total])</f>
        <v>0</v>
      </c>
      <c r="T13" s="4">
        <f>SUBTOTAL(109,SantaClara[Portuguese Total])</f>
        <v>0</v>
      </c>
      <c r="U13" s="4">
        <f>SUBTOTAL(109,SantaClara[Punjabi Total])</f>
        <v>10</v>
      </c>
      <c r="V13" s="4">
        <f>SUBTOTAL(109,SantaClara[Russian Total])</f>
        <v>2</v>
      </c>
      <c r="W13" s="4">
        <f>SUBTOTAL(109,SantaClara[Spanish Total])</f>
        <v>1540</v>
      </c>
      <c r="X13" s="4">
        <f>SUBTOTAL(109,SantaClara[Tagalog (Filipino) Total])</f>
        <v>6</v>
      </c>
      <c r="Y13" s="4">
        <f>SUBTOTAL(109,SantaClara[Urdu Total])</f>
        <v>2</v>
      </c>
      <c r="Z13" s="4">
        <f>SUBTOTAL(109,SantaClara[Vietnamese Total])</f>
        <v>159</v>
      </c>
      <c r="AA13" s="4">
        <f>SUBTOTAL(109,SantaClara[Other Total])</f>
        <v>8</v>
      </c>
      <c r="AB13" s="4">
        <f>SUBTOTAL(109,SantaClara[Total Seals per LEA])</f>
        <v>1880</v>
      </c>
    </row>
  </sheetData>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875DC-7E88-4EB7-BAAA-BDBC7B150A42}">
  <sheetPr codeName="Sheet25"/>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116</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60" x14ac:dyDescent="0.25">
      <c r="A3" s="6" t="s">
        <v>126</v>
      </c>
      <c r="B3" t="s">
        <v>126</v>
      </c>
      <c r="C3" s="7" t="s">
        <v>126</v>
      </c>
      <c r="D3" s="2" t="s">
        <v>65</v>
      </c>
      <c r="E3" s="2" t="s">
        <v>85</v>
      </c>
      <c r="F3" s="9">
        <v>0</v>
      </c>
      <c r="G3" s="9">
        <v>0</v>
      </c>
      <c r="H3" s="9">
        <v>0</v>
      </c>
      <c r="I3" s="9">
        <v>0</v>
      </c>
      <c r="J3" s="9">
        <v>0</v>
      </c>
      <c r="K3" s="9">
        <v>0</v>
      </c>
      <c r="L3" s="9">
        <v>18</v>
      </c>
      <c r="M3" s="9">
        <v>0</v>
      </c>
      <c r="N3" s="9">
        <v>0</v>
      </c>
      <c r="O3" s="9">
        <v>0</v>
      </c>
      <c r="P3" s="9">
        <v>0</v>
      </c>
      <c r="Q3" s="9">
        <v>0</v>
      </c>
      <c r="R3" s="9">
        <v>0</v>
      </c>
      <c r="S3" s="9">
        <v>18</v>
      </c>
      <c r="T3" s="9">
        <v>0</v>
      </c>
      <c r="U3" s="9">
        <v>0</v>
      </c>
      <c r="V3" s="9">
        <v>0</v>
      </c>
      <c r="W3" s="9">
        <v>362</v>
      </c>
      <c r="X3" s="9">
        <v>0</v>
      </c>
      <c r="Y3" s="9">
        <v>0</v>
      </c>
      <c r="Z3" s="9">
        <v>0</v>
      </c>
      <c r="AA3" s="9">
        <v>0</v>
      </c>
      <c r="AB3" s="9">
        <f>SUM(F3:AA3)</f>
        <v>398</v>
      </c>
    </row>
    <row r="4" spans="1:28" x14ac:dyDescent="0.25">
      <c r="A4" t="s">
        <v>36</v>
      </c>
      <c r="B4" s="11" t="s">
        <v>72</v>
      </c>
      <c r="C4" s="11" t="s">
        <v>72</v>
      </c>
      <c r="D4" s="20"/>
      <c r="E4" s="20"/>
      <c r="F4" s="4">
        <f>SUBTOTAL(109,SanBernardino9101112[American Sign Language Total])</f>
        <v>0</v>
      </c>
      <c r="G4" s="4">
        <f>SUBTOTAL(109,SanBernardino9101112[Arabic Total])</f>
        <v>0</v>
      </c>
      <c r="H4" s="4">
        <f>SUBTOTAL(109,SanBernardino9101112[Armenian Total])</f>
        <v>0</v>
      </c>
      <c r="I4" s="4">
        <f>SUBTOTAL(109,SanBernardino9101112[Bengali Total])</f>
        <v>0</v>
      </c>
      <c r="J4" s="4">
        <f>SUBTOTAL(109,SanBernardino9101112[Chinese Total])</f>
        <v>0</v>
      </c>
      <c r="K4" s="4">
        <f>SUBTOTAL(109,SanBernardino9101112[Farsi (Persian) Total])</f>
        <v>0</v>
      </c>
      <c r="L4" s="4">
        <f>SUBTOTAL(109,SanBernardino9101112[French Total])</f>
        <v>18</v>
      </c>
      <c r="M4" s="4">
        <f>SUBTOTAL(109,SanBernardino9101112[German Total])</f>
        <v>0</v>
      </c>
      <c r="N4" s="4">
        <f>SUBTOTAL(109,SanBernardino9101112[Hebrew Total])</f>
        <v>0</v>
      </c>
      <c r="O4" s="4">
        <f>SUBTOTAL(109,SanBernardino9101112[Hindi Total])</f>
        <v>0</v>
      </c>
      <c r="P4" s="4">
        <f>SUBTOTAL(109,SanBernardino9101112[Hmong Total])</f>
        <v>0</v>
      </c>
      <c r="Q4" s="4">
        <f>SUBTOTAL(109,SanBernardino9101112[Italian Total])</f>
        <v>0</v>
      </c>
      <c r="R4" s="4">
        <f>SUBTOTAL(109,SanBernardino9101112[Japanese Total])</f>
        <v>0</v>
      </c>
      <c r="S4" s="4">
        <f>SUBTOTAL(109,SanBernardino9101112[Korean Total])</f>
        <v>18</v>
      </c>
      <c r="T4" s="4">
        <f>SUBTOTAL(109,SanBernardino9101112[Portuguese Total])</f>
        <v>0</v>
      </c>
      <c r="U4" s="4">
        <f>SUBTOTAL(109,SanBernardino9101112[Punjabi Total])</f>
        <v>0</v>
      </c>
      <c r="V4" s="4">
        <f>SUBTOTAL(109,SanBernardino9101112[Russian Total])</f>
        <v>0</v>
      </c>
      <c r="W4" s="4">
        <f>SUBTOTAL(109,SanBernardino9101112[Spanish Total])</f>
        <v>362</v>
      </c>
      <c r="X4" s="4">
        <f>SUBTOTAL(109,SanBernardino9101112[Tagalog (Filipino) Total])</f>
        <v>0</v>
      </c>
      <c r="Y4" s="4">
        <f>SUBTOTAL(109,SanBernardino9101112[Urdu Total])</f>
        <v>0</v>
      </c>
      <c r="Z4" s="4">
        <f>SUBTOTAL(109,SanBernardino9101112[Vietnamese Total])</f>
        <v>0</v>
      </c>
      <c r="AA4" s="4">
        <f>SUBTOTAL(109,SanBernardino9101112[Other Total])</f>
        <v>0</v>
      </c>
      <c r="AB4" s="4">
        <f>SUBTOTAL(109,SanBernardino9101112[Total Seals per LEA])</f>
        <v>398</v>
      </c>
    </row>
  </sheetData>
  <conditionalFormatting sqref="A1:E1 A2:B2">
    <cfRule type="duplicateValues" dxfId="64" priority="2"/>
  </conditionalFormatting>
  <conditionalFormatting sqref="C2:E2">
    <cfRule type="duplicateValues" dxfId="63" priority="1"/>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2A2F1-1F54-4815-A3CD-39A0F501B877}">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300</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x14ac:dyDescent="0.25">
      <c r="A3" t="s">
        <v>304</v>
      </c>
      <c r="B3" t="s">
        <v>305</v>
      </c>
      <c r="C3" s="7" t="s">
        <v>64</v>
      </c>
      <c r="D3" s="2" t="s">
        <v>69</v>
      </c>
      <c r="E3" s="2" t="s">
        <v>71</v>
      </c>
      <c r="F3" s="9">
        <v>0</v>
      </c>
      <c r="G3" s="9">
        <v>0</v>
      </c>
      <c r="H3" s="9">
        <v>0</v>
      </c>
      <c r="I3" s="9">
        <v>0</v>
      </c>
      <c r="J3" s="9">
        <v>0</v>
      </c>
      <c r="K3" s="9">
        <v>0</v>
      </c>
      <c r="L3" s="9">
        <v>0</v>
      </c>
      <c r="M3" s="9">
        <v>0</v>
      </c>
      <c r="N3" s="9">
        <v>0</v>
      </c>
      <c r="O3" s="9">
        <v>0</v>
      </c>
      <c r="P3" s="9">
        <v>0</v>
      </c>
      <c r="Q3" s="9">
        <v>0</v>
      </c>
      <c r="R3" s="9">
        <v>0</v>
      </c>
      <c r="S3" s="9">
        <v>0</v>
      </c>
      <c r="T3" s="9">
        <v>0</v>
      </c>
      <c r="U3" s="9">
        <v>0</v>
      </c>
      <c r="V3" s="9">
        <v>0</v>
      </c>
      <c r="W3" s="9">
        <v>2</v>
      </c>
      <c r="X3" s="9">
        <v>0</v>
      </c>
      <c r="Y3" s="9">
        <v>0</v>
      </c>
      <c r="Z3" s="9">
        <v>0</v>
      </c>
      <c r="AA3" s="9">
        <v>0</v>
      </c>
      <c r="AB3" s="9">
        <f>SUM(SanBernardino910111219[[#This Row],[American Sign Language Total]:[Other Total]])</f>
        <v>2</v>
      </c>
    </row>
    <row r="4" spans="1:28" x14ac:dyDescent="0.25">
      <c r="A4" t="s">
        <v>36</v>
      </c>
      <c r="B4" s="11" t="s">
        <v>72</v>
      </c>
      <c r="C4" s="11" t="s">
        <v>63</v>
      </c>
      <c r="D4" s="20"/>
      <c r="E4" s="20"/>
      <c r="F4" s="4">
        <f>SUBTOTAL(109,SanBernardino910111219[American Sign Language Total])</f>
        <v>0</v>
      </c>
      <c r="G4" s="4">
        <f>SUBTOTAL(109,SanBernardino910111219[Arabic Total])</f>
        <v>0</v>
      </c>
      <c r="H4" s="4">
        <f>SUBTOTAL(109,SanBernardino910111219[Armenian Total])</f>
        <v>0</v>
      </c>
      <c r="I4" s="4">
        <f>SUBTOTAL(109,SanBernardino910111219[Bengali Total])</f>
        <v>0</v>
      </c>
      <c r="J4" s="4">
        <f>SUBTOTAL(109,SanBernardino910111219[Chinese Total])</f>
        <v>0</v>
      </c>
      <c r="K4" s="4">
        <f>SUBTOTAL(109,SanBernardino910111219[Farsi (Persian) Total])</f>
        <v>0</v>
      </c>
      <c r="L4" s="4">
        <f>SUBTOTAL(109,SanBernardino910111219[French Total])</f>
        <v>0</v>
      </c>
      <c r="M4" s="4">
        <f>SUBTOTAL(109,SanBernardino910111219[German Total])</f>
        <v>0</v>
      </c>
      <c r="N4" s="4">
        <f>SUBTOTAL(109,SanBernardino910111219[Hebrew Total])</f>
        <v>0</v>
      </c>
      <c r="O4" s="4">
        <f>SUBTOTAL(109,SanBernardino910111219[Hindi Total])</f>
        <v>0</v>
      </c>
      <c r="P4" s="4">
        <f>SUBTOTAL(109,SanBernardino910111219[Hmong Total])</f>
        <v>0</v>
      </c>
      <c r="Q4" s="4">
        <f>SUBTOTAL(109,SanBernardino910111219[Italian Total])</f>
        <v>0</v>
      </c>
      <c r="R4" s="4">
        <f>SUBTOTAL(109,SanBernardino910111219[Japanese Total])</f>
        <v>0</v>
      </c>
      <c r="S4" s="4">
        <f>SUBTOTAL(109,SanBernardino910111219[Korean Total])</f>
        <v>0</v>
      </c>
      <c r="T4" s="4">
        <f>SUBTOTAL(109,SanBernardino910111219[Portuguese Total])</f>
        <v>0</v>
      </c>
      <c r="U4" s="4">
        <f>SUBTOTAL(109,SanBernardino910111219[Punjabi Total])</f>
        <v>0</v>
      </c>
      <c r="V4" s="4">
        <f>SUBTOTAL(109,SanBernardino910111219[Russian Total])</f>
        <v>0</v>
      </c>
      <c r="W4" s="4">
        <f>SUBTOTAL(109,SanBernardino910111219[Spanish Total])</f>
        <v>2</v>
      </c>
      <c r="X4" s="4">
        <f>SUBTOTAL(109,SanBernardino910111219[Tagalog (Filipino) Total])</f>
        <v>0</v>
      </c>
      <c r="Y4" s="4">
        <f>SUBTOTAL(109,SanBernardino910111219[Urdu Total])</f>
        <v>0</v>
      </c>
      <c r="Z4" s="4">
        <f>SUBTOTAL(109,SanBernardino910111219[Vietnamese Total])</f>
        <v>0</v>
      </c>
      <c r="AA4" s="4">
        <f>SUBTOTAL(109,SanBernardino910111219[Other Total])</f>
        <v>0</v>
      </c>
      <c r="AB4" s="4">
        <f>SUBTOTAL(109,SanBernardino910111219[Total Seals per LEA])</f>
        <v>2</v>
      </c>
    </row>
  </sheetData>
  <conditionalFormatting sqref="A1:E1 A2:B2">
    <cfRule type="duplicateValues" dxfId="62" priority="2"/>
  </conditionalFormatting>
  <conditionalFormatting sqref="C2:E2">
    <cfRule type="duplicateValues" dxfId="61" priority="1"/>
  </conditionalFormatting>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48ED5-B61F-4385-B313-86BE7DD364E0}">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301</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30" x14ac:dyDescent="0.25">
      <c r="A3" s="6" t="s">
        <v>306</v>
      </c>
      <c r="B3" t="s">
        <v>307</v>
      </c>
      <c r="C3" s="7" t="s">
        <v>307</v>
      </c>
      <c r="D3" s="2" t="s">
        <v>65</v>
      </c>
      <c r="E3" s="2" t="s">
        <v>62</v>
      </c>
      <c r="F3" s="9">
        <v>0</v>
      </c>
      <c r="G3" s="9">
        <v>0</v>
      </c>
      <c r="H3" s="9">
        <v>0</v>
      </c>
      <c r="I3" s="9">
        <v>0</v>
      </c>
      <c r="J3" s="9">
        <v>0</v>
      </c>
      <c r="K3" s="9">
        <v>0</v>
      </c>
      <c r="L3" s="9">
        <v>0</v>
      </c>
      <c r="M3" s="9">
        <v>0</v>
      </c>
      <c r="N3" s="9">
        <v>0</v>
      </c>
      <c r="O3" s="9">
        <v>0</v>
      </c>
      <c r="P3" s="9">
        <v>0</v>
      </c>
      <c r="Q3" s="9">
        <v>0</v>
      </c>
      <c r="R3" s="9">
        <v>0</v>
      </c>
      <c r="S3" s="9">
        <v>0</v>
      </c>
      <c r="T3" s="9">
        <v>0</v>
      </c>
      <c r="U3" s="9">
        <v>0</v>
      </c>
      <c r="V3" s="9">
        <v>0</v>
      </c>
      <c r="W3" s="9">
        <v>41</v>
      </c>
      <c r="X3" s="9">
        <v>0</v>
      </c>
      <c r="Y3" s="9">
        <v>0</v>
      </c>
      <c r="Z3" s="9">
        <v>0</v>
      </c>
      <c r="AA3" s="9">
        <v>0</v>
      </c>
      <c r="AB3" s="9">
        <f>SUM(SanBernardino91011121921[[#This Row],[American Sign Language Total]:[Other Total]])</f>
        <v>41</v>
      </c>
    </row>
    <row r="4" spans="1:28" x14ac:dyDescent="0.25">
      <c r="A4" t="s">
        <v>36</v>
      </c>
      <c r="B4" s="11" t="s">
        <v>72</v>
      </c>
      <c r="C4" s="11" t="s">
        <v>72</v>
      </c>
      <c r="D4" s="20"/>
      <c r="E4" s="20"/>
      <c r="F4" s="4">
        <f>SUBTOTAL(109,SanBernardino91011121921[American Sign Language Total])</f>
        <v>0</v>
      </c>
      <c r="G4" s="4">
        <f>SUBTOTAL(109,SanBernardino91011121921[Arabic Total])</f>
        <v>0</v>
      </c>
      <c r="H4" s="4">
        <f>SUBTOTAL(109,SanBernardino91011121921[Armenian Total])</f>
        <v>0</v>
      </c>
      <c r="I4" s="4">
        <f>SUBTOTAL(109,SanBernardino91011121921[Bengali Total])</f>
        <v>0</v>
      </c>
      <c r="J4" s="4">
        <f>SUBTOTAL(109,SanBernardino91011121921[Chinese Total])</f>
        <v>0</v>
      </c>
      <c r="K4" s="4">
        <f>SUBTOTAL(109,SanBernardino91011121921[Farsi (Persian) Total])</f>
        <v>0</v>
      </c>
      <c r="L4" s="4">
        <f>SUBTOTAL(109,SanBernardino91011121921[French Total])</f>
        <v>0</v>
      </c>
      <c r="M4" s="4">
        <f>SUBTOTAL(109,SanBernardino91011121921[German Total])</f>
        <v>0</v>
      </c>
      <c r="N4" s="4">
        <f>SUBTOTAL(109,SanBernardino91011121921[Hebrew Total])</f>
        <v>0</v>
      </c>
      <c r="O4" s="4">
        <f>SUBTOTAL(109,SanBernardino91011121921[Hindi Total])</f>
        <v>0</v>
      </c>
      <c r="P4" s="4">
        <f>SUBTOTAL(109,SanBernardino91011121921[Hmong Total])</f>
        <v>0</v>
      </c>
      <c r="Q4" s="4">
        <f>SUBTOTAL(109,SanBernardino91011121921[Italian Total])</f>
        <v>0</v>
      </c>
      <c r="R4" s="4">
        <f>SUBTOTAL(109,SanBernardino91011121921[Japanese Total])</f>
        <v>0</v>
      </c>
      <c r="S4" s="4">
        <f>SUBTOTAL(109,SanBernardino91011121921[Korean Total])</f>
        <v>0</v>
      </c>
      <c r="T4" s="4">
        <f>SUBTOTAL(109,SanBernardino91011121921[Portuguese Total])</f>
        <v>0</v>
      </c>
      <c r="U4" s="4">
        <f>SUBTOTAL(109,SanBernardino91011121921[Punjabi Total])</f>
        <v>0</v>
      </c>
      <c r="V4" s="4">
        <f>SUBTOTAL(109,SanBernardino91011121921[Russian Total])</f>
        <v>0</v>
      </c>
      <c r="W4" s="4">
        <f>SUBTOTAL(109,SanBernardino91011121921[Spanish Total])</f>
        <v>41</v>
      </c>
      <c r="X4" s="4">
        <f>SUBTOTAL(109,SanBernardino91011121921[Tagalog (Filipino) Total])</f>
        <v>0</v>
      </c>
      <c r="Y4" s="4">
        <f>SUBTOTAL(109,SanBernardino91011121921[Urdu Total])</f>
        <v>0</v>
      </c>
      <c r="Z4" s="4">
        <f>SUBTOTAL(109,SanBernardino91011121921[Vietnamese Total])</f>
        <v>0</v>
      </c>
      <c r="AA4" s="4">
        <f>SUBTOTAL(109,SanBernardino91011121921[Other Total])</f>
        <v>0</v>
      </c>
      <c r="AB4" s="4">
        <f>SUBTOTAL(109,SanBernardino91011121921[Total Seals per LEA])</f>
        <v>41</v>
      </c>
    </row>
  </sheetData>
  <conditionalFormatting sqref="A1:E1 A2:B2">
    <cfRule type="duplicateValues" dxfId="60" priority="2"/>
  </conditionalFormatting>
  <conditionalFormatting sqref="C2:E2">
    <cfRule type="duplicateValues" dxfId="59" priority="1"/>
  </conditionalFormatting>
  <pageMargins left="0.7" right="0.7" top="0.75" bottom="0.75" header="0.3" footer="0.3"/>
  <pageSetup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A0D6E-F883-489A-BA0B-3204A650FF21}">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302</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45" x14ac:dyDescent="0.25">
      <c r="A3" s="6" t="s">
        <v>308</v>
      </c>
      <c r="B3" t="s">
        <v>309</v>
      </c>
      <c r="C3" s="7" t="s">
        <v>64</v>
      </c>
      <c r="D3" s="2" t="s">
        <v>89</v>
      </c>
      <c r="E3" s="2" t="s">
        <v>310</v>
      </c>
      <c r="F3" s="9">
        <v>0</v>
      </c>
      <c r="G3" s="9">
        <v>0</v>
      </c>
      <c r="H3" s="9">
        <v>0</v>
      </c>
      <c r="I3" s="9">
        <v>0</v>
      </c>
      <c r="J3" s="9">
        <v>0</v>
      </c>
      <c r="K3" s="9">
        <v>0</v>
      </c>
      <c r="L3" s="9">
        <v>0</v>
      </c>
      <c r="M3" s="9">
        <v>0</v>
      </c>
      <c r="N3" s="9">
        <v>0</v>
      </c>
      <c r="O3" s="9">
        <v>0</v>
      </c>
      <c r="P3" s="9">
        <v>0</v>
      </c>
      <c r="Q3" s="9">
        <v>0</v>
      </c>
      <c r="R3" s="9">
        <v>0</v>
      </c>
      <c r="S3" s="9">
        <v>0</v>
      </c>
      <c r="T3" s="9">
        <v>0</v>
      </c>
      <c r="U3" s="9">
        <v>0</v>
      </c>
      <c r="V3" s="9">
        <v>0</v>
      </c>
      <c r="W3" s="9">
        <v>64</v>
      </c>
      <c r="X3" s="9">
        <v>0</v>
      </c>
      <c r="Y3" s="9">
        <v>0</v>
      </c>
      <c r="Z3" s="9">
        <v>0</v>
      </c>
      <c r="AA3" s="9">
        <v>0</v>
      </c>
      <c r="AB3" s="9">
        <f>SUM(SanBernardino9101112192122[[#This Row],[American Sign Language Total]:[Other Total]])</f>
        <v>64</v>
      </c>
    </row>
    <row r="4" spans="1:28" x14ac:dyDescent="0.25">
      <c r="A4" t="s">
        <v>37</v>
      </c>
      <c r="B4" s="11" t="s">
        <v>79</v>
      </c>
      <c r="C4" s="11" t="s">
        <v>63</v>
      </c>
      <c r="D4" s="20"/>
      <c r="E4" s="20"/>
      <c r="F4" s="4">
        <f>SUBTOTAL(109,SanBernardino9101112192122[American Sign Language Total])</f>
        <v>0</v>
      </c>
      <c r="G4" s="4">
        <f>SUBTOTAL(109,SanBernardino9101112192122[Arabic Total])</f>
        <v>0</v>
      </c>
      <c r="H4" s="4">
        <f>SUBTOTAL(109,SanBernardino9101112192122[Armenian Total])</f>
        <v>0</v>
      </c>
      <c r="I4" s="4">
        <f>SUBTOTAL(109,SanBernardino9101112192122[Bengali Total])</f>
        <v>0</v>
      </c>
      <c r="J4" s="4">
        <f>SUBTOTAL(109,SanBernardino9101112192122[Chinese Total])</f>
        <v>0</v>
      </c>
      <c r="K4" s="4">
        <f>SUBTOTAL(109,SanBernardino9101112192122[Farsi (Persian) Total])</f>
        <v>0</v>
      </c>
      <c r="L4" s="4">
        <f>SUBTOTAL(109,SanBernardino9101112192122[French Total])</f>
        <v>0</v>
      </c>
      <c r="M4" s="4">
        <f>SUBTOTAL(109,SanBernardino9101112192122[German Total])</f>
        <v>0</v>
      </c>
      <c r="N4" s="4">
        <f>SUBTOTAL(109,SanBernardino9101112192122[Hebrew Total])</f>
        <v>0</v>
      </c>
      <c r="O4" s="4">
        <f>SUBTOTAL(109,SanBernardino9101112192122[Hindi Total])</f>
        <v>0</v>
      </c>
      <c r="P4" s="4">
        <f>SUBTOTAL(109,SanBernardino9101112192122[Hmong Total])</f>
        <v>0</v>
      </c>
      <c r="Q4" s="4">
        <f>SUBTOTAL(109,SanBernardino9101112192122[Italian Total])</f>
        <v>0</v>
      </c>
      <c r="R4" s="4">
        <f>SUBTOTAL(109,SanBernardino9101112192122[Japanese Total])</f>
        <v>0</v>
      </c>
      <c r="S4" s="4">
        <f>SUBTOTAL(109,SanBernardino9101112192122[Korean Total])</f>
        <v>0</v>
      </c>
      <c r="T4" s="4">
        <f>SUBTOTAL(109,SanBernardino9101112192122[Portuguese Total])</f>
        <v>0</v>
      </c>
      <c r="U4" s="4">
        <f>SUBTOTAL(109,SanBernardino9101112192122[Punjabi Total])</f>
        <v>0</v>
      </c>
      <c r="V4" s="4">
        <f>SUBTOTAL(109,SanBernardino9101112192122[Russian Total])</f>
        <v>0</v>
      </c>
      <c r="W4" s="4">
        <f>SUBTOTAL(109,SanBernardino9101112192122[Spanish Total])</f>
        <v>64</v>
      </c>
      <c r="X4" s="4">
        <f>SUBTOTAL(109,SanBernardino9101112192122[Tagalog (Filipino) Total])</f>
        <v>0</v>
      </c>
      <c r="Y4" s="4">
        <f>SUBTOTAL(109,SanBernardino9101112192122[Urdu Total])</f>
        <v>0</v>
      </c>
      <c r="Z4" s="4">
        <f>SUBTOTAL(109,SanBernardino9101112192122[Vietnamese Total])</f>
        <v>0</v>
      </c>
      <c r="AA4" s="4">
        <f>SUBTOTAL(109,SanBernardino9101112192122[Other Total])</f>
        <v>0</v>
      </c>
      <c r="AB4" s="4">
        <f>SUBTOTAL(109,SanBernardino9101112192122[Total Seals per LEA])</f>
        <v>64</v>
      </c>
    </row>
  </sheetData>
  <conditionalFormatting sqref="A1:E1 A2:B2">
    <cfRule type="duplicateValues" dxfId="58" priority="2"/>
  </conditionalFormatting>
  <conditionalFormatting sqref="C2:E2">
    <cfRule type="duplicateValues" dxfId="57" priority="1"/>
  </conditionalFormatting>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A0AF6-8539-4B4C-BE4B-23A4CDBFDFF7}">
  <dimension ref="A1:AB4"/>
  <sheetViews>
    <sheetView workbookViewId="0"/>
  </sheetViews>
  <sheetFormatPr defaultRowHeight="15" x14ac:dyDescent="0.25"/>
  <cols>
    <col min="1" max="1" width="26.90625" bestFit="1" customWidth="1"/>
    <col min="2" max="2" width="40.08984375" bestFit="1" customWidth="1"/>
    <col min="3" max="5" width="40.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303</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30" x14ac:dyDescent="0.25">
      <c r="A3" s="6" t="s">
        <v>311</v>
      </c>
      <c r="B3" s="6" t="s">
        <v>312</v>
      </c>
      <c r="C3" s="2" t="s">
        <v>312</v>
      </c>
      <c r="D3" s="2" t="s">
        <v>65</v>
      </c>
      <c r="E3" s="2" t="s">
        <v>62</v>
      </c>
      <c r="F3" s="9">
        <v>0</v>
      </c>
      <c r="G3" s="9">
        <v>0</v>
      </c>
      <c r="H3" s="9">
        <v>0</v>
      </c>
      <c r="I3" s="9">
        <v>0</v>
      </c>
      <c r="J3" s="9">
        <v>0</v>
      </c>
      <c r="K3" s="9">
        <v>0</v>
      </c>
      <c r="L3" s="9">
        <v>0</v>
      </c>
      <c r="M3" s="9">
        <v>0</v>
      </c>
      <c r="N3" s="9">
        <v>0</v>
      </c>
      <c r="O3" s="9">
        <v>0</v>
      </c>
      <c r="P3" s="9">
        <v>0</v>
      </c>
      <c r="Q3" s="9">
        <v>0</v>
      </c>
      <c r="R3" s="9">
        <v>0</v>
      </c>
      <c r="S3" s="9">
        <v>0</v>
      </c>
      <c r="T3" s="9">
        <v>0</v>
      </c>
      <c r="U3" s="9">
        <v>0</v>
      </c>
      <c r="V3" s="9">
        <v>0</v>
      </c>
      <c r="W3" s="9">
        <v>85</v>
      </c>
      <c r="X3" s="9">
        <v>0</v>
      </c>
      <c r="Y3" s="9">
        <v>0</v>
      </c>
      <c r="Z3" s="9">
        <v>0</v>
      </c>
      <c r="AA3" s="9">
        <v>0</v>
      </c>
      <c r="AB3" s="9">
        <f>SUM(SanBernardino910111219212223[[#This Row],[American Sign Language Total]:[Other Total]])</f>
        <v>85</v>
      </c>
    </row>
    <row r="4" spans="1:28" x14ac:dyDescent="0.25">
      <c r="A4" t="s">
        <v>36</v>
      </c>
      <c r="B4" s="11" t="s">
        <v>79</v>
      </c>
      <c r="C4" s="11" t="s">
        <v>79</v>
      </c>
      <c r="D4" s="20"/>
      <c r="E4" s="20"/>
      <c r="F4" s="4">
        <f>SUBTOTAL(109,SanBernardino910111219212223[American Sign Language Total])</f>
        <v>0</v>
      </c>
      <c r="G4" s="4">
        <f>SUBTOTAL(109,SanBernardino910111219212223[Arabic Total])</f>
        <v>0</v>
      </c>
      <c r="H4" s="4">
        <f>SUBTOTAL(109,SanBernardino910111219212223[Armenian Total])</f>
        <v>0</v>
      </c>
      <c r="I4" s="4">
        <f>SUBTOTAL(109,SanBernardino910111219212223[Bengali Total])</f>
        <v>0</v>
      </c>
      <c r="J4" s="4">
        <f>SUBTOTAL(109,SanBernardino910111219212223[Chinese Total])</f>
        <v>0</v>
      </c>
      <c r="K4" s="4">
        <f>SUBTOTAL(109,SanBernardino910111219212223[Farsi (Persian) Total])</f>
        <v>0</v>
      </c>
      <c r="L4" s="4">
        <f>SUBTOTAL(109,SanBernardino910111219212223[French Total])</f>
        <v>0</v>
      </c>
      <c r="M4" s="4">
        <f>SUBTOTAL(109,SanBernardino910111219212223[German Total])</f>
        <v>0</v>
      </c>
      <c r="N4" s="4">
        <f>SUBTOTAL(109,SanBernardino910111219212223[Hebrew Total])</f>
        <v>0</v>
      </c>
      <c r="O4" s="4">
        <f>SUBTOTAL(109,SanBernardino910111219212223[Hindi Total])</f>
        <v>0</v>
      </c>
      <c r="P4" s="4">
        <f>SUBTOTAL(109,SanBernardino910111219212223[Hmong Total])</f>
        <v>0</v>
      </c>
      <c r="Q4" s="4">
        <f>SUBTOTAL(109,SanBernardino910111219212223[Italian Total])</f>
        <v>0</v>
      </c>
      <c r="R4" s="4">
        <f>SUBTOTAL(109,SanBernardino910111219212223[Japanese Total])</f>
        <v>0</v>
      </c>
      <c r="S4" s="4">
        <f>SUBTOTAL(109,SanBernardino910111219212223[Korean Total])</f>
        <v>0</v>
      </c>
      <c r="T4" s="4">
        <f>SUBTOTAL(109,SanBernardino910111219212223[Portuguese Total])</f>
        <v>0</v>
      </c>
      <c r="U4" s="4">
        <f>SUBTOTAL(109,SanBernardino910111219212223[Punjabi Total])</f>
        <v>0</v>
      </c>
      <c r="V4" s="4">
        <f>SUBTOTAL(109,SanBernardino910111219212223[Russian Total])</f>
        <v>0</v>
      </c>
      <c r="W4" s="4">
        <f>SUBTOTAL(109,SanBernardino910111219212223[Spanish Total])</f>
        <v>85</v>
      </c>
      <c r="X4" s="4">
        <f>SUBTOTAL(109,SanBernardino910111219212223[Tagalog (Filipino) Total])</f>
        <v>0</v>
      </c>
      <c r="Y4" s="4">
        <f>SUBTOTAL(109,SanBernardino910111219212223[Urdu Total])</f>
        <v>0</v>
      </c>
      <c r="Z4" s="4">
        <f>SUBTOTAL(109,SanBernardino910111219212223[Vietnamese Total])</f>
        <v>0</v>
      </c>
      <c r="AA4" s="4">
        <f>SUBTOTAL(109,SanBernardino910111219212223[Other Total])</f>
        <v>0</v>
      </c>
      <c r="AB4" s="4">
        <f>SUBTOTAL(109,SanBernardino910111219212223[Total Seals per LEA])</f>
        <v>85</v>
      </c>
    </row>
  </sheetData>
  <conditionalFormatting sqref="A1:E1 A2:B2">
    <cfRule type="duplicateValues" dxfId="56" priority="2"/>
  </conditionalFormatting>
  <conditionalFormatting sqref="C2:E2">
    <cfRule type="duplicateValues" dxfId="55" priority="1"/>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F89A6-FF3A-4520-9517-17F80B94ED69}">
  <sheetPr codeName="Sheet27"/>
  <dimension ref="A1:AB4"/>
  <sheetViews>
    <sheetView zoomScaleNormal="100" workbookViewId="0">
      <pane xSplit="1" ySplit="2" topLeftCell="B3" activePane="bottomRight" state="frozen"/>
      <selection activeCell="B11" sqref="B11"/>
      <selection pane="topRight" activeCell="B11" sqref="B11"/>
      <selection pane="bottomLeft" activeCell="B11" sqref="B11"/>
      <selection pane="bottomRight"/>
    </sheetView>
  </sheetViews>
  <sheetFormatPr defaultRowHeight="15" x14ac:dyDescent="0.25"/>
  <cols>
    <col min="1" max="1" width="22" style="6" bestFit="1" customWidth="1"/>
    <col min="2" max="2" width="37.6328125" style="6" customWidth="1"/>
    <col min="3" max="3" width="41.6328125" style="6" customWidth="1"/>
    <col min="4" max="4" width="43.6328125" style="6" customWidth="1"/>
    <col min="5" max="5" width="43.90625" style="6"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12" t="s">
        <v>11</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105" x14ac:dyDescent="0.25">
      <c r="A3" s="7" t="s">
        <v>127</v>
      </c>
      <c r="B3" s="2" t="s">
        <v>313</v>
      </c>
      <c r="C3" s="2" t="s">
        <v>314</v>
      </c>
      <c r="D3" s="2" t="s">
        <v>129</v>
      </c>
      <c r="E3" s="2" t="s">
        <v>112</v>
      </c>
      <c r="F3" s="14">
        <v>0</v>
      </c>
      <c r="G3" s="14">
        <v>0</v>
      </c>
      <c r="H3" s="14">
        <v>0</v>
      </c>
      <c r="I3" s="9">
        <v>0</v>
      </c>
      <c r="J3" s="9">
        <v>0</v>
      </c>
      <c r="K3" s="9">
        <v>0</v>
      </c>
      <c r="L3" s="14">
        <v>0</v>
      </c>
      <c r="M3" s="14">
        <v>0</v>
      </c>
      <c r="N3" s="9">
        <v>0</v>
      </c>
      <c r="O3" s="9">
        <v>0</v>
      </c>
      <c r="P3" s="14">
        <v>0</v>
      </c>
      <c r="Q3" s="14">
        <v>0</v>
      </c>
      <c r="R3" s="14">
        <v>0</v>
      </c>
      <c r="S3" s="14">
        <v>0</v>
      </c>
      <c r="T3" s="14">
        <v>0</v>
      </c>
      <c r="U3" s="9">
        <v>0</v>
      </c>
      <c r="V3" s="9">
        <v>0</v>
      </c>
      <c r="W3" s="14">
        <v>102</v>
      </c>
      <c r="X3" s="14">
        <v>0</v>
      </c>
      <c r="Y3" s="9">
        <v>0</v>
      </c>
      <c r="Z3" s="14">
        <v>0</v>
      </c>
      <c r="AA3" s="14">
        <v>0</v>
      </c>
      <c r="AB3" s="14">
        <f>SUM(F3:AA3)</f>
        <v>102</v>
      </c>
    </row>
    <row r="4" spans="1:28" x14ac:dyDescent="0.25">
      <c r="A4" s="6" t="s">
        <v>36</v>
      </c>
      <c r="B4" s="11" t="s">
        <v>299</v>
      </c>
      <c r="C4" s="11" t="s">
        <v>242</v>
      </c>
      <c r="D4" s="23"/>
      <c r="E4" s="23"/>
      <c r="F4" s="4">
        <f>SUBTOTAL(109,Yolo[American Sign Language Total])</f>
        <v>0</v>
      </c>
      <c r="G4" s="4">
        <f>SUBTOTAL(109,Yolo[Arabic Total])</f>
        <v>0</v>
      </c>
      <c r="H4" s="4">
        <f>SUBTOTAL(109,Yolo[Armenian Total])</f>
        <v>0</v>
      </c>
      <c r="I4" s="4">
        <f>SUBTOTAL(109,Yolo[Bengali Total])</f>
        <v>0</v>
      </c>
      <c r="J4" s="4">
        <f>SUBTOTAL(109,Yolo[Chinese Total])</f>
        <v>0</v>
      </c>
      <c r="K4" s="4">
        <f>SUBTOTAL(109,Yolo[Farsi (Persian) Total])</f>
        <v>0</v>
      </c>
      <c r="L4" s="4">
        <f>SUBTOTAL(109,Yolo[French Total])</f>
        <v>0</v>
      </c>
      <c r="M4" s="4">
        <f>SUBTOTAL(109,Yolo[German Total])</f>
        <v>0</v>
      </c>
      <c r="N4" s="4">
        <f>SUBTOTAL(109,Yolo[Hebrew Total])</f>
        <v>0</v>
      </c>
      <c r="O4" s="4">
        <f>SUBTOTAL(109,Yolo[Hindi Total])</f>
        <v>0</v>
      </c>
      <c r="P4" s="4">
        <f>SUBTOTAL(109,Yolo[Hmong Total])</f>
        <v>0</v>
      </c>
      <c r="Q4" s="4">
        <f>SUBTOTAL(109,Yolo[Italian Total])</f>
        <v>0</v>
      </c>
      <c r="R4" s="4">
        <f>SUBTOTAL(109,Yolo[Japanese Total])</f>
        <v>0</v>
      </c>
      <c r="S4" s="4">
        <f>SUBTOTAL(109,Yolo[Korean Total])</f>
        <v>0</v>
      </c>
      <c r="T4" s="4">
        <f>SUBTOTAL(109,Yolo[Portuguese Total])</f>
        <v>0</v>
      </c>
      <c r="U4" s="4">
        <f>SUBTOTAL(109,Yolo[Punjabi Total])</f>
        <v>0</v>
      </c>
      <c r="V4" s="4">
        <f>SUBTOTAL(109,Yolo[Russian Total])</f>
        <v>0</v>
      </c>
      <c r="W4" s="4">
        <f>SUBTOTAL(109,Yolo[Spanish Total])</f>
        <v>102</v>
      </c>
      <c r="X4" s="4">
        <f>SUBTOTAL(109,Yolo[Tagalog (Filipino) Total])</f>
        <v>0</v>
      </c>
      <c r="Y4" s="4">
        <f>SUBTOTAL(109,Yolo[Urdu Total])</f>
        <v>0</v>
      </c>
      <c r="Z4" s="4">
        <f>SUBTOTAL(109,Yolo[Vietnamese Total])</f>
        <v>0</v>
      </c>
      <c r="AA4" s="4">
        <f>SUBTOTAL(109,Yolo[Other Total])</f>
        <v>0</v>
      </c>
      <c r="AB4" s="4">
        <f>SUBTOTAL(109,Yolo[Total Seals per LEA])</f>
        <v>102</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89A9-1534-4595-8E8A-82AF38423988}">
  <sheetPr codeName="Sheet3"/>
  <dimension ref="A1:AB6"/>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9.08984375" defaultRowHeight="15" x14ac:dyDescent="0.25"/>
  <cols>
    <col min="1" max="1" width="24" customWidth="1"/>
    <col min="2" max="2" width="35.36328125" bestFit="1" customWidth="1"/>
    <col min="3" max="3" width="35.36328125" customWidth="1"/>
    <col min="4" max="5" width="32.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0.08984375" bestFit="1" customWidth="1"/>
    <col min="19" max="19" width="8.90625" bestFit="1" customWidth="1"/>
    <col min="20" max="20" width="12.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8" t="s">
        <v>81</v>
      </c>
    </row>
    <row r="2" spans="1:28" s="6" customFormat="1" ht="45.6" thickTop="1" x14ac:dyDescent="0.25">
      <c r="A2" s="2" t="s">
        <v>32</v>
      </c>
      <c r="B2" s="7" t="s">
        <v>58</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2" customFormat="1" ht="45" x14ac:dyDescent="0.25">
      <c r="A3" s="2" t="s">
        <v>82</v>
      </c>
      <c r="B3" s="7" t="s">
        <v>83</v>
      </c>
      <c r="C3" s="7" t="s">
        <v>83</v>
      </c>
      <c r="D3" s="2" t="s">
        <v>60</v>
      </c>
      <c r="E3" s="2" t="s">
        <v>104</v>
      </c>
      <c r="F3" s="7">
        <v>0</v>
      </c>
      <c r="G3" s="7">
        <v>0</v>
      </c>
      <c r="H3" s="7">
        <v>0</v>
      </c>
      <c r="I3" s="7">
        <v>0</v>
      </c>
      <c r="J3" s="7">
        <v>0</v>
      </c>
      <c r="K3" s="7">
        <v>0</v>
      </c>
      <c r="L3" s="7">
        <v>0</v>
      </c>
      <c r="M3" s="7">
        <v>0</v>
      </c>
      <c r="N3" s="7">
        <v>0</v>
      </c>
      <c r="O3" s="7">
        <v>0</v>
      </c>
      <c r="P3" s="7">
        <v>0</v>
      </c>
      <c r="Q3" s="7">
        <v>0</v>
      </c>
      <c r="R3" s="7">
        <v>0</v>
      </c>
      <c r="S3" s="7">
        <v>0</v>
      </c>
      <c r="T3" s="7">
        <v>0</v>
      </c>
      <c r="U3" s="7">
        <v>0</v>
      </c>
      <c r="V3" s="7">
        <v>0</v>
      </c>
      <c r="W3" s="7">
        <v>197</v>
      </c>
      <c r="X3" s="7">
        <v>0</v>
      </c>
      <c r="Y3" s="7">
        <v>0</v>
      </c>
      <c r="Z3" s="7">
        <v>0</v>
      </c>
      <c r="AA3" s="7">
        <v>0</v>
      </c>
      <c r="AB3" s="7">
        <f>SUM(Table26[[#This Row],[American Sign Language Total]:[Other Total]])</f>
        <v>197</v>
      </c>
    </row>
    <row r="4" spans="1:28" s="7" customFormat="1" ht="30" x14ac:dyDescent="0.25">
      <c r="A4" s="7" t="s">
        <v>144</v>
      </c>
      <c r="B4" s="2" t="s">
        <v>145</v>
      </c>
      <c r="C4" s="7" t="s">
        <v>64</v>
      </c>
      <c r="D4" s="2" t="s">
        <v>69</v>
      </c>
      <c r="E4" s="2" t="s">
        <v>71</v>
      </c>
      <c r="F4" s="7">
        <v>0</v>
      </c>
      <c r="G4" s="7">
        <v>0</v>
      </c>
      <c r="H4" s="7">
        <v>0</v>
      </c>
      <c r="I4" s="7">
        <v>0</v>
      </c>
      <c r="J4" s="7">
        <v>0</v>
      </c>
      <c r="K4" s="7">
        <v>0</v>
      </c>
      <c r="L4" s="7">
        <v>1</v>
      </c>
      <c r="M4" s="7">
        <v>0</v>
      </c>
      <c r="N4" s="7">
        <v>0</v>
      </c>
      <c r="O4" s="7">
        <v>0</v>
      </c>
      <c r="P4" s="7">
        <v>0</v>
      </c>
      <c r="Q4" s="7">
        <v>0</v>
      </c>
      <c r="R4" s="7">
        <v>0</v>
      </c>
      <c r="S4" s="7">
        <v>0</v>
      </c>
      <c r="T4" s="7">
        <v>2</v>
      </c>
      <c r="U4" s="7">
        <v>0</v>
      </c>
      <c r="V4" s="7">
        <v>0</v>
      </c>
      <c r="W4" s="7">
        <v>2</v>
      </c>
      <c r="X4" s="7">
        <v>2</v>
      </c>
      <c r="Y4" s="7">
        <v>0</v>
      </c>
      <c r="Z4" s="7">
        <v>0</v>
      </c>
      <c r="AA4" s="7">
        <v>0</v>
      </c>
      <c r="AB4" s="7">
        <f>SUM(Table26[[#This Row],[American Sign Language Total]:[Other Total]])</f>
        <v>7</v>
      </c>
    </row>
    <row r="5" spans="1:28" ht="90" x14ac:dyDescent="0.25">
      <c r="A5" s="6" t="s">
        <v>318</v>
      </c>
      <c r="B5" s="6" t="s">
        <v>319</v>
      </c>
      <c r="C5" s="6" t="s">
        <v>320</v>
      </c>
      <c r="D5" s="6" t="s">
        <v>94</v>
      </c>
      <c r="E5" s="6" t="s">
        <v>62</v>
      </c>
      <c r="F5">
        <v>0</v>
      </c>
      <c r="G5">
        <v>0</v>
      </c>
      <c r="H5">
        <v>0</v>
      </c>
      <c r="I5">
        <v>0</v>
      </c>
      <c r="J5">
        <v>430</v>
      </c>
      <c r="K5">
        <v>0</v>
      </c>
      <c r="L5">
        <v>0</v>
      </c>
      <c r="M5">
        <v>0</v>
      </c>
      <c r="N5">
        <v>0</v>
      </c>
      <c r="O5">
        <v>0</v>
      </c>
      <c r="P5">
        <v>0</v>
      </c>
      <c r="Q5">
        <v>0</v>
      </c>
      <c r="R5">
        <v>0</v>
      </c>
      <c r="S5">
        <v>0</v>
      </c>
      <c r="T5">
        <v>0</v>
      </c>
      <c r="U5">
        <v>0</v>
      </c>
      <c r="V5">
        <v>0</v>
      </c>
      <c r="W5">
        <v>0</v>
      </c>
      <c r="X5">
        <v>0</v>
      </c>
      <c r="Y5">
        <v>0</v>
      </c>
      <c r="Z5">
        <v>0</v>
      </c>
      <c r="AA5">
        <v>0</v>
      </c>
      <c r="AB5">
        <f>SUM(Table26[[#This Row],[American Sign Language Total]:[Other Total]])</f>
        <v>430</v>
      </c>
    </row>
    <row r="6" spans="1:28" x14ac:dyDescent="0.25">
      <c r="A6" s="7" t="s">
        <v>321</v>
      </c>
      <c r="B6" s="17" t="s">
        <v>274</v>
      </c>
      <c r="C6" s="17" t="s">
        <v>39</v>
      </c>
      <c r="D6" s="18"/>
      <c r="E6" s="18"/>
      <c r="F6" s="9">
        <f>SUBTOTAL(109,Table26[American Sign Language Total])</f>
        <v>0</v>
      </c>
      <c r="G6" s="9">
        <f>SUBTOTAL(109,Table26[Arabic Total])</f>
        <v>0</v>
      </c>
      <c r="H6" s="9">
        <f>SUBTOTAL(109,Table26[Armenian Total])</f>
        <v>0</v>
      </c>
      <c r="I6" s="9">
        <f>SUBTOTAL(109,Table26[Bengali Total])</f>
        <v>0</v>
      </c>
      <c r="J6" s="9">
        <f>SUBTOTAL(109,Table26[Chinese Total])</f>
        <v>430</v>
      </c>
      <c r="K6" s="9">
        <f>SUBTOTAL(109,Table26[Farsi (Persian) Total])</f>
        <v>0</v>
      </c>
      <c r="L6" s="9">
        <f>SUBTOTAL(109,Table26[French Total])</f>
        <v>1</v>
      </c>
      <c r="M6" s="9">
        <f>SUBTOTAL(109,Table26[German Total])</f>
        <v>0</v>
      </c>
      <c r="N6" s="9">
        <f>SUBTOTAL(109,Table26[Hebrew Total])</f>
        <v>0</v>
      </c>
      <c r="O6" s="9">
        <f>SUBTOTAL(109,Table26[Hindi Total])</f>
        <v>0</v>
      </c>
      <c r="P6" s="9">
        <f>SUBTOTAL(109,Table26[Hmong Total])</f>
        <v>0</v>
      </c>
      <c r="Q6" s="9">
        <f>SUBTOTAL(109,Table26[Italian Total])</f>
        <v>0</v>
      </c>
      <c r="R6" s="9">
        <f>SUBTOTAL(109,Table26[Japanese Total])</f>
        <v>0</v>
      </c>
      <c r="S6" s="9">
        <f>SUBTOTAL(109,Table26[Korean Total])</f>
        <v>0</v>
      </c>
      <c r="T6" s="9">
        <f>SUBTOTAL(109,Table26[Portuguese Total])</f>
        <v>2</v>
      </c>
      <c r="U6" s="9">
        <f>SUBTOTAL(109,Table26[Punjabi Total])</f>
        <v>0</v>
      </c>
      <c r="V6" s="9">
        <f>SUBTOTAL(109,Table26[Russian Total])</f>
        <v>0</v>
      </c>
      <c r="W6" s="9">
        <f>SUBTOTAL(109,Table26[Spanish Total])</f>
        <v>199</v>
      </c>
      <c r="X6" s="9">
        <f>SUBTOTAL(109,Table26[Tagalog (Filipino) Total])</f>
        <v>2</v>
      </c>
      <c r="Y6" s="9">
        <f>SUBTOTAL(109,Table26[Urdu Total])</f>
        <v>0</v>
      </c>
      <c r="Z6" s="9">
        <f>SUBTOTAL(109,Table26[Vietnamese Total])</f>
        <v>0</v>
      </c>
      <c r="AA6" s="9">
        <f>SUBTOTAL(109,Table26[Other Total])</f>
        <v>0</v>
      </c>
      <c r="AB6" s="9">
        <f>SUBTOTAL(109,Table26[Total Seals per LEA])</f>
        <v>634</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9949-7B4C-41BE-9576-F2FAE4852DDA}">
  <sheetPr codeName="Sheet4"/>
  <dimension ref="A1:AB4"/>
  <sheetViews>
    <sheetView workbookViewId="0"/>
  </sheetViews>
  <sheetFormatPr defaultColWidth="9.08984375" defaultRowHeight="15" x14ac:dyDescent="0.25"/>
  <cols>
    <col min="1" max="1" width="19" bestFit="1" customWidth="1"/>
    <col min="2" max="2" width="35.36328125" bestFit="1" customWidth="1"/>
    <col min="3" max="3" width="35.36328125" customWidth="1"/>
    <col min="4" max="5" width="32.0898437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7" max="17" width="8.08984375" bestFit="1" customWidth="1"/>
    <col min="18" max="18" width="10.08984375" bestFit="1" customWidth="1"/>
    <col min="19" max="19" width="8.90625" bestFit="1" customWidth="1"/>
    <col min="20" max="20" width="12.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8" t="s">
        <v>146</v>
      </c>
    </row>
    <row r="2" spans="1:28" s="6" customFormat="1" ht="45.6" thickTop="1" x14ac:dyDescent="0.25">
      <c r="A2" s="2" t="s">
        <v>32</v>
      </c>
      <c r="B2" s="7" t="s">
        <v>58</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2" customFormat="1" ht="30" x14ac:dyDescent="0.25">
      <c r="A3" s="2" t="s">
        <v>147</v>
      </c>
      <c r="B3" s="7" t="s">
        <v>148</v>
      </c>
      <c r="C3" s="7" t="s">
        <v>148</v>
      </c>
      <c r="D3" s="2" t="s">
        <v>60</v>
      </c>
      <c r="E3" s="2" t="s">
        <v>62</v>
      </c>
      <c r="F3" s="7">
        <v>0</v>
      </c>
      <c r="G3" s="7">
        <v>0</v>
      </c>
      <c r="H3" s="7">
        <v>0</v>
      </c>
      <c r="I3" s="7">
        <v>0</v>
      </c>
      <c r="J3" s="7">
        <v>0</v>
      </c>
      <c r="K3" s="7">
        <v>0</v>
      </c>
      <c r="L3" s="7">
        <v>0</v>
      </c>
      <c r="M3" s="7">
        <v>0</v>
      </c>
      <c r="N3" s="7">
        <v>0</v>
      </c>
      <c r="O3" s="7">
        <v>0</v>
      </c>
      <c r="P3" s="7">
        <v>0</v>
      </c>
      <c r="Q3" s="7">
        <v>0</v>
      </c>
      <c r="R3" s="7">
        <v>0</v>
      </c>
      <c r="S3" s="7">
        <v>0</v>
      </c>
      <c r="T3" s="7">
        <v>0</v>
      </c>
      <c r="U3" s="7">
        <v>0</v>
      </c>
      <c r="V3" s="7">
        <v>0</v>
      </c>
      <c r="W3" s="7">
        <v>125</v>
      </c>
      <c r="X3" s="7">
        <v>0</v>
      </c>
      <c r="Y3" s="7">
        <v>0</v>
      </c>
      <c r="Z3" s="7">
        <v>0</v>
      </c>
      <c r="AA3" s="7">
        <v>0</v>
      </c>
      <c r="AB3" s="7">
        <f>SUM(F3:AA3)</f>
        <v>125</v>
      </c>
    </row>
    <row r="4" spans="1:28" x14ac:dyDescent="0.25">
      <c r="A4" s="7" t="s">
        <v>36</v>
      </c>
      <c r="B4" s="17" t="s">
        <v>72</v>
      </c>
      <c r="C4" s="17" t="s">
        <v>72</v>
      </c>
      <c r="D4" s="18"/>
      <c r="E4" s="18"/>
      <c r="F4" s="9">
        <f>SUBTOTAL(109,Table2613[American Sign Language Total])</f>
        <v>0</v>
      </c>
      <c r="G4" s="9">
        <f>SUBTOTAL(109,Table2613[Arabic Total])</f>
        <v>0</v>
      </c>
      <c r="H4" s="9">
        <f>SUBTOTAL(109,Table2613[Armenian Total])</f>
        <v>0</v>
      </c>
      <c r="I4" s="9">
        <f>SUBTOTAL(109,Table2613[Bengali Total])</f>
        <v>0</v>
      </c>
      <c r="J4" s="9">
        <f>SUBTOTAL(109,Table2613[Chinese Total])</f>
        <v>0</v>
      </c>
      <c r="K4" s="9">
        <f>SUBTOTAL(109,Table2613[Farsi (Persian) Total])</f>
        <v>0</v>
      </c>
      <c r="L4" s="9">
        <f>SUBTOTAL(109,Table2613[French Total])</f>
        <v>0</v>
      </c>
      <c r="M4" s="9">
        <f>SUBTOTAL(109,Table2613[German Total])</f>
        <v>0</v>
      </c>
      <c r="N4" s="9">
        <f>SUBTOTAL(109,Table2613[Hebrew Total])</f>
        <v>0</v>
      </c>
      <c r="O4" s="9">
        <f>SUBTOTAL(109,Table2613[Hindi Total])</f>
        <v>0</v>
      </c>
      <c r="P4" s="9">
        <f>SUBTOTAL(109,Table2613[Hmong Total])</f>
        <v>0</v>
      </c>
      <c r="Q4" s="9">
        <f>SUBTOTAL(109,Table2613[Italian Total])</f>
        <v>0</v>
      </c>
      <c r="R4" s="9">
        <f>SUBTOTAL(109,Table2613[Japanese Total])</f>
        <v>0</v>
      </c>
      <c r="S4" s="9">
        <f>SUBTOTAL(109,Table2613[Korean Total])</f>
        <v>0</v>
      </c>
      <c r="T4" s="9">
        <f>SUBTOTAL(109,Table2613[Portuguese Total])</f>
        <v>0</v>
      </c>
      <c r="U4" s="9">
        <f>SUBTOTAL(109,Table2613[Punjabi Total])</f>
        <v>0</v>
      </c>
      <c r="V4" s="9">
        <f>SUBTOTAL(109,Table2613[Russian Total])</f>
        <v>0</v>
      </c>
      <c r="W4" s="9">
        <f>SUBTOTAL(109,Table2613[Spanish Total])</f>
        <v>125</v>
      </c>
      <c r="X4" s="9">
        <f>SUBTOTAL(109,Table2613[Tagalog (Filipino) Total])</f>
        <v>0</v>
      </c>
      <c r="Y4" s="9">
        <f>SUBTOTAL(109,Table2613[Urdu Total])</f>
        <v>0</v>
      </c>
      <c r="Z4" s="9">
        <f>SUBTOTAL(109,Table2613[Vietnamese Total])</f>
        <v>0</v>
      </c>
      <c r="AA4" s="9">
        <f>SUBTOTAL(109,Table2613[Other Total])</f>
        <v>0</v>
      </c>
      <c r="AB4" s="9">
        <f>SUBTOTAL(109,Table2613[Total Seals per LEA])</f>
        <v>125</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9167C-4F3A-4818-9E64-83332950FDE0}">
  <sheetPr codeName="Sheet5"/>
  <dimension ref="A1:AB4"/>
  <sheetViews>
    <sheetView workbookViewId="0"/>
  </sheetViews>
  <sheetFormatPr defaultRowHeight="15" x14ac:dyDescent="0.25"/>
  <cols>
    <col min="1" max="1" width="21.54296875" customWidth="1"/>
    <col min="2" max="2" width="30.36328125" customWidth="1"/>
    <col min="3" max="3" width="32.81640625" customWidth="1"/>
    <col min="4" max="4" width="30.6328125" customWidth="1"/>
    <col min="5" max="5" width="32.81640625" customWidth="1"/>
    <col min="6" max="6" width="12.453125" customWidth="1"/>
  </cols>
  <sheetData>
    <row r="1" spans="1:28" ht="18" thickBot="1" x14ac:dyDescent="0.35">
      <c r="A1" s="8" t="s">
        <v>86</v>
      </c>
    </row>
    <row r="2" spans="1:28" ht="45.6" thickTop="1" x14ac:dyDescent="0.25">
      <c r="A2" s="2" t="s">
        <v>32</v>
      </c>
      <c r="B2" s="7"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s="7" customFormat="1" ht="45" x14ac:dyDescent="0.25">
      <c r="A3" s="7" t="s">
        <v>88</v>
      </c>
      <c r="B3" s="7" t="s">
        <v>87</v>
      </c>
      <c r="C3" s="7" t="s">
        <v>87</v>
      </c>
      <c r="D3" s="25" t="s">
        <v>65</v>
      </c>
      <c r="E3" s="25" t="s">
        <v>75</v>
      </c>
      <c r="F3" s="7">
        <v>0</v>
      </c>
      <c r="G3" s="7">
        <v>0</v>
      </c>
      <c r="H3" s="7">
        <v>0</v>
      </c>
      <c r="I3" s="7">
        <v>0</v>
      </c>
      <c r="J3" s="7">
        <v>0</v>
      </c>
      <c r="K3" s="7">
        <v>0</v>
      </c>
      <c r="L3" s="7">
        <v>0</v>
      </c>
      <c r="M3" s="7">
        <v>0</v>
      </c>
      <c r="N3" s="7">
        <v>0</v>
      </c>
      <c r="O3" s="7">
        <v>0</v>
      </c>
      <c r="P3" s="7">
        <v>0</v>
      </c>
      <c r="Q3" s="7">
        <v>0</v>
      </c>
      <c r="R3" s="7">
        <v>0</v>
      </c>
      <c r="S3" s="7">
        <v>0</v>
      </c>
      <c r="T3" s="7">
        <v>0</v>
      </c>
      <c r="U3" s="7">
        <v>0</v>
      </c>
      <c r="V3" s="7">
        <v>0</v>
      </c>
      <c r="W3" s="7">
        <v>59</v>
      </c>
      <c r="X3" s="7">
        <v>0</v>
      </c>
      <c r="Y3" s="7">
        <v>0</v>
      </c>
      <c r="Z3" s="7">
        <v>0</v>
      </c>
      <c r="AA3" s="7">
        <v>0</v>
      </c>
      <c r="AB3" s="7">
        <f t="shared" ref="AB3" si="0">SUM(F3:AA3)</f>
        <v>59</v>
      </c>
    </row>
    <row r="4" spans="1:28" x14ac:dyDescent="0.25">
      <c r="A4" t="s">
        <v>36</v>
      </c>
      <c r="B4" s="10" t="s">
        <v>72</v>
      </c>
      <c r="C4" s="10" t="s">
        <v>72</v>
      </c>
      <c r="D4" s="19"/>
      <c r="E4" s="19"/>
      <c r="F4" s="4">
        <f>SUBTOTAL(109,Fresno2[American Sign Language Total])</f>
        <v>0</v>
      </c>
      <c r="G4" s="4">
        <f>SUBTOTAL(109,Fresno2[Arabic Total])</f>
        <v>0</v>
      </c>
      <c r="H4" s="4">
        <f>SUBTOTAL(109,Fresno2[Armenian Total])</f>
        <v>0</v>
      </c>
      <c r="I4" s="4">
        <f>SUBTOTAL(109,Fresno2[Bengali Total])</f>
        <v>0</v>
      </c>
      <c r="J4" s="4">
        <f>SUBTOTAL(109,Fresno2[Chinese Total])</f>
        <v>0</v>
      </c>
      <c r="K4" s="4">
        <f>SUBTOTAL(109,Fresno2[Farsi (Persian) Total])</f>
        <v>0</v>
      </c>
      <c r="L4" s="4">
        <f>SUBTOTAL(109,Fresno2[French Total])</f>
        <v>0</v>
      </c>
      <c r="M4" s="4">
        <f>SUBTOTAL(109,Fresno2[German Total])</f>
        <v>0</v>
      </c>
      <c r="N4" s="4">
        <f>SUBTOTAL(109,Fresno2[Hebrew Total])</f>
        <v>0</v>
      </c>
      <c r="O4" s="4">
        <f>SUBTOTAL(109,Fresno2[Hindi Total])</f>
        <v>0</v>
      </c>
      <c r="P4" s="4">
        <f>SUBTOTAL(109,Fresno2[Hmong Total])</f>
        <v>0</v>
      </c>
      <c r="Q4" s="4">
        <f>SUBTOTAL(109,Fresno2[Italian Total])</f>
        <v>0</v>
      </c>
      <c r="R4" s="4">
        <f>SUBTOTAL(109,Fresno2[Japanese Total])</f>
        <v>0</v>
      </c>
      <c r="S4" s="4">
        <f>SUBTOTAL(109,Fresno2[Korean Total])</f>
        <v>0</v>
      </c>
      <c r="T4" s="4">
        <f>SUBTOTAL(109,Fresno2[Portuguese Total])</f>
        <v>0</v>
      </c>
      <c r="U4" s="4">
        <f>SUBTOTAL(109,Fresno2[Punjabi Total])</f>
        <v>0</v>
      </c>
      <c r="V4" s="4">
        <f>SUBTOTAL(109,Fresno2[Russian Total])</f>
        <v>0</v>
      </c>
      <c r="W4" s="4">
        <f>SUBTOTAL(109,Fresno2[Spanish Total])</f>
        <v>59</v>
      </c>
      <c r="X4" s="4">
        <f>SUBTOTAL(109,Fresno2[Tagalog (Filipino) Total])</f>
        <v>0</v>
      </c>
      <c r="Y4" s="4">
        <f>SUBTOTAL(109,Fresno2[Urdu Total])</f>
        <v>0</v>
      </c>
      <c r="Z4" s="4">
        <f>SUBTOTAL(109,Fresno2[Vietnamese Total])</f>
        <v>0</v>
      </c>
      <c r="AA4" s="4">
        <f>SUBTOTAL(109,Fresno2[Other Total])</f>
        <v>0</v>
      </c>
      <c r="AB4">
        <f>SUBTOTAL(109,Fresno2[Total Seals per LEA])</f>
        <v>59</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A1:AB5"/>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20.90625" customWidth="1"/>
    <col min="2" max="5" width="37.632812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1.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2.90625" bestFit="1" customWidth="1"/>
    <col min="27" max="27" width="7.6328125" bestFit="1" customWidth="1"/>
    <col min="28" max="28" width="10.90625" bestFit="1" customWidth="1"/>
  </cols>
  <sheetData>
    <row r="1" spans="1:28" ht="18" thickBot="1" x14ac:dyDescent="0.35">
      <c r="A1" s="8" t="s">
        <v>7</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45" x14ac:dyDescent="0.25">
      <c r="A3" s="2" t="s">
        <v>149</v>
      </c>
      <c r="B3" s="2" t="s">
        <v>150</v>
      </c>
      <c r="C3" s="16" t="s">
        <v>150</v>
      </c>
      <c r="D3" s="16" t="s">
        <v>65</v>
      </c>
      <c r="E3" s="16" t="s">
        <v>104</v>
      </c>
      <c r="F3" s="7">
        <v>0</v>
      </c>
      <c r="G3" s="7">
        <v>0</v>
      </c>
      <c r="H3" s="7">
        <v>0</v>
      </c>
      <c r="I3" s="7">
        <v>0</v>
      </c>
      <c r="J3" s="7">
        <v>0</v>
      </c>
      <c r="K3" s="7">
        <v>0</v>
      </c>
      <c r="L3" s="7">
        <v>0</v>
      </c>
      <c r="M3" s="7">
        <v>0</v>
      </c>
      <c r="N3" s="7">
        <v>0</v>
      </c>
      <c r="O3" s="7">
        <v>0</v>
      </c>
      <c r="P3" s="7">
        <v>0</v>
      </c>
      <c r="Q3" s="7">
        <v>0</v>
      </c>
      <c r="R3" s="7">
        <v>0</v>
      </c>
      <c r="S3" s="7">
        <v>0</v>
      </c>
      <c r="T3" s="7">
        <v>0</v>
      </c>
      <c r="U3" s="7">
        <v>0</v>
      </c>
      <c r="V3" s="7">
        <v>0</v>
      </c>
      <c r="W3" s="7">
        <v>208</v>
      </c>
      <c r="X3" s="7">
        <v>0</v>
      </c>
      <c r="Y3" s="7">
        <v>0</v>
      </c>
      <c r="Z3" s="7">
        <v>0</v>
      </c>
      <c r="AA3" s="7">
        <v>0</v>
      </c>
      <c r="AB3" s="7">
        <f>SUM(F3:AA3)</f>
        <v>208</v>
      </c>
    </row>
    <row r="4" spans="1:28" ht="30" x14ac:dyDescent="0.25">
      <c r="A4" s="2" t="s">
        <v>151</v>
      </c>
      <c r="B4" s="2" t="s">
        <v>152</v>
      </c>
      <c r="C4" s="6" t="s">
        <v>152</v>
      </c>
      <c r="D4" s="6" t="s">
        <v>65</v>
      </c>
      <c r="E4" s="6" t="s">
        <v>104</v>
      </c>
      <c r="F4" s="7">
        <v>0</v>
      </c>
      <c r="G4" s="7">
        <v>0</v>
      </c>
      <c r="H4" s="7">
        <v>0</v>
      </c>
      <c r="I4" s="7">
        <v>0</v>
      </c>
      <c r="J4" s="7">
        <v>0</v>
      </c>
      <c r="K4" s="7">
        <v>0</v>
      </c>
      <c r="L4" s="7">
        <v>0</v>
      </c>
      <c r="M4" s="7">
        <v>0</v>
      </c>
      <c r="N4" s="7">
        <v>0</v>
      </c>
      <c r="O4" s="7">
        <v>0</v>
      </c>
      <c r="P4" s="7">
        <v>0</v>
      </c>
      <c r="Q4" s="7">
        <v>0</v>
      </c>
      <c r="R4" s="7">
        <v>0</v>
      </c>
      <c r="S4" s="7">
        <v>0</v>
      </c>
      <c r="T4" s="7">
        <v>0</v>
      </c>
      <c r="U4" s="7">
        <v>0</v>
      </c>
      <c r="V4" s="7">
        <v>0</v>
      </c>
      <c r="W4" s="7">
        <v>590</v>
      </c>
      <c r="X4" s="7">
        <v>0</v>
      </c>
      <c r="Y4" s="7">
        <v>0</v>
      </c>
      <c r="Z4" s="7">
        <v>0</v>
      </c>
      <c r="AA4" s="7">
        <v>0</v>
      </c>
      <c r="AB4" s="7">
        <f t="shared" ref="AB4" si="0">SUM(F4:AA4)</f>
        <v>590</v>
      </c>
    </row>
    <row r="5" spans="1:28" x14ac:dyDescent="0.25">
      <c r="A5" t="s">
        <v>37</v>
      </c>
      <c r="B5" s="10" t="s">
        <v>39</v>
      </c>
      <c r="C5" s="10" t="s">
        <v>55</v>
      </c>
      <c r="D5" s="19"/>
      <c r="E5" s="19"/>
      <c r="F5" s="4">
        <f>SUBTOTAL(109,Kern[American Sign Language Total])</f>
        <v>0</v>
      </c>
      <c r="G5" s="4">
        <f>SUBTOTAL(109,Kern[Arabic Total])</f>
        <v>0</v>
      </c>
      <c r="H5" s="4">
        <f>SUBTOTAL(109,Kern[Armenian Total])</f>
        <v>0</v>
      </c>
      <c r="I5" s="4">
        <f>SUBTOTAL(109,Kern[Bengali Total])</f>
        <v>0</v>
      </c>
      <c r="J5" s="4">
        <f>SUBTOTAL(109,Kern[Chinese Total])</f>
        <v>0</v>
      </c>
      <c r="K5" s="4">
        <f>SUBTOTAL(109,Kern[Farsi (Persian) Total])</f>
        <v>0</v>
      </c>
      <c r="L5" s="4">
        <f>SUBTOTAL(109,Kern[French Total])</f>
        <v>0</v>
      </c>
      <c r="M5" s="4">
        <f>SUBTOTAL(109,Kern[German Total])</f>
        <v>0</v>
      </c>
      <c r="N5" s="4">
        <f>SUBTOTAL(109,Kern[Hebrew Total])</f>
        <v>0</v>
      </c>
      <c r="O5" s="4">
        <f>SUBTOTAL(109,Kern[Hindi Total])</f>
        <v>0</v>
      </c>
      <c r="P5" s="4">
        <f>SUBTOTAL(109,Kern[Hmong Total])</f>
        <v>0</v>
      </c>
      <c r="Q5" s="4">
        <f>SUBTOTAL(109,Kern[Italian Total])</f>
        <v>0</v>
      </c>
      <c r="R5" s="4">
        <f>SUBTOTAL(109,Kern[Japanese Total])</f>
        <v>0</v>
      </c>
      <c r="S5" s="4">
        <f>SUBTOTAL(109,Kern[Korean Total])</f>
        <v>0</v>
      </c>
      <c r="T5" s="4">
        <f>SUBTOTAL(109,Kern[Portuguese Total])</f>
        <v>0</v>
      </c>
      <c r="U5" s="4">
        <f>SUBTOTAL(109,Kern[Punjabi Total])</f>
        <v>0</v>
      </c>
      <c r="V5" s="4">
        <f>SUBTOTAL(109,Kern[Russian Total])</f>
        <v>0</v>
      </c>
      <c r="W5" s="4">
        <f>SUBTOTAL(109,Kern[Spanish Total])</f>
        <v>798</v>
      </c>
      <c r="X5" s="4">
        <f>SUBTOTAL(109,Kern[Tagalog (Filipino) Total])</f>
        <v>0</v>
      </c>
      <c r="Y5" s="4">
        <f>SUBTOTAL(109,Kern[Urdu Total])</f>
        <v>0</v>
      </c>
      <c r="Z5" s="4">
        <f>SUBTOTAL(109,Kern[Vietnamese Total])</f>
        <v>0</v>
      </c>
      <c r="AA5" s="4">
        <f>SUBTOTAL(109,Kern[Other Total])</f>
        <v>0</v>
      </c>
      <c r="AB5" s="4">
        <f>SUBTOTAL(109,Kern[Total Seals per LEA])</f>
        <v>798</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AB20"/>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22.08984375" style="6" customWidth="1"/>
    <col min="2" max="2" width="58.36328125" style="6" customWidth="1"/>
    <col min="3" max="3" width="39.81640625" style="6" customWidth="1"/>
    <col min="4" max="5" width="38.36328125" style="6"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1.08984375" bestFit="1" customWidth="1"/>
    <col min="19" max="19" width="9.08984375" bestFit="1" customWidth="1"/>
    <col min="20" max="20" width="12.90625" bestFit="1" customWidth="1"/>
    <col min="21" max="21" width="9.54296875" bestFit="1" customWidth="1"/>
    <col min="22" max="22" width="9.90625" bestFit="1" customWidth="1"/>
    <col min="23" max="23" width="10" bestFit="1" customWidth="1"/>
    <col min="24" max="24" width="10.81640625" bestFit="1" customWidth="1"/>
    <col min="25" max="25" width="7.1796875" bestFit="1" customWidth="1"/>
    <col min="26" max="26" width="11.90625" bestFit="1" customWidth="1"/>
    <col min="27" max="27" width="7.6328125" bestFit="1" customWidth="1"/>
    <col min="28" max="28" width="10.90625" bestFit="1" customWidth="1"/>
  </cols>
  <sheetData>
    <row r="1" spans="1:28" ht="18" thickBot="1" x14ac:dyDescent="0.35">
      <c r="A1" s="12" t="s">
        <v>1</v>
      </c>
    </row>
    <row r="2" spans="1:28"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47</v>
      </c>
      <c r="U2" s="2" t="s">
        <v>53</v>
      </c>
      <c r="V2" s="2" t="s">
        <v>48</v>
      </c>
      <c r="W2" s="2" t="s">
        <v>23</v>
      </c>
      <c r="X2" s="2" t="s">
        <v>43</v>
      </c>
      <c r="Y2" s="2" t="s">
        <v>54</v>
      </c>
      <c r="Z2" s="2" t="s">
        <v>24</v>
      </c>
      <c r="AA2" s="2" t="s">
        <v>25</v>
      </c>
      <c r="AB2" s="2" t="s">
        <v>49</v>
      </c>
    </row>
    <row r="3" spans="1:28" ht="30" x14ac:dyDescent="0.25">
      <c r="A3" s="2" t="s">
        <v>153</v>
      </c>
      <c r="B3" s="2" t="s">
        <v>164</v>
      </c>
      <c r="C3" s="2" t="s">
        <v>164</v>
      </c>
      <c r="D3" s="2" t="s">
        <v>65</v>
      </c>
      <c r="E3" s="2" t="s">
        <v>104</v>
      </c>
      <c r="F3" s="7">
        <v>0</v>
      </c>
      <c r="G3" s="7">
        <v>0</v>
      </c>
      <c r="H3" s="7">
        <v>0</v>
      </c>
      <c r="I3" s="9">
        <v>0</v>
      </c>
      <c r="J3" s="9">
        <v>0</v>
      </c>
      <c r="K3" s="9">
        <v>0</v>
      </c>
      <c r="L3" s="7">
        <v>0</v>
      </c>
      <c r="M3" s="7">
        <v>0</v>
      </c>
      <c r="N3" s="9">
        <v>0</v>
      </c>
      <c r="O3" s="9">
        <v>0</v>
      </c>
      <c r="P3" s="7">
        <v>0</v>
      </c>
      <c r="Q3" s="7">
        <v>0</v>
      </c>
      <c r="R3" s="7">
        <v>0</v>
      </c>
      <c r="S3" s="7">
        <v>0</v>
      </c>
      <c r="T3" s="7">
        <v>0</v>
      </c>
      <c r="U3" s="9">
        <v>0</v>
      </c>
      <c r="V3" s="9">
        <v>0</v>
      </c>
      <c r="W3" s="7">
        <v>100</v>
      </c>
      <c r="X3" s="7">
        <v>0</v>
      </c>
      <c r="Y3" s="9">
        <v>0</v>
      </c>
      <c r="Z3" s="7">
        <v>0</v>
      </c>
      <c r="AA3" s="7">
        <v>0</v>
      </c>
      <c r="AB3" s="7">
        <f>SUM(F3:AA3)</f>
        <v>100</v>
      </c>
    </row>
    <row r="4" spans="1:28" x14ac:dyDescent="0.25">
      <c r="A4" s="2" t="s">
        <v>154</v>
      </c>
      <c r="B4" s="2" t="s">
        <v>165</v>
      </c>
      <c r="C4" s="2" t="s">
        <v>64</v>
      </c>
      <c r="D4" s="2" t="s">
        <v>69</v>
      </c>
      <c r="E4" s="6" t="s">
        <v>71</v>
      </c>
      <c r="F4" s="7">
        <v>0</v>
      </c>
      <c r="G4" s="7">
        <v>0</v>
      </c>
      <c r="H4" s="7">
        <v>0</v>
      </c>
      <c r="I4" s="7">
        <v>0</v>
      </c>
      <c r="J4" s="7">
        <v>0</v>
      </c>
      <c r="K4" s="7">
        <v>0</v>
      </c>
      <c r="L4" s="7">
        <v>0</v>
      </c>
      <c r="M4" s="7">
        <v>0</v>
      </c>
      <c r="N4" s="7">
        <v>0</v>
      </c>
      <c r="O4" s="7">
        <v>0</v>
      </c>
      <c r="P4" s="7">
        <v>0</v>
      </c>
      <c r="Q4" s="7">
        <v>0</v>
      </c>
      <c r="R4" s="7">
        <v>0</v>
      </c>
      <c r="S4" s="7">
        <v>0</v>
      </c>
      <c r="T4" s="7">
        <v>0</v>
      </c>
      <c r="U4" s="7">
        <v>0</v>
      </c>
      <c r="V4" s="7">
        <v>0</v>
      </c>
      <c r="W4" s="7">
        <v>1</v>
      </c>
      <c r="X4" s="7">
        <v>0</v>
      </c>
      <c r="Y4" s="7">
        <v>0</v>
      </c>
      <c r="Z4" s="7">
        <v>0</v>
      </c>
      <c r="AA4" s="7">
        <v>0</v>
      </c>
      <c r="AB4" s="7">
        <f>SUM(F4:AA4)</f>
        <v>1</v>
      </c>
    </row>
    <row r="5" spans="1:28" ht="30" x14ac:dyDescent="0.25">
      <c r="A5" s="2" t="s">
        <v>155</v>
      </c>
      <c r="B5" s="2" t="s">
        <v>166</v>
      </c>
      <c r="C5" s="2" t="s">
        <v>166</v>
      </c>
      <c r="D5" s="2" t="s">
        <v>65</v>
      </c>
      <c r="E5" s="25" t="s">
        <v>71</v>
      </c>
      <c r="F5" s="7">
        <v>0</v>
      </c>
      <c r="G5" s="7">
        <v>0</v>
      </c>
      <c r="H5" s="7">
        <v>0</v>
      </c>
      <c r="I5" s="9">
        <v>0</v>
      </c>
      <c r="J5" s="9">
        <v>2</v>
      </c>
      <c r="K5" s="9">
        <v>0</v>
      </c>
      <c r="L5" s="7">
        <v>0</v>
      </c>
      <c r="M5" s="7">
        <v>0</v>
      </c>
      <c r="N5" s="9">
        <v>0</v>
      </c>
      <c r="O5" s="9">
        <v>0</v>
      </c>
      <c r="P5" s="7">
        <v>0</v>
      </c>
      <c r="Q5" s="7">
        <v>0</v>
      </c>
      <c r="R5" s="7">
        <v>0</v>
      </c>
      <c r="S5" s="7">
        <v>0</v>
      </c>
      <c r="T5" s="7">
        <v>0</v>
      </c>
      <c r="U5" s="9">
        <v>0</v>
      </c>
      <c r="V5" s="9">
        <v>0</v>
      </c>
      <c r="W5" s="7">
        <v>58</v>
      </c>
      <c r="X5" s="7">
        <v>0</v>
      </c>
      <c r="Y5" s="9">
        <v>0</v>
      </c>
      <c r="Z5" s="7">
        <v>0</v>
      </c>
      <c r="AA5" s="7">
        <v>0</v>
      </c>
      <c r="AB5" s="7">
        <f>SUM(F5:AA5)</f>
        <v>60</v>
      </c>
    </row>
    <row r="6" spans="1:28" ht="60" x14ac:dyDescent="0.25">
      <c r="A6" s="6" t="s">
        <v>322</v>
      </c>
      <c r="B6" s="2" t="s">
        <v>323</v>
      </c>
      <c r="C6" t="s">
        <v>324</v>
      </c>
      <c r="D6" s="2" t="s">
        <v>325</v>
      </c>
      <c r="E6" s="2" t="s">
        <v>85</v>
      </c>
      <c r="F6" s="7">
        <v>0</v>
      </c>
      <c r="G6" s="7">
        <v>0</v>
      </c>
      <c r="H6" s="7">
        <v>0</v>
      </c>
      <c r="I6" s="9">
        <v>0</v>
      </c>
      <c r="J6" s="9">
        <v>0</v>
      </c>
      <c r="K6" s="9">
        <v>0</v>
      </c>
      <c r="L6" s="7">
        <v>0</v>
      </c>
      <c r="M6" s="7">
        <v>2</v>
      </c>
      <c r="N6" s="9">
        <v>0</v>
      </c>
      <c r="O6" s="9">
        <v>0</v>
      </c>
      <c r="P6" s="7">
        <v>0</v>
      </c>
      <c r="Q6" s="7">
        <v>0</v>
      </c>
      <c r="R6" s="7">
        <v>80</v>
      </c>
      <c r="S6" s="7">
        <v>2</v>
      </c>
      <c r="T6" s="7">
        <v>0</v>
      </c>
      <c r="U6" s="9">
        <v>0</v>
      </c>
      <c r="V6" s="9">
        <v>5</v>
      </c>
      <c r="W6" s="7">
        <v>116</v>
      </c>
      <c r="X6" s="7">
        <v>0</v>
      </c>
      <c r="Y6" s="9">
        <v>4</v>
      </c>
      <c r="Z6" s="7">
        <v>0</v>
      </c>
      <c r="AA6" s="7">
        <v>3</v>
      </c>
      <c r="AB6" s="7">
        <f>SUM(F6:AA6)</f>
        <v>212</v>
      </c>
    </row>
    <row r="7" spans="1:28" x14ac:dyDescent="0.25">
      <c r="A7" s="2" t="s">
        <v>156</v>
      </c>
      <c r="B7" s="2" t="s">
        <v>167</v>
      </c>
      <c r="C7" s="2" t="s">
        <v>64</v>
      </c>
      <c r="D7" s="2" t="s">
        <v>69</v>
      </c>
      <c r="E7" s="2" t="s">
        <v>71</v>
      </c>
      <c r="F7" s="7">
        <v>0</v>
      </c>
      <c r="G7" s="7">
        <v>0</v>
      </c>
      <c r="H7" s="7">
        <v>0</v>
      </c>
      <c r="I7" s="7">
        <v>0</v>
      </c>
      <c r="J7" s="7">
        <v>0</v>
      </c>
      <c r="K7" s="7">
        <v>0</v>
      </c>
      <c r="L7" s="7">
        <v>0</v>
      </c>
      <c r="M7" s="7">
        <v>0</v>
      </c>
      <c r="N7" s="7">
        <v>0</v>
      </c>
      <c r="O7" s="7">
        <v>0</v>
      </c>
      <c r="P7" s="7">
        <v>0</v>
      </c>
      <c r="Q7" s="7">
        <v>0</v>
      </c>
      <c r="R7" s="7">
        <v>0</v>
      </c>
      <c r="S7" s="7">
        <v>0</v>
      </c>
      <c r="T7" s="7">
        <v>0</v>
      </c>
      <c r="U7" s="7">
        <v>0</v>
      </c>
      <c r="V7" s="7">
        <v>0</v>
      </c>
      <c r="W7" s="7">
        <v>21</v>
      </c>
      <c r="X7" s="7">
        <v>0</v>
      </c>
      <c r="Y7" s="7">
        <v>0</v>
      </c>
      <c r="Z7" s="7">
        <v>0</v>
      </c>
      <c r="AA7" s="7">
        <v>0</v>
      </c>
      <c r="AB7" s="7">
        <f>SUM(F7:AA7)</f>
        <v>21</v>
      </c>
    </row>
    <row r="8" spans="1:28" ht="30" x14ac:dyDescent="0.25">
      <c r="A8" s="2" t="s">
        <v>66</v>
      </c>
      <c r="B8" s="2" t="s">
        <v>168</v>
      </c>
      <c r="C8" s="2" t="s">
        <v>169</v>
      </c>
      <c r="D8" s="2" t="s">
        <v>65</v>
      </c>
      <c r="E8" s="2" t="s">
        <v>104</v>
      </c>
      <c r="F8" s="7">
        <v>0</v>
      </c>
      <c r="G8" s="7">
        <v>0</v>
      </c>
      <c r="H8" s="7">
        <v>0</v>
      </c>
      <c r="I8" s="7">
        <v>0</v>
      </c>
      <c r="J8" s="7">
        <v>0</v>
      </c>
      <c r="K8" s="7">
        <v>0</v>
      </c>
      <c r="L8" s="7">
        <v>0</v>
      </c>
      <c r="M8" s="7">
        <v>0</v>
      </c>
      <c r="N8" s="7">
        <v>0</v>
      </c>
      <c r="O8" s="7">
        <v>0</v>
      </c>
      <c r="P8" s="7">
        <v>0</v>
      </c>
      <c r="Q8" s="7">
        <v>0</v>
      </c>
      <c r="R8" s="7">
        <v>0</v>
      </c>
      <c r="S8" s="7">
        <v>0</v>
      </c>
      <c r="T8" s="7">
        <v>0</v>
      </c>
      <c r="U8" s="7">
        <v>0</v>
      </c>
      <c r="V8" s="7">
        <v>0</v>
      </c>
      <c r="W8" s="7">
        <v>310</v>
      </c>
      <c r="X8" s="7">
        <v>87</v>
      </c>
      <c r="Y8" s="7">
        <v>0</v>
      </c>
      <c r="Z8" s="7">
        <v>0</v>
      </c>
      <c r="AA8" s="7">
        <v>0</v>
      </c>
      <c r="AB8" s="7">
        <f t="shared" ref="AB8:AB16" si="0">SUM(F8:AA8)</f>
        <v>397</v>
      </c>
    </row>
    <row r="9" spans="1:28" ht="60" x14ac:dyDescent="0.25">
      <c r="A9" s="2" t="s">
        <v>157</v>
      </c>
      <c r="B9" s="2" t="s">
        <v>170</v>
      </c>
      <c r="C9" s="2" t="s">
        <v>170</v>
      </c>
      <c r="D9" s="2" t="s">
        <v>65</v>
      </c>
      <c r="E9" s="2" t="s">
        <v>104</v>
      </c>
      <c r="F9" s="7">
        <v>0</v>
      </c>
      <c r="G9" s="7">
        <v>0</v>
      </c>
      <c r="H9" s="7">
        <v>0</v>
      </c>
      <c r="I9" s="9">
        <v>0</v>
      </c>
      <c r="J9" s="9">
        <v>133</v>
      </c>
      <c r="K9" s="9">
        <v>0</v>
      </c>
      <c r="L9" s="7">
        <v>0</v>
      </c>
      <c r="M9" s="7">
        <v>0</v>
      </c>
      <c r="N9" s="9">
        <v>0</v>
      </c>
      <c r="O9" s="9">
        <v>0</v>
      </c>
      <c r="P9" s="7">
        <v>0</v>
      </c>
      <c r="Q9" s="7">
        <v>0</v>
      </c>
      <c r="R9" s="7">
        <v>0</v>
      </c>
      <c r="S9" s="7">
        <v>20</v>
      </c>
      <c r="T9" s="7">
        <v>0</v>
      </c>
      <c r="U9" s="9">
        <v>0</v>
      </c>
      <c r="V9" s="9">
        <v>0</v>
      </c>
      <c r="W9" s="7">
        <v>90</v>
      </c>
      <c r="X9" s="7">
        <v>0</v>
      </c>
      <c r="Y9" s="9">
        <v>0</v>
      </c>
      <c r="Z9" s="7">
        <v>0</v>
      </c>
      <c r="AA9" s="7">
        <v>0</v>
      </c>
      <c r="AB9" s="7">
        <f>SUM(F9:AA9)</f>
        <v>243</v>
      </c>
    </row>
    <row r="10" spans="1:28" ht="30" x14ac:dyDescent="0.25">
      <c r="A10" s="2" t="s">
        <v>93</v>
      </c>
      <c r="B10" s="2" t="s">
        <v>68</v>
      </c>
      <c r="C10" s="2" t="s">
        <v>68</v>
      </c>
      <c r="D10" s="2" t="s">
        <v>65</v>
      </c>
      <c r="E10" s="2" t="s">
        <v>84</v>
      </c>
      <c r="F10" s="7">
        <v>0</v>
      </c>
      <c r="G10" s="7">
        <v>0</v>
      </c>
      <c r="H10" s="7">
        <v>0</v>
      </c>
      <c r="I10" s="7">
        <v>0</v>
      </c>
      <c r="J10" s="7">
        <v>0</v>
      </c>
      <c r="K10" s="7">
        <v>0</v>
      </c>
      <c r="L10" s="7">
        <v>0</v>
      </c>
      <c r="M10" s="7">
        <v>0</v>
      </c>
      <c r="N10" s="7">
        <v>0</v>
      </c>
      <c r="O10" s="7">
        <v>0</v>
      </c>
      <c r="P10" s="7">
        <v>0</v>
      </c>
      <c r="Q10" s="7">
        <v>0</v>
      </c>
      <c r="R10" s="7">
        <v>0</v>
      </c>
      <c r="S10" s="7">
        <v>0</v>
      </c>
      <c r="T10" s="7">
        <v>0</v>
      </c>
      <c r="U10" s="7">
        <v>0</v>
      </c>
      <c r="V10" s="7">
        <v>0</v>
      </c>
      <c r="W10" s="7">
        <v>220</v>
      </c>
      <c r="X10" s="7">
        <v>0</v>
      </c>
      <c r="Y10" s="7">
        <v>0</v>
      </c>
      <c r="Z10" s="7">
        <v>0</v>
      </c>
      <c r="AA10" s="7">
        <v>0</v>
      </c>
      <c r="AB10" s="7">
        <f t="shared" si="0"/>
        <v>220</v>
      </c>
    </row>
    <row r="11" spans="1:28" ht="409.6" x14ac:dyDescent="0.25">
      <c r="A11" s="2" t="s">
        <v>67</v>
      </c>
      <c r="B11" s="2" t="s">
        <v>340</v>
      </c>
      <c r="C11" s="2" t="s">
        <v>341</v>
      </c>
      <c r="D11" s="2" t="s">
        <v>342</v>
      </c>
      <c r="E11" s="2" t="s">
        <v>104</v>
      </c>
      <c r="F11" s="7">
        <v>71</v>
      </c>
      <c r="G11" s="7">
        <v>87</v>
      </c>
      <c r="H11" s="7">
        <v>1237</v>
      </c>
      <c r="I11" s="7">
        <v>65</v>
      </c>
      <c r="J11" s="7">
        <v>1554</v>
      </c>
      <c r="K11" s="7">
        <v>143</v>
      </c>
      <c r="L11" s="7">
        <v>612</v>
      </c>
      <c r="M11" s="7">
        <v>33</v>
      </c>
      <c r="N11" s="7">
        <v>78</v>
      </c>
      <c r="O11" s="7">
        <v>47</v>
      </c>
      <c r="P11" s="7">
        <v>0</v>
      </c>
      <c r="Q11" s="7">
        <v>17</v>
      </c>
      <c r="R11" s="7">
        <v>202</v>
      </c>
      <c r="S11" s="7">
        <v>964</v>
      </c>
      <c r="T11" s="7">
        <v>36</v>
      </c>
      <c r="U11" s="7">
        <v>12</v>
      </c>
      <c r="V11" s="7">
        <v>403</v>
      </c>
      <c r="W11" s="7">
        <v>33880</v>
      </c>
      <c r="X11" s="7">
        <v>118</v>
      </c>
      <c r="Y11" s="7">
        <v>22</v>
      </c>
      <c r="Z11" s="7">
        <v>46</v>
      </c>
      <c r="AA11" s="7">
        <v>1880</v>
      </c>
      <c r="AB11" s="7">
        <f t="shared" si="0"/>
        <v>41507</v>
      </c>
    </row>
    <row r="12" spans="1:28" ht="60" x14ac:dyDescent="0.25">
      <c r="A12" s="2" t="s">
        <v>158</v>
      </c>
      <c r="B12" s="2" t="s">
        <v>178</v>
      </c>
      <c r="C12" s="2" t="s">
        <v>64</v>
      </c>
      <c r="D12" s="2" t="s">
        <v>171</v>
      </c>
      <c r="E12" s="2" t="s">
        <v>104</v>
      </c>
      <c r="F12" s="7">
        <v>0</v>
      </c>
      <c r="G12" s="7">
        <v>0</v>
      </c>
      <c r="H12" s="7">
        <v>0</v>
      </c>
      <c r="I12" s="9">
        <v>0</v>
      </c>
      <c r="J12" s="9">
        <v>0</v>
      </c>
      <c r="K12" s="9">
        <v>0</v>
      </c>
      <c r="L12" s="7">
        <v>0</v>
      </c>
      <c r="M12" s="7">
        <v>0</v>
      </c>
      <c r="N12" s="9">
        <v>0</v>
      </c>
      <c r="O12" s="9">
        <v>0</v>
      </c>
      <c r="P12" s="7">
        <v>0</v>
      </c>
      <c r="Q12" s="7">
        <v>0</v>
      </c>
      <c r="R12" s="7">
        <v>0</v>
      </c>
      <c r="S12" s="7">
        <v>0</v>
      </c>
      <c r="T12" s="7">
        <v>0</v>
      </c>
      <c r="U12" s="9">
        <v>0</v>
      </c>
      <c r="V12" s="9">
        <v>0</v>
      </c>
      <c r="W12" s="7">
        <v>450</v>
      </c>
      <c r="X12" s="7">
        <v>0</v>
      </c>
      <c r="Y12" s="9">
        <v>0</v>
      </c>
      <c r="Z12" s="7">
        <v>0</v>
      </c>
      <c r="AA12" s="7">
        <v>0</v>
      </c>
      <c r="AB12" s="7">
        <f>SUM(F12:AA12)</f>
        <v>450</v>
      </c>
    </row>
    <row r="13" spans="1:28" ht="30" x14ac:dyDescent="0.25">
      <c r="A13" s="2" t="s">
        <v>90</v>
      </c>
      <c r="B13" s="2" t="s">
        <v>172</v>
      </c>
      <c r="C13" s="2" t="s">
        <v>172</v>
      </c>
      <c r="D13" s="2" t="s">
        <v>65</v>
      </c>
      <c r="E13" s="2" t="s">
        <v>70</v>
      </c>
      <c r="F13" s="7">
        <v>0</v>
      </c>
      <c r="G13" s="7">
        <v>0</v>
      </c>
      <c r="H13" s="7">
        <v>0</v>
      </c>
      <c r="I13" s="7">
        <v>0</v>
      </c>
      <c r="J13" s="7">
        <v>22</v>
      </c>
      <c r="K13" s="7">
        <v>0</v>
      </c>
      <c r="L13" s="7">
        <v>0</v>
      </c>
      <c r="M13" s="7">
        <v>0</v>
      </c>
      <c r="N13" s="7">
        <v>0</v>
      </c>
      <c r="O13" s="7">
        <v>0</v>
      </c>
      <c r="P13" s="7">
        <v>0</v>
      </c>
      <c r="Q13" s="7">
        <v>0</v>
      </c>
      <c r="R13" s="7">
        <v>0</v>
      </c>
      <c r="S13" s="7">
        <v>0</v>
      </c>
      <c r="T13" s="7">
        <v>0</v>
      </c>
      <c r="U13" s="7">
        <v>0</v>
      </c>
      <c r="V13" s="7">
        <v>0</v>
      </c>
      <c r="W13" s="7">
        <v>20</v>
      </c>
      <c r="X13" s="7">
        <v>0</v>
      </c>
      <c r="Y13" s="7">
        <v>0</v>
      </c>
      <c r="Z13" s="7">
        <v>0</v>
      </c>
      <c r="AA13" s="7">
        <v>0</v>
      </c>
      <c r="AB13" s="7">
        <f t="shared" si="0"/>
        <v>42</v>
      </c>
    </row>
    <row r="14" spans="1:28" ht="30" x14ac:dyDescent="0.25">
      <c r="A14" s="2" t="s">
        <v>91</v>
      </c>
      <c r="B14" s="6" t="s">
        <v>173</v>
      </c>
      <c r="C14" s="6" t="s">
        <v>173</v>
      </c>
      <c r="D14" s="2" t="s">
        <v>65</v>
      </c>
      <c r="E14" s="2" t="s">
        <v>62</v>
      </c>
      <c r="F14" s="7">
        <v>0</v>
      </c>
      <c r="G14" s="7">
        <v>0</v>
      </c>
      <c r="H14" s="7">
        <v>0</v>
      </c>
      <c r="I14" s="9">
        <v>0</v>
      </c>
      <c r="J14" s="9">
        <v>20</v>
      </c>
      <c r="K14" s="9">
        <v>0</v>
      </c>
      <c r="L14" s="7">
        <v>0</v>
      </c>
      <c r="M14" s="7">
        <v>0</v>
      </c>
      <c r="N14" s="9">
        <v>0</v>
      </c>
      <c r="O14" s="9">
        <v>0</v>
      </c>
      <c r="P14" s="7">
        <v>0</v>
      </c>
      <c r="Q14" s="7">
        <v>0</v>
      </c>
      <c r="R14" s="7">
        <v>0</v>
      </c>
      <c r="S14" s="7">
        <v>0</v>
      </c>
      <c r="T14" s="7">
        <v>0</v>
      </c>
      <c r="U14" s="9">
        <v>0</v>
      </c>
      <c r="V14" s="9">
        <v>0</v>
      </c>
      <c r="W14" s="7">
        <v>0</v>
      </c>
      <c r="X14" s="7">
        <v>0</v>
      </c>
      <c r="Y14" s="9">
        <v>0</v>
      </c>
      <c r="Z14" s="7">
        <v>0</v>
      </c>
      <c r="AA14" s="7">
        <v>0</v>
      </c>
      <c r="AB14" s="7">
        <f>SUM(F14:AA14)</f>
        <v>20</v>
      </c>
    </row>
    <row r="15" spans="1:28" ht="60" x14ac:dyDescent="0.25">
      <c r="A15" s="2" t="s">
        <v>159</v>
      </c>
      <c r="B15" s="2" t="s">
        <v>174</v>
      </c>
      <c r="C15" s="2" t="s">
        <v>174</v>
      </c>
      <c r="D15" s="2" t="s">
        <v>89</v>
      </c>
      <c r="E15" s="2" t="s">
        <v>85</v>
      </c>
      <c r="F15" s="7">
        <v>0</v>
      </c>
      <c r="G15" s="7">
        <v>0</v>
      </c>
      <c r="H15" s="7">
        <v>0</v>
      </c>
      <c r="I15" s="7">
        <v>0</v>
      </c>
      <c r="J15" s="7">
        <v>0</v>
      </c>
      <c r="K15" s="7">
        <v>0</v>
      </c>
      <c r="L15" s="7">
        <v>0</v>
      </c>
      <c r="M15" s="7">
        <v>0</v>
      </c>
      <c r="N15" s="7">
        <v>0</v>
      </c>
      <c r="O15" s="7">
        <v>0</v>
      </c>
      <c r="P15" s="7">
        <v>0</v>
      </c>
      <c r="Q15" s="7">
        <v>0</v>
      </c>
      <c r="R15" s="7">
        <v>0</v>
      </c>
      <c r="S15" s="7">
        <v>0</v>
      </c>
      <c r="T15" s="7">
        <v>0</v>
      </c>
      <c r="U15" s="7">
        <v>0</v>
      </c>
      <c r="V15" s="7">
        <v>0</v>
      </c>
      <c r="W15" s="7">
        <v>982</v>
      </c>
      <c r="X15" s="7">
        <v>0</v>
      </c>
      <c r="Y15" s="7">
        <v>0</v>
      </c>
      <c r="Z15" s="7">
        <v>0</v>
      </c>
      <c r="AA15" s="7">
        <v>0</v>
      </c>
      <c r="AB15" s="7">
        <f t="shared" si="0"/>
        <v>982</v>
      </c>
    </row>
    <row r="16" spans="1:28" x14ac:dyDescent="0.25">
      <c r="A16" s="2" t="s">
        <v>92</v>
      </c>
      <c r="B16" s="2" t="s">
        <v>175</v>
      </c>
      <c r="C16" s="2" t="s">
        <v>64</v>
      </c>
      <c r="D16" s="2" t="s">
        <v>176</v>
      </c>
      <c r="E16" s="2" t="s">
        <v>71</v>
      </c>
      <c r="F16" s="7">
        <v>0</v>
      </c>
      <c r="G16" s="7">
        <v>0</v>
      </c>
      <c r="H16" s="7">
        <v>0</v>
      </c>
      <c r="I16" s="7">
        <v>0</v>
      </c>
      <c r="J16" s="7">
        <v>0</v>
      </c>
      <c r="K16" s="7">
        <v>0</v>
      </c>
      <c r="L16" s="7">
        <v>0</v>
      </c>
      <c r="M16" s="7">
        <v>0</v>
      </c>
      <c r="N16" s="7">
        <v>0</v>
      </c>
      <c r="O16" s="7">
        <v>0</v>
      </c>
      <c r="P16" s="7">
        <v>0</v>
      </c>
      <c r="Q16" s="7">
        <v>0</v>
      </c>
      <c r="R16" s="7">
        <v>0</v>
      </c>
      <c r="S16" s="7">
        <v>0</v>
      </c>
      <c r="T16" s="7">
        <v>0</v>
      </c>
      <c r="U16" s="7">
        <v>0</v>
      </c>
      <c r="V16" s="7">
        <v>0</v>
      </c>
      <c r="W16" s="7">
        <v>500</v>
      </c>
      <c r="X16" s="7">
        <v>0</v>
      </c>
      <c r="Y16" s="7">
        <v>0</v>
      </c>
      <c r="Z16" s="7">
        <v>0</v>
      </c>
      <c r="AA16" s="7">
        <v>0</v>
      </c>
      <c r="AB16" s="7">
        <f t="shared" si="0"/>
        <v>500</v>
      </c>
    </row>
    <row r="17" spans="1:28" ht="30" x14ac:dyDescent="0.25">
      <c r="A17" s="2" t="s">
        <v>160</v>
      </c>
      <c r="B17" s="2" t="s">
        <v>160</v>
      </c>
      <c r="C17" s="2" t="s">
        <v>64</v>
      </c>
      <c r="D17" s="2" t="s">
        <v>65</v>
      </c>
      <c r="E17" s="2" t="s">
        <v>62</v>
      </c>
      <c r="F17" s="7">
        <v>0</v>
      </c>
      <c r="G17" s="7">
        <v>0</v>
      </c>
      <c r="H17" s="7">
        <v>0</v>
      </c>
      <c r="I17" s="9">
        <v>0</v>
      </c>
      <c r="J17" s="9">
        <v>0</v>
      </c>
      <c r="K17" s="9">
        <v>0</v>
      </c>
      <c r="L17" s="7">
        <v>0</v>
      </c>
      <c r="M17" s="7">
        <v>0</v>
      </c>
      <c r="N17" s="9">
        <v>0</v>
      </c>
      <c r="O17" s="9">
        <v>0</v>
      </c>
      <c r="P17" s="7">
        <v>0</v>
      </c>
      <c r="Q17" s="7">
        <v>0</v>
      </c>
      <c r="R17" s="7">
        <v>0</v>
      </c>
      <c r="S17" s="7">
        <v>0</v>
      </c>
      <c r="T17" s="7">
        <v>0</v>
      </c>
      <c r="U17" s="9">
        <v>0</v>
      </c>
      <c r="V17" s="9">
        <v>0</v>
      </c>
      <c r="W17" s="7">
        <v>129</v>
      </c>
      <c r="X17" s="7">
        <v>0</v>
      </c>
      <c r="Y17" s="9">
        <v>0</v>
      </c>
      <c r="Z17" s="7">
        <v>0</v>
      </c>
      <c r="AA17" s="7">
        <v>0</v>
      </c>
      <c r="AB17" s="7">
        <f>SUM(F17:AA17)</f>
        <v>129</v>
      </c>
    </row>
    <row r="18" spans="1:28" ht="30" x14ac:dyDescent="0.25">
      <c r="A18" s="2" t="s">
        <v>161</v>
      </c>
      <c r="B18" s="2" t="s">
        <v>177</v>
      </c>
      <c r="C18" s="2" t="s">
        <v>177</v>
      </c>
      <c r="D18" s="2" t="s">
        <v>65</v>
      </c>
      <c r="E18" s="2" t="s">
        <v>71</v>
      </c>
      <c r="F18" s="7">
        <v>0</v>
      </c>
      <c r="G18" s="7">
        <v>0</v>
      </c>
      <c r="H18" s="7">
        <v>0</v>
      </c>
      <c r="I18" s="9">
        <v>0</v>
      </c>
      <c r="J18" s="9">
        <v>0</v>
      </c>
      <c r="K18" s="9">
        <v>0</v>
      </c>
      <c r="L18" s="7">
        <v>0</v>
      </c>
      <c r="M18" s="7">
        <v>0</v>
      </c>
      <c r="N18" s="9">
        <v>0</v>
      </c>
      <c r="O18" s="9">
        <v>0</v>
      </c>
      <c r="P18" s="7">
        <v>0</v>
      </c>
      <c r="Q18" s="7">
        <v>0</v>
      </c>
      <c r="R18" s="7">
        <v>0</v>
      </c>
      <c r="S18" s="7">
        <v>0</v>
      </c>
      <c r="T18" s="7">
        <v>0</v>
      </c>
      <c r="U18" s="9">
        <v>0</v>
      </c>
      <c r="V18" s="9">
        <v>0</v>
      </c>
      <c r="W18" s="7">
        <v>54</v>
      </c>
      <c r="X18" s="7">
        <v>0</v>
      </c>
      <c r="Y18" s="9">
        <v>0</v>
      </c>
      <c r="Z18" s="7">
        <v>0</v>
      </c>
      <c r="AA18" s="7">
        <v>0</v>
      </c>
      <c r="AB18" s="7">
        <f>SUM(F18:AA18)</f>
        <v>54</v>
      </c>
    </row>
    <row r="19" spans="1:28" ht="75" x14ac:dyDescent="0.25">
      <c r="A19" s="2" t="s">
        <v>162</v>
      </c>
      <c r="B19" s="2" t="s">
        <v>326</v>
      </c>
      <c r="C19" s="2" t="s">
        <v>64</v>
      </c>
      <c r="D19" s="2" t="s">
        <v>327</v>
      </c>
      <c r="E19" s="2" t="s">
        <v>85</v>
      </c>
      <c r="F19" s="7">
        <v>5</v>
      </c>
      <c r="G19" s="7">
        <v>0</v>
      </c>
      <c r="H19" s="7">
        <v>0</v>
      </c>
      <c r="I19" s="7">
        <v>0</v>
      </c>
      <c r="J19" s="7">
        <v>253</v>
      </c>
      <c r="K19" s="7">
        <v>60</v>
      </c>
      <c r="L19" s="7">
        <v>0</v>
      </c>
      <c r="M19" s="7">
        <v>0</v>
      </c>
      <c r="N19" s="7">
        <v>0</v>
      </c>
      <c r="O19" s="7">
        <v>0</v>
      </c>
      <c r="P19" s="7">
        <v>0</v>
      </c>
      <c r="Q19" s="7">
        <v>0</v>
      </c>
      <c r="R19" s="7">
        <v>0</v>
      </c>
      <c r="S19" s="7">
        <v>0</v>
      </c>
      <c r="T19" s="7">
        <v>0</v>
      </c>
      <c r="U19" s="7">
        <v>0</v>
      </c>
      <c r="V19" s="7">
        <v>0</v>
      </c>
      <c r="W19" s="7">
        <v>253</v>
      </c>
      <c r="X19" s="7">
        <v>0</v>
      </c>
      <c r="Y19" s="7">
        <v>0</v>
      </c>
      <c r="Z19" s="7">
        <v>0</v>
      </c>
      <c r="AA19" s="7">
        <v>0</v>
      </c>
      <c r="AB19" s="7">
        <f>SUM(F19:AA19)</f>
        <v>571</v>
      </c>
    </row>
    <row r="20" spans="1:28" ht="15.6" x14ac:dyDescent="0.3">
      <c r="A20" s="6" t="s">
        <v>163</v>
      </c>
      <c r="B20" s="11" t="s">
        <v>179</v>
      </c>
      <c r="C20" s="11" t="s">
        <v>180</v>
      </c>
      <c r="D20" s="20"/>
      <c r="E20" s="20"/>
      <c r="F20" s="4">
        <f>SUBTOTAL(109,LosAngeles[American Sign Language Total])</f>
        <v>76</v>
      </c>
      <c r="G20" s="4">
        <f>SUBTOTAL(109,LosAngeles[Arabic Total])</f>
        <v>87</v>
      </c>
      <c r="H20" s="4">
        <f>SUBTOTAL(109,LosAngeles[Armenian Total])</f>
        <v>1237</v>
      </c>
      <c r="I20" s="4">
        <f>SUBTOTAL(109,LosAngeles[Bengali Total])</f>
        <v>65</v>
      </c>
      <c r="J20" s="4">
        <f>SUBTOTAL(109,LosAngeles[Chinese Total])</f>
        <v>1984</v>
      </c>
      <c r="K20" s="4">
        <f>SUBTOTAL(109,LosAngeles[Farsi (Persian) Total])</f>
        <v>203</v>
      </c>
      <c r="L20" s="4">
        <f>SUBTOTAL(109,LosAngeles[French Total])</f>
        <v>612</v>
      </c>
      <c r="M20" s="4">
        <f>SUBTOTAL(109,LosAngeles[German Total])</f>
        <v>35</v>
      </c>
      <c r="N20" s="4">
        <f>SUBTOTAL(109,LosAngeles[Hebrew Total])</f>
        <v>78</v>
      </c>
      <c r="O20" s="4">
        <f>SUBTOTAL(109,LosAngeles[Hindi Total])</f>
        <v>47</v>
      </c>
      <c r="P20" s="4">
        <f>SUBTOTAL(109,LosAngeles[Hmong Total])</f>
        <v>0</v>
      </c>
      <c r="Q20" s="4">
        <f>SUBTOTAL(109,LosAngeles[Italian Total])</f>
        <v>17</v>
      </c>
      <c r="R20" s="4">
        <f>SUBTOTAL(109,LosAngeles[Japanese Total])</f>
        <v>282</v>
      </c>
      <c r="S20" s="4">
        <f>SUBTOTAL(109,LosAngeles[Korean Total])</f>
        <v>986</v>
      </c>
      <c r="T20" s="4">
        <f>SUBTOTAL(109,LosAngeles[Portuguese Total])</f>
        <v>36</v>
      </c>
      <c r="U20" s="4">
        <f>SUBTOTAL(109,LosAngeles[Punjabi Total])</f>
        <v>12</v>
      </c>
      <c r="V20" s="4">
        <f>SUBTOTAL(109,LosAngeles[Russian Total])</f>
        <v>408</v>
      </c>
      <c r="W20" s="4">
        <f>SUBTOTAL(109,LosAngeles[Spanish Total])</f>
        <v>37184</v>
      </c>
      <c r="X20" s="4">
        <f>SUBTOTAL(109,LosAngeles[Tagalog (Filipino) Total])</f>
        <v>205</v>
      </c>
      <c r="Y20" s="4">
        <f>SUBTOTAL(109,LosAngeles[Urdu Total])</f>
        <v>26</v>
      </c>
      <c r="Z20" s="4">
        <f>SUBTOTAL(109,LosAngeles[Vietnamese Total])</f>
        <v>46</v>
      </c>
      <c r="AA20" s="4">
        <f>SUBTOTAL(109,LosAngeles[Other Total])</f>
        <v>1883</v>
      </c>
      <c r="AB20" s="4">
        <f>SUBTOTAL(109,LosAngeles[Total Seals per LEA])</f>
        <v>45509</v>
      </c>
    </row>
  </sheetData>
  <sortState xmlns:xlrd2="http://schemas.microsoft.com/office/spreadsheetml/2017/richdata2" ref="A2:BH45">
    <sortCondition ref="A2:A45"/>
  </sortState>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0"/>
  <dimension ref="A1:AC5"/>
  <sheetViews>
    <sheetView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26.6328125" bestFit="1" customWidth="1"/>
    <col min="2" max="2" width="30.453125" bestFit="1" customWidth="1"/>
    <col min="3" max="5" width="30.45312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0.08984375" bestFit="1" customWidth="1"/>
    <col min="19" max="19" width="9.08984375" bestFit="1" customWidth="1"/>
    <col min="20" max="20" width="7.1796875" bestFit="1" customWidth="1"/>
    <col min="21" max="21" width="11.90625" bestFit="1" customWidth="1"/>
    <col min="22" max="22" width="9.54296875" bestFit="1" customWidth="1"/>
    <col min="23" max="23" width="9.90625" bestFit="1" customWidth="1"/>
    <col min="24" max="24" width="10" bestFit="1" customWidth="1"/>
    <col min="25" max="25" width="10.81640625" bestFit="1" customWidth="1"/>
    <col min="26" max="26" width="7.1796875" bestFit="1" customWidth="1"/>
    <col min="27" max="27" width="11.90625" bestFit="1" customWidth="1"/>
    <col min="28" max="28" width="7.6328125" bestFit="1" customWidth="1"/>
    <col min="29" max="29" width="10.90625" bestFit="1" customWidth="1"/>
  </cols>
  <sheetData>
    <row r="1" spans="1:29" ht="18" thickBot="1" x14ac:dyDescent="0.35">
      <c r="A1" s="12" t="s">
        <v>181</v>
      </c>
    </row>
    <row r="2" spans="1:29"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22</v>
      </c>
      <c r="U2" s="2" t="s">
        <v>47</v>
      </c>
      <c r="V2" s="2" t="s">
        <v>53</v>
      </c>
      <c r="W2" s="2" t="s">
        <v>48</v>
      </c>
      <c r="X2" s="2" t="s">
        <v>23</v>
      </c>
      <c r="Y2" s="2" t="s">
        <v>43</v>
      </c>
      <c r="Z2" s="2" t="s">
        <v>54</v>
      </c>
      <c r="AA2" s="2" t="s">
        <v>24</v>
      </c>
      <c r="AB2" s="2" t="s">
        <v>25</v>
      </c>
      <c r="AC2" s="2" t="s">
        <v>49</v>
      </c>
    </row>
    <row r="3" spans="1:29" ht="30" x14ac:dyDescent="0.25">
      <c r="A3" s="2" t="s">
        <v>184</v>
      </c>
      <c r="B3" s="6" t="s">
        <v>186</v>
      </c>
      <c r="C3" s="6" t="s">
        <v>64</v>
      </c>
      <c r="D3" s="2" t="s">
        <v>65</v>
      </c>
      <c r="E3" s="2" t="s">
        <v>62</v>
      </c>
      <c r="F3" s="2">
        <v>0</v>
      </c>
      <c r="G3" s="2">
        <v>0</v>
      </c>
      <c r="H3" s="7">
        <v>0</v>
      </c>
      <c r="I3" s="7">
        <v>0</v>
      </c>
      <c r="J3" s="7">
        <v>0</v>
      </c>
      <c r="K3" s="7">
        <v>0</v>
      </c>
      <c r="L3" s="2">
        <v>0</v>
      </c>
      <c r="M3" s="2">
        <v>0</v>
      </c>
      <c r="N3" s="7">
        <v>0</v>
      </c>
      <c r="O3" s="7">
        <v>0</v>
      </c>
      <c r="P3" s="7">
        <v>0</v>
      </c>
      <c r="Q3" s="7">
        <v>0</v>
      </c>
      <c r="R3" s="2">
        <v>0</v>
      </c>
      <c r="S3" s="7">
        <v>0</v>
      </c>
      <c r="T3" s="7">
        <v>0</v>
      </c>
      <c r="U3" s="7">
        <v>0</v>
      </c>
      <c r="V3" s="7">
        <v>0</v>
      </c>
      <c r="W3" s="7">
        <v>0</v>
      </c>
      <c r="X3" s="2">
        <v>54</v>
      </c>
      <c r="Y3" s="7">
        <v>0</v>
      </c>
      <c r="Z3" s="7">
        <v>0</v>
      </c>
      <c r="AA3" s="7">
        <v>0</v>
      </c>
      <c r="AB3" s="7">
        <v>0</v>
      </c>
      <c r="AC3" s="7">
        <f>SUM(Monterey[[#This Row],[American Sign Language Total]:[Other Total]])</f>
        <v>54</v>
      </c>
    </row>
    <row r="4" spans="1:29" ht="30" x14ac:dyDescent="0.25">
      <c r="A4" t="s">
        <v>185</v>
      </c>
      <c r="B4" t="s">
        <v>187</v>
      </c>
      <c r="C4" s="6" t="s">
        <v>187</v>
      </c>
      <c r="D4" s="2" t="s">
        <v>65</v>
      </c>
      <c r="E4" s="2" t="s">
        <v>62</v>
      </c>
      <c r="F4" s="7">
        <v>0</v>
      </c>
      <c r="G4" s="7">
        <v>0</v>
      </c>
      <c r="H4" s="7">
        <v>0</v>
      </c>
      <c r="I4" s="7">
        <v>0</v>
      </c>
      <c r="J4" s="7">
        <v>0</v>
      </c>
      <c r="K4" s="7">
        <v>0</v>
      </c>
      <c r="L4" s="7">
        <v>0</v>
      </c>
      <c r="M4" s="7">
        <v>0</v>
      </c>
      <c r="N4" s="7">
        <v>0</v>
      </c>
      <c r="O4" s="7">
        <v>0</v>
      </c>
      <c r="P4" s="7">
        <v>0</v>
      </c>
      <c r="Q4" s="7">
        <v>0</v>
      </c>
      <c r="R4" s="7">
        <v>0</v>
      </c>
      <c r="S4" s="7">
        <v>0</v>
      </c>
      <c r="T4" s="7">
        <v>0</v>
      </c>
      <c r="U4" s="7">
        <v>0</v>
      </c>
      <c r="V4" s="7">
        <v>0</v>
      </c>
      <c r="W4" s="7">
        <v>0</v>
      </c>
      <c r="X4" s="7">
        <v>50</v>
      </c>
      <c r="Y4" s="7">
        <v>0</v>
      </c>
      <c r="Z4" s="7">
        <v>0</v>
      </c>
      <c r="AA4" s="7">
        <v>0</v>
      </c>
      <c r="AB4" s="7">
        <v>0</v>
      </c>
      <c r="AC4" s="7">
        <f>SUM(Monterey[[#This Row],[American Sign Language Total]:[Other Total]])</f>
        <v>50</v>
      </c>
    </row>
    <row r="5" spans="1:29" x14ac:dyDescent="0.25">
      <c r="A5" s="7" t="s">
        <v>37</v>
      </c>
      <c r="B5" s="13" t="s">
        <v>79</v>
      </c>
      <c r="C5" s="13" t="s">
        <v>72</v>
      </c>
      <c r="D5" s="21"/>
      <c r="E5" s="21"/>
      <c r="F5" s="7">
        <f>SUBTOTAL(109,Monterey[American Sign Language Total])</f>
        <v>0</v>
      </c>
      <c r="G5" s="7">
        <f>SUBTOTAL(109,Monterey[Arabic Total])</f>
        <v>0</v>
      </c>
      <c r="H5" s="7">
        <f>SUBTOTAL(109,Monterey[Armenian Total])</f>
        <v>0</v>
      </c>
      <c r="I5" s="7">
        <f>SUBTOTAL(109,Monterey[Bengali Total])</f>
        <v>0</v>
      </c>
      <c r="J5" s="7">
        <f>SUBTOTAL(109,Monterey[Chinese Total])</f>
        <v>0</v>
      </c>
      <c r="K5" s="7">
        <f>SUBTOTAL(109,Monterey[Farsi (Persian) Total])</f>
        <v>0</v>
      </c>
      <c r="L5" s="7">
        <f>SUBTOTAL(109,Monterey[French Total])</f>
        <v>0</v>
      </c>
      <c r="M5" s="7">
        <f>SUBTOTAL(109,Monterey[German Total])</f>
        <v>0</v>
      </c>
      <c r="N5" s="7">
        <f>SUBTOTAL(109,Monterey[Hebrew Total])</f>
        <v>0</v>
      </c>
      <c r="O5" s="7">
        <f>SUBTOTAL(109,Monterey[Hindi Total])</f>
        <v>0</v>
      </c>
      <c r="P5" s="7">
        <f>SUBTOTAL(109,Monterey[Hmong Total])</f>
        <v>0</v>
      </c>
      <c r="Q5" s="7">
        <f>SUBTOTAL(109,Monterey[Italian Total])</f>
        <v>0</v>
      </c>
      <c r="R5" s="7">
        <f>SUBTOTAL(109,Monterey[Japanese Total])</f>
        <v>0</v>
      </c>
      <c r="S5" s="7">
        <f>SUBTOTAL(109,Monterey[Korean Total])</f>
        <v>0</v>
      </c>
      <c r="T5" s="7">
        <f>SUBTOTAL(109,Monterey[Latin Total])</f>
        <v>0</v>
      </c>
      <c r="U5" s="7">
        <f>SUBTOTAL(109,Monterey[Portuguese Total])</f>
        <v>0</v>
      </c>
      <c r="V5" s="7">
        <f>SUBTOTAL(109,Monterey[Punjabi Total])</f>
        <v>0</v>
      </c>
      <c r="W5" s="7">
        <f>SUBTOTAL(109,Monterey[Russian Total])</f>
        <v>0</v>
      </c>
      <c r="X5" s="7">
        <f>SUBTOTAL(109,Monterey[Spanish Total])</f>
        <v>104</v>
      </c>
      <c r="Y5" s="7">
        <f>SUBTOTAL(109,Monterey[Tagalog (Filipino) Total])</f>
        <v>0</v>
      </c>
      <c r="Z5" s="7">
        <f>SUBTOTAL(109,Monterey[Urdu Total])</f>
        <v>0</v>
      </c>
      <c r="AA5" s="7">
        <f>SUBTOTAL(109,Monterey[Vietnamese Total])</f>
        <v>0</v>
      </c>
      <c r="AB5" s="7">
        <f>SUBTOTAL(109,Monterey[Other Total])</f>
        <v>0</v>
      </c>
      <c r="AC5" s="7">
        <f>SUBTOTAL(109,Monterey[Total Seals per LEA])</f>
        <v>104</v>
      </c>
    </row>
  </sheetData>
  <conditionalFormatting sqref="A1:E3">
    <cfRule type="duplicateValues" dxfId="87" priority="3"/>
  </conditionalFormatting>
  <conditionalFormatting sqref="D4">
    <cfRule type="duplicateValues" dxfId="86" priority="2"/>
  </conditionalFormatting>
  <conditionalFormatting sqref="E4">
    <cfRule type="duplicateValues" dxfId="85" priority="1"/>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3280F-9202-4BD6-AEAB-0835C4760DF2}">
  <sheetPr codeName="Sheet11"/>
  <dimension ref="A1:AC4"/>
  <sheetViews>
    <sheetView workbookViewId="0"/>
  </sheetViews>
  <sheetFormatPr defaultRowHeight="15" x14ac:dyDescent="0.25"/>
  <cols>
    <col min="1" max="1" width="26.6328125" bestFit="1" customWidth="1"/>
    <col min="2" max="2" width="30.453125" bestFit="1" customWidth="1"/>
    <col min="3" max="5" width="30.453125" customWidth="1"/>
    <col min="6" max="6" width="16.6328125" bestFit="1" customWidth="1"/>
    <col min="7" max="7" width="8.453125" bestFit="1" customWidth="1"/>
    <col min="8" max="8" width="11.1796875" bestFit="1" customWidth="1"/>
    <col min="9" max="9" width="9.453125" bestFit="1" customWidth="1"/>
    <col min="10" max="10" width="9.90625" bestFit="1" customWidth="1"/>
    <col min="11" max="11" width="10.6328125" bestFit="1" customWidth="1"/>
    <col min="12" max="12" width="8.90625" bestFit="1" customWidth="1"/>
    <col min="13" max="13" width="9.6328125" bestFit="1" customWidth="1"/>
    <col min="14" max="14" width="9.36328125" bestFit="1" customWidth="1"/>
    <col min="15" max="15" width="7.453125" bestFit="1" customWidth="1"/>
    <col min="16" max="16" width="9.08984375" bestFit="1" customWidth="1"/>
    <col min="17" max="17" width="8.08984375" bestFit="1" customWidth="1"/>
    <col min="18" max="18" width="10.08984375" bestFit="1" customWidth="1"/>
    <col min="19" max="19" width="9.08984375" bestFit="1" customWidth="1"/>
    <col min="20" max="20" width="7.1796875" bestFit="1" customWidth="1"/>
    <col min="21" max="21" width="11.90625" bestFit="1" customWidth="1"/>
    <col min="22" max="22" width="9.54296875" bestFit="1" customWidth="1"/>
    <col min="23" max="23" width="9.90625" bestFit="1" customWidth="1"/>
    <col min="24" max="24" width="10" bestFit="1" customWidth="1"/>
    <col min="25" max="25" width="10.81640625" bestFit="1" customWidth="1"/>
    <col min="26" max="26" width="7.1796875" bestFit="1" customWidth="1"/>
    <col min="27" max="27" width="11.90625" bestFit="1" customWidth="1"/>
    <col min="28" max="28" width="7.6328125" bestFit="1" customWidth="1"/>
    <col min="29" max="29" width="10.90625" bestFit="1" customWidth="1"/>
  </cols>
  <sheetData>
    <row r="1" spans="1:29" ht="18" thickBot="1" x14ac:dyDescent="0.35">
      <c r="A1" s="12" t="s">
        <v>182</v>
      </c>
    </row>
    <row r="2" spans="1:29" ht="45.6" thickTop="1" x14ac:dyDescent="0.25">
      <c r="A2" s="2" t="s">
        <v>32</v>
      </c>
      <c r="B2" s="2" t="s">
        <v>33</v>
      </c>
      <c r="C2" s="7" t="s">
        <v>57</v>
      </c>
      <c r="D2" s="7" t="s">
        <v>59</v>
      </c>
      <c r="E2" s="2" t="s">
        <v>61</v>
      </c>
      <c r="F2" s="2" t="s">
        <v>17</v>
      </c>
      <c r="G2" s="2" t="s">
        <v>28</v>
      </c>
      <c r="H2" s="2" t="s">
        <v>46</v>
      </c>
      <c r="I2" s="2" t="s">
        <v>50</v>
      </c>
      <c r="J2" s="2" t="s">
        <v>44</v>
      </c>
      <c r="K2" s="2" t="s">
        <v>51</v>
      </c>
      <c r="L2" s="2" t="s">
        <v>18</v>
      </c>
      <c r="M2" s="2" t="s">
        <v>19</v>
      </c>
      <c r="N2" s="2" t="s">
        <v>45</v>
      </c>
      <c r="O2" s="2" t="s">
        <v>52</v>
      </c>
      <c r="P2" s="2" t="s">
        <v>34</v>
      </c>
      <c r="Q2" s="2" t="s">
        <v>29</v>
      </c>
      <c r="R2" s="2" t="s">
        <v>35</v>
      </c>
      <c r="S2" s="2" t="s">
        <v>21</v>
      </c>
      <c r="T2" s="2" t="s">
        <v>22</v>
      </c>
      <c r="U2" s="2" t="s">
        <v>47</v>
      </c>
      <c r="V2" s="2" t="s">
        <v>53</v>
      </c>
      <c r="W2" s="2" t="s">
        <v>48</v>
      </c>
      <c r="X2" s="2" t="s">
        <v>23</v>
      </c>
      <c r="Y2" s="2" t="s">
        <v>43</v>
      </c>
      <c r="Z2" s="2" t="s">
        <v>54</v>
      </c>
      <c r="AA2" s="2" t="s">
        <v>24</v>
      </c>
      <c r="AB2" s="2" t="s">
        <v>25</v>
      </c>
      <c r="AC2" s="2" t="s">
        <v>49</v>
      </c>
    </row>
    <row r="3" spans="1:29" ht="45" x14ac:dyDescent="0.25">
      <c r="A3" t="s">
        <v>188</v>
      </c>
      <c r="B3" s="6" t="s">
        <v>189</v>
      </c>
      <c r="C3" s="6" t="s">
        <v>189</v>
      </c>
      <c r="D3" s="2" t="s">
        <v>65</v>
      </c>
      <c r="E3" s="2" t="s">
        <v>104</v>
      </c>
      <c r="F3" s="7">
        <v>0</v>
      </c>
      <c r="G3" s="7">
        <v>0</v>
      </c>
      <c r="H3" s="7">
        <v>0</v>
      </c>
      <c r="I3" s="7">
        <v>0</v>
      </c>
      <c r="J3" s="7">
        <v>0</v>
      </c>
      <c r="K3" s="7">
        <v>0</v>
      </c>
      <c r="L3" s="7">
        <v>0</v>
      </c>
      <c r="M3" s="7">
        <v>0</v>
      </c>
      <c r="N3" s="7">
        <v>0</v>
      </c>
      <c r="O3" s="7">
        <v>0</v>
      </c>
      <c r="P3" s="7">
        <v>0</v>
      </c>
      <c r="Q3" s="7">
        <v>0</v>
      </c>
      <c r="R3" s="7">
        <v>0</v>
      </c>
      <c r="S3" s="7">
        <v>0</v>
      </c>
      <c r="T3" s="7">
        <v>0</v>
      </c>
      <c r="U3" s="7">
        <v>0</v>
      </c>
      <c r="V3" s="7">
        <v>0</v>
      </c>
      <c r="W3" s="7">
        <v>0</v>
      </c>
      <c r="X3" s="7">
        <v>345</v>
      </c>
      <c r="Y3" s="7">
        <v>0</v>
      </c>
      <c r="Z3" s="7">
        <v>0</v>
      </c>
      <c r="AA3" s="7">
        <v>0</v>
      </c>
      <c r="AB3" s="7">
        <v>0</v>
      </c>
      <c r="AC3" s="7">
        <f>SUM(Monterey14[[#This Row],[American Sign Language Total]:[Other Total]])</f>
        <v>345</v>
      </c>
    </row>
    <row r="4" spans="1:29" x14ac:dyDescent="0.25">
      <c r="A4" s="7" t="s">
        <v>36</v>
      </c>
      <c r="B4" s="13" t="s">
        <v>72</v>
      </c>
      <c r="C4" s="13" t="s">
        <v>72</v>
      </c>
      <c r="D4" s="21"/>
      <c r="E4" s="21"/>
      <c r="F4" s="7">
        <f>SUBTOTAL(109,Monterey14[American Sign Language Total])</f>
        <v>0</v>
      </c>
      <c r="G4" s="7">
        <f>SUBTOTAL(109,Monterey14[Arabic Total])</f>
        <v>0</v>
      </c>
      <c r="H4" s="7">
        <f>SUBTOTAL(109,Monterey14[Armenian Total])</f>
        <v>0</v>
      </c>
      <c r="I4" s="7">
        <f>SUBTOTAL(109,Monterey14[Bengali Total])</f>
        <v>0</v>
      </c>
      <c r="J4" s="7">
        <f>SUBTOTAL(109,Monterey14[Chinese Total])</f>
        <v>0</v>
      </c>
      <c r="K4" s="7">
        <f>SUBTOTAL(109,Monterey14[Farsi (Persian) Total])</f>
        <v>0</v>
      </c>
      <c r="L4" s="7">
        <f>SUBTOTAL(109,Monterey14[French Total])</f>
        <v>0</v>
      </c>
      <c r="M4" s="7">
        <f>SUBTOTAL(109,Monterey14[German Total])</f>
        <v>0</v>
      </c>
      <c r="N4" s="7">
        <f>SUBTOTAL(109,Monterey14[Hebrew Total])</f>
        <v>0</v>
      </c>
      <c r="O4" s="7">
        <f>SUBTOTAL(109,Monterey14[Hindi Total])</f>
        <v>0</v>
      </c>
      <c r="P4" s="7">
        <f>SUBTOTAL(109,Monterey14[Hmong Total])</f>
        <v>0</v>
      </c>
      <c r="Q4" s="7">
        <f>SUBTOTAL(109,Monterey14[Italian Total])</f>
        <v>0</v>
      </c>
      <c r="R4" s="7">
        <f>SUBTOTAL(109,Monterey14[Japanese Total])</f>
        <v>0</v>
      </c>
      <c r="S4" s="7">
        <f>SUBTOTAL(109,Monterey14[Korean Total])</f>
        <v>0</v>
      </c>
      <c r="T4" s="7">
        <f>SUBTOTAL(109,Monterey14[Latin Total])</f>
        <v>0</v>
      </c>
      <c r="U4" s="7">
        <f>SUBTOTAL(109,Monterey14[Portuguese Total])</f>
        <v>0</v>
      </c>
      <c r="V4" s="7">
        <f>SUBTOTAL(109,Monterey14[Punjabi Total])</f>
        <v>0</v>
      </c>
      <c r="W4" s="7">
        <f>SUBTOTAL(109,Monterey14[Russian Total])</f>
        <v>0</v>
      </c>
      <c r="X4" s="7">
        <f>SUBTOTAL(109,Monterey14[Spanish Total])</f>
        <v>345</v>
      </c>
      <c r="Y4" s="7">
        <f>SUBTOTAL(109,Monterey14[Tagalog (Filipino) Total])</f>
        <v>0</v>
      </c>
      <c r="Z4" s="7">
        <f>SUBTOTAL(109,Monterey14[Urdu Total])</f>
        <v>0</v>
      </c>
      <c r="AA4" s="7">
        <f>SUBTOTAL(109,Monterey14[Vietnamese Total])</f>
        <v>0</v>
      </c>
      <c r="AB4" s="7">
        <f>SUBTOTAL(109,Monterey14[Other Total])</f>
        <v>0</v>
      </c>
      <c r="AC4" s="7">
        <f>SUBTOTAL(109,Monterey14[Total Seals per LEA])</f>
        <v>345</v>
      </c>
    </row>
  </sheetData>
  <conditionalFormatting sqref="A1:E2">
    <cfRule type="duplicateValues" dxfId="84" priority="1"/>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vt:i4>
      </vt:variant>
    </vt:vector>
  </HeadingPairs>
  <TitlesOfParts>
    <vt:vector size="31" baseType="lpstr">
      <vt:lpstr>County Totals</vt:lpstr>
      <vt:lpstr>Alameda</vt:lpstr>
      <vt:lpstr>Contra Costa</vt:lpstr>
      <vt:lpstr>El Dorado</vt:lpstr>
      <vt:lpstr>Glenn</vt:lpstr>
      <vt:lpstr>Kern</vt:lpstr>
      <vt:lpstr>Los Angeles</vt:lpstr>
      <vt:lpstr>Merced</vt:lpstr>
      <vt:lpstr>Monterey</vt:lpstr>
      <vt:lpstr>Nevada</vt:lpstr>
      <vt:lpstr>Orange</vt:lpstr>
      <vt:lpstr>Riverside</vt:lpstr>
      <vt:lpstr>Sacramento</vt:lpstr>
      <vt:lpstr>San Bernardino</vt:lpstr>
      <vt:lpstr>San Diego</vt:lpstr>
      <vt:lpstr>San Francisco</vt:lpstr>
      <vt:lpstr>San Joaquin</vt:lpstr>
      <vt:lpstr>San Luis Obispo</vt:lpstr>
      <vt:lpstr>San Mateo</vt:lpstr>
      <vt:lpstr>Santa Barbara</vt:lpstr>
      <vt:lpstr>Santa Clara</vt:lpstr>
      <vt:lpstr>Shasta</vt:lpstr>
      <vt:lpstr>Sonoma</vt:lpstr>
      <vt:lpstr>Stanislaus</vt:lpstr>
      <vt:lpstr>Tehama</vt:lpstr>
      <vt:lpstr>Tulare</vt:lpstr>
      <vt:lpstr>Yolo</vt:lpstr>
      <vt:lpstr>'Contra Costa'!Alameda</vt:lpstr>
      <vt:lpstr>Alameda</vt:lpstr>
      <vt:lpstr>'Contra Costa'!TableAlameda</vt:lpstr>
      <vt:lpstr>TableAlameda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Biliteracy Participation 2023-24 - Multilingual Learners (Dept of Education)</dc:title>
  <dc:subject>This spreadsheet provides county, district, and school participation information and language totals for the 2023-24 California State Biliteracy Pathway Recognitions program.</dc:subject>
  <dc:creator/>
  <cp:lastModifiedBy/>
  <dcterms:created xsi:type="dcterms:W3CDTF">2024-09-03T19:00:30Z</dcterms:created>
  <dcterms:modified xsi:type="dcterms:W3CDTF">2025-02-26T17:58:23Z</dcterms:modified>
</cp:coreProperties>
</file>