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uclaray\Desktop\SBE Items\"/>
    </mc:Choice>
  </mc:AlternateContent>
  <bookViews>
    <workbookView xWindow="0" yWindow="0" windowWidth="16320" windowHeight="5670" tabRatio="899"/>
  </bookViews>
  <sheets>
    <sheet name="Form A FY Summary" sheetId="3" r:id="rId1"/>
    <sheet name="Form A FY Budget 2015-16 Admin" sheetId="18" r:id="rId2"/>
    <sheet name="Form B 2015-16 Admin" sheetId="14" r:id="rId3"/>
    <sheet name="Form A FY Budget 2016-17 Admin" sheetId="5" r:id="rId4"/>
    <sheet name="Form B 2016-17 Admin" sheetId="15" r:id="rId5"/>
    <sheet name="Form A FY Budget 2017-18 Admin" sheetId="6" r:id="rId6"/>
    <sheet name="Form B 2017-18 Admin" sheetId="16" r:id="rId7"/>
    <sheet name="Form A FY Budget 2018-19 Admin" sheetId="7" r:id="rId8"/>
    <sheet name="Form B 2018-19 Admin" sheetId="11" r:id="rId9"/>
    <sheet name="Form A FY Budget 2019-20 Admin" sheetId="2" r:id="rId10"/>
    <sheet name="Form B 2019-20 Admin" sheetId="1" r:id="rId11"/>
    <sheet name="Form A FY Budget 2020-21 Admin" sheetId="8" r:id="rId12"/>
    <sheet name="Form B 2020-21 Admin" sheetId="12" r:id="rId13"/>
    <sheet name="Form A FY Budget 2021-22 Admin" sheetId="9" r:id="rId14"/>
    <sheet name="Form B 2021-22 Admin" sheetId="13" r:id="rId15"/>
  </sheets>
  <definedNames>
    <definedName name="_xlnm.Print_Area" localSheetId="1">'Form A FY Budget 2015-16 Admin'!$A$1:$I$27</definedName>
    <definedName name="_xlnm.Print_Area" localSheetId="3">'Form A FY Budget 2016-17 Admin'!$A$1:$I$26</definedName>
    <definedName name="_xlnm.Print_Area" localSheetId="5">'Form A FY Budget 2017-18 Admin'!$A$1:$I$27</definedName>
    <definedName name="_xlnm.Print_Area" localSheetId="7">'Form A FY Budget 2018-19 Admin'!$A$1:$M$36</definedName>
    <definedName name="_xlnm.Print_Area" localSheetId="9">'Form A FY Budget 2019-20 Admin'!$1:$36</definedName>
    <definedName name="_xlnm.Print_Area" localSheetId="11">'Form A FY Budget 2020-21 Admin'!$A$1:$J$35</definedName>
    <definedName name="_xlnm.Print_Area" localSheetId="13">'Form A FY Budget 2021-22 Admin'!$A$1:$J$35</definedName>
    <definedName name="_xlnm.Print_Area" localSheetId="0">'Form A FY Summary'!$A$1:$P$24</definedName>
    <definedName name="_xlnm.Print_Area" localSheetId="2">'Form B 2015-16 Admin'!$A$1:$K$46</definedName>
    <definedName name="_xlnm.Print_Area" localSheetId="4">'Form B 2016-17 Admin'!$A$1:$K$45</definedName>
    <definedName name="_xlnm.Print_Area" localSheetId="6">'Form B 2017-18 Admin'!$A$1:$K$42</definedName>
    <definedName name="_xlnm.Print_Area" localSheetId="8">'Form B 2018-19 Admin'!$A$1:$K$56</definedName>
    <definedName name="_xlnm.Print_Area" localSheetId="10">'Form B 2019-20 Admin'!$A$1:$K$58</definedName>
    <definedName name="_xlnm.Print_Area" localSheetId="12">'Form B 2020-21 Admin'!$A$1:$K$54</definedName>
    <definedName name="_xlnm.Print_Area" localSheetId="14">'Form B 2021-22 Admin'!$A$1:$K$54</definedName>
    <definedName name="_xlnm.Print_Titles" localSheetId="2">'Form B 2015-16 Admin'!$1:$8</definedName>
    <definedName name="_xlnm.Print_Titles" localSheetId="4">'Form B 2016-17 Admin'!$1:$8</definedName>
    <definedName name="_xlnm.Print_Titles" localSheetId="6">'Form B 2017-18 Admin'!$1:$8</definedName>
    <definedName name="_xlnm.Print_Titles" localSheetId="8">'Form B 2018-19 Admin'!$1:$8</definedName>
    <definedName name="_xlnm.Print_Titles" localSheetId="10">'Form B 2019-20 Admin'!$1:$8</definedName>
    <definedName name="_xlnm.Print_Titles" localSheetId="12">'Form B 2020-21 Admin'!$1:$8</definedName>
    <definedName name="_xlnm.Print_Titles" localSheetId="14">'Form B 2021-22 Admin'!$1:$8</definedName>
  </definedNames>
  <calcPr calcId="152511"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3" i="15" l="1"/>
  <c r="I25" i="9" l="1"/>
  <c r="I9" i="9"/>
  <c r="I47" i="11"/>
  <c r="H44" i="14"/>
  <c r="F44" i="14"/>
  <c r="I44" i="14"/>
  <c r="I20" i="14"/>
  <c r="I21" i="14"/>
  <c r="I27" i="14"/>
  <c r="I28" i="14"/>
  <c r="I29" i="14"/>
  <c r="I30" i="14"/>
  <c r="I31" i="14"/>
  <c r="I32" i="14"/>
  <c r="I33" i="14"/>
  <c r="I35" i="1"/>
  <c r="I29" i="1"/>
  <c r="I19" i="1"/>
  <c r="I19" i="12"/>
  <c r="I29" i="12"/>
  <c r="I35" i="12"/>
  <c r="I46" i="12"/>
  <c r="I49" i="13"/>
  <c r="I47" i="13"/>
  <c r="I35" i="13"/>
  <c r="I29" i="13"/>
  <c r="I19" i="13"/>
  <c r="H37" i="11"/>
  <c r="H52" i="11"/>
  <c r="H53" i="11"/>
  <c r="F37" i="11"/>
  <c r="F53" i="11" s="1"/>
  <c r="I53" i="11" s="1"/>
  <c r="F52" i="11"/>
  <c r="I52" i="11"/>
  <c r="H37" i="1"/>
  <c r="I37" i="1" s="1"/>
  <c r="F37" i="1"/>
  <c r="I12" i="1" s="1"/>
  <c r="I46" i="1"/>
  <c r="I49" i="1"/>
  <c r="I52" i="1"/>
  <c r="H54" i="1"/>
  <c r="F54" i="1"/>
  <c r="I54" i="1"/>
  <c r="H55" i="1"/>
  <c r="H27" i="18"/>
  <c r="G27" i="18"/>
  <c r="I26" i="18"/>
  <c r="I25" i="18"/>
  <c r="I24" i="18"/>
  <c r="I23" i="18"/>
  <c r="I22" i="18"/>
  <c r="I21" i="18"/>
  <c r="I20" i="18"/>
  <c r="I19" i="18"/>
  <c r="I9" i="18"/>
  <c r="I27" i="18" s="1"/>
  <c r="I10" i="18"/>
  <c r="I11" i="18"/>
  <c r="I12" i="18"/>
  <c r="I13" i="18"/>
  <c r="I14" i="18"/>
  <c r="I15" i="18"/>
  <c r="I16" i="18"/>
  <c r="I17" i="18"/>
  <c r="I18" i="18"/>
  <c r="I26" i="7"/>
  <c r="L26" i="7"/>
  <c r="M26" i="7" s="1"/>
  <c r="F35" i="7"/>
  <c r="F35" i="2"/>
  <c r="J51" i="11"/>
  <c r="K51" i="11" s="1"/>
  <c r="I51" i="11"/>
  <c r="J50" i="11"/>
  <c r="K50" i="11" s="1"/>
  <c r="I50" i="11"/>
  <c r="J49" i="11"/>
  <c r="K49" i="11" s="1"/>
  <c r="I49" i="11"/>
  <c r="J50" i="1"/>
  <c r="K50" i="1" s="1"/>
  <c r="I50" i="1"/>
  <c r="J49" i="1"/>
  <c r="K49" i="1" s="1"/>
  <c r="J48" i="1"/>
  <c r="K48" i="1" s="1"/>
  <c r="I48" i="1"/>
  <c r="I34" i="2"/>
  <c r="I33" i="2"/>
  <c r="I32" i="2"/>
  <c r="I31" i="2"/>
  <c r="I30" i="2"/>
  <c r="I29" i="2"/>
  <c r="I28" i="2"/>
  <c r="I27" i="2"/>
  <c r="I26" i="2"/>
  <c r="I25" i="2"/>
  <c r="I35" i="2" s="1"/>
  <c r="I23" i="2"/>
  <c r="I22" i="2"/>
  <c r="I21" i="2"/>
  <c r="I20" i="2"/>
  <c r="I19" i="2"/>
  <c r="I18" i="2"/>
  <c r="I17" i="2"/>
  <c r="I16" i="2"/>
  <c r="P16" i="2" s="1"/>
  <c r="I15" i="2"/>
  <c r="I14" i="2"/>
  <c r="I13" i="2"/>
  <c r="I12" i="2"/>
  <c r="I11" i="2"/>
  <c r="I10" i="2"/>
  <c r="I9" i="2"/>
  <c r="J44" i="11"/>
  <c r="I44" i="11"/>
  <c r="I24" i="2"/>
  <c r="O33" i="2"/>
  <c r="L33" i="2"/>
  <c r="O30" i="2"/>
  <c r="L30" i="2"/>
  <c r="L34" i="7"/>
  <c r="I34" i="7"/>
  <c r="M34" i="7" s="1"/>
  <c r="I31" i="7"/>
  <c r="L31" i="7"/>
  <c r="P33" i="2"/>
  <c r="M31" i="7"/>
  <c r="P30" i="2"/>
  <c r="J35" i="16"/>
  <c r="K35" i="16" s="1"/>
  <c r="I35" i="16"/>
  <c r="P22" i="3"/>
  <c r="P21" i="3"/>
  <c r="P20" i="3"/>
  <c r="P19" i="3"/>
  <c r="P18" i="3"/>
  <c r="P15" i="3"/>
  <c r="P16" i="3"/>
  <c r="K33" i="16"/>
  <c r="K32" i="16"/>
  <c r="K31" i="16"/>
  <c r="F37" i="16"/>
  <c r="J33" i="16"/>
  <c r="I33" i="16"/>
  <c r="J30" i="16"/>
  <c r="K30" i="16" s="1"/>
  <c r="I30" i="16"/>
  <c r="J29" i="16"/>
  <c r="K29" i="16" s="1"/>
  <c r="I29" i="16"/>
  <c r="J28" i="16"/>
  <c r="K28" i="16" s="1"/>
  <c r="I28" i="16"/>
  <c r="H37" i="16"/>
  <c r="I37" i="16" s="1"/>
  <c r="G37" i="16"/>
  <c r="J36" i="16"/>
  <c r="K36" i="16" s="1"/>
  <c r="I36" i="16"/>
  <c r="J34" i="16"/>
  <c r="K34" i="16" s="1"/>
  <c r="I34" i="16"/>
  <c r="J32" i="16"/>
  <c r="I32" i="16"/>
  <c r="J31" i="16"/>
  <c r="I31" i="16"/>
  <c r="J27" i="16"/>
  <c r="K27" i="16" s="1"/>
  <c r="I27" i="16"/>
  <c r="J26" i="16"/>
  <c r="K26" i="16" s="1"/>
  <c r="I26" i="16"/>
  <c r="J25" i="16"/>
  <c r="K25" i="16"/>
  <c r="I25" i="16"/>
  <c r="J24" i="16"/>
  <c r="I24" i="16"/>
  <c r="J23" i="16"/>
  <c r="I23" i="16"/>
  <c r="J22" i="16"/>
  <c r="I22" i="16"/>
  <c r="J21" i="16"/>
  <c r="I21" i="16"/>
  <c r="J20" i="16"/>
  <c r="K20" i="16"/>
  <c r="I20" i="16"/>
  <c r="J19" i="16"/>
  <c r="K19" i="16" s="1"/>
  <c r="I19" i="16"/>
  <c r="J18" i="16"/>
  <c r="K18" i="16" s="1"/>
  <c r="I18" i="16"/>
  <c r="J17" i="16"/>
  <c r="K17" i="16"/>
  <c r="I17" i="16"/>
  <c r="J16" i="16"/>
  <c r="K16" i="16" s="1"/>
  <c r="I16" i="16"/>
  <c r="J15" i="16"/>
  <c r="K15" i="16" s="1"/>
  <c r="I15" i="16"/>
  <c r="J14" i="16"/>
  <c r="I14" i="16"/>
  <c r="J13" i="16"/>
  <c r="K13" i="16"/>
  <c r="I13" i="16"/>
  <c r="J12" i="16"/>
  <c r="K12" i="16" s="1"/>
  <c r="I12" i="16"/>
  <c r="J11" i="16"/>
  <c r="K11" i="16" s="1"/>
  <c r="I11" i="16"/>
  <c r="J10" i="16"/>
  <c r="K10" i="16"/>
  <c r="I10" i="16"/>
  <c r="J9" i="16"/>
  <c r="K9" i="16"/>
  <c r="I9" i="16"/>
  <c r="H43" i="15"/>
  <c r="G43" i="15"/>
  <c r="F43" i="15"/>
  <c r="J42" i="15"/>
  <c r="K42" i="15" s="1"/>
  <c r="I42" i="15"/>
  <c r="J41" i="15"/>
  <c r="K41" i="15" s="1"/>
  <c r="I41" i="15"/>
  <c r="J40" i="15"/>
  <c r="K40" i="15"/>
  <c r="I40" i="15"/>
  <c r="J39" i="15"/>
  <c r="I39" i="15"/>
  <c r="J38" i="15"/>
  <c r="I38" i="15"/>
  <c r="J37" i="15"/>
  <c r="I37" i="15"/>
  <c r="J36" i="15"/>
  <c r="I36" i="15"/>
  <c r="J35" i="15"/>
  <c r="I35" i="15"/>
  <c r="J34" i="15"/>
  <c r="I34" i="15"/>
  <c r="J33" i="15"/>
  <c r="K33" i="15" s="1"/>
  <c r="I33" i="15"/>
  <c r="J32" i="15"/>
  <c r="K32" i="15" s="1"/>
  <c r="I32" i="15"/>
  <c r="J31" i="15"/>
  <c r="K31" i="15" s="1"/>
  <c r="I31" i="15"/>
  <c r="J30" i="15"/>
  <c r="K30" i="15" s="1"/>
  <c r="I30" i="15"/>
  <c r="J29" i="15"/>
  <c r="K29" i="15" s="1"/>
  <c r="I29" i="15"/>
  <c r="J28" i="15"/>
  <c r="K28" i="15"/>
  <c r="I28" i="15"/>
  <c r="J27" i="15"/>
  <c r="K27" i="15" s="1"/>
  <c r="I27" i="15"/>
  <c r="J26" i="15"/>
  <c r="K26" i="15" s="1"/>
  <c r="I26" i="15"/>
  <c r="J25" i="15"/>
  <c r="K25" i="15"/>
  <c r="I25" i="15"/>
  <c r="J24" i="15"/>
  <c r="I24" i="15"/>
  <c r="J23" i="15"/>
  <c r="I23" i="15"/>
  <c r="J22" i="15"/>
  <c r="I22" i="15"/>
  <c r="J21" i="15"/>
  <c r="I21" i="15"/>
  <c r="J20" i="15"/>
  <c r="K20" i="15"/>
  <c r="I20" i="15"/>
  <c r="J19" i="15"/>
  <c r="K19" i="15" s="1"/>
  <c r="I19" i="15"/>
  <c r="J18" i="15"/>
  <c r="K18" i="15"/>
  <c r="I18" i="15"/>
  <c r="J17" i="15"/>
  <c r="I17" i="15"/>
  <c r="J16" i="15"/>
  <c r="I16" i="15"/>
  <c r="J15" i="15"/>
  <c r="I15" i="15"/>
  <c r="J14" i="15"/>
  <c r="I14" i="15"/>
  <c r="J13" i="15"/>
  <c r="I13" i="15"/>
  <c r="J12" i="15"/>
  <c r="I12" i="15"/>
  <c r="J11" i="15"/>
  <c r="K11" i="15"/>
  <c r="I11" i="15"/>
  <c r="J10" i="15"/>
  <c r="I10" i="15"/>
  <c r="J9" i="15"/>
  <c r="K9" i="15" s="1"/>
  <c r="I9" i="15"/>
  <c r="J21" i="14"/>
  <c r="K21" i="14" s="1"/>
  <c r="J20" i="14"/>
  <c r="K20" i="14" s="1"/>
  <c r="J43" i="14"/>
  <c r="K43" i="14" s="1"/>
  <c r="J42" i="14"/>
  <c r="K42" i="14" s="1"/>
  <c r="J41" i="14"/>
  <c r="K41" i="14"/>
  <c r="J40" i="14"/>
  <c r="K40" i="14" s="1"/>
  <c r="J39" i="14"/>
  <c r="K39" i="14"/>
  <c r="J38" i="14"/>
  <c r="K38" i="14" s="1"/>
  <c r="J37" i="14"/>
  <c r="K37" i="14"/>
  <c r="J36" i="14"/>
  <c r="K36" i="14" s="1"/>
  <c r="J35" i="14"/>
  <c r="J34" i="14"/>
  <c r="K34" i="14" s="1"/>
  <c r="J33" i="14"/>
  <c r="K33" i="14" s="1"/>
  <c r="J32" i="14"/>
  <c r="K32" i="14"/>
  <c r="J31" i="14"/>
  <c r="J30" i="14"/>
  <c r="K30" i="14" s="1"/>
  <c r="J29" i="14"/>
  <c r="K29" i="14" s="1"/>
  <c r="J28" i="14"/>
  <c r="K28" i="14" s="1"/>
  <c r="J27" i="14"/>
  <c r="K27" i="14" s="1"/>
  <c r="K35" i="14"/>
  <c r="K31" i="14"/>
  <c r="J26" i="14"/>
  <c r="K26" i="14" s="1"/>
  <c r="J25" i="14"/>
  <c r="J24" i="14"/>
  <c r="J23" i="14"/>
  <c r="J22" i="14"/>
  <c r="J19" i="14"/>
  <c r="K19" i="14" s="1"/>
  <c r="J18" i="14"/>
  <c r="J17" i="14"/>
  <c r="J16" i="14"/>
  <c r="J15" i="14"/>
  <c r="J14" i="14"/>
  <c r="J13" i="14"/>
  <c r="K13" i="14" s="1"/>
  <c r="J12" i="14"/>
  <c r="J11" i="14"/>
  <c r="K11" i="14" s="1"/>
  <c r="J10" i="14"/>
  <c r="K10" i="14" s="1"/>
  <c r="J9" i="14"/>
  <c r="K9" i="14" s="1"/>
  <c r="G44" i="14"/>
  <c r="I34" i="14"/>
  <c r="I43" i="14"/>
  <c r="I42" i="14"/>
  <c r="I41" i="14"/>
  <c r="I40" i="14"/>
  <c r="I39" i="14"/>
  <c r="I38" i="14"/>
  <c r="I37" i="14"/>
  <c r="I36" i="14"/>
  <c r="I35" i="14"/>
  <c r="I26" i="14"/>
  <c r="I25" i="14"/>
  <c r="I24" i="14"/>
  <c r="I23" i="14"/>
  <c r="I22" i="14"/>
  <c r="I19" i="14"/>
  <c r="I18" i="14"/>
  <c r="I17" i="14"/>
  <c r="I16" i="14"/>
  <c r="I14" i="14"/>
  <c r="I13" i="14"/>
  <c r="I12" i="14"/>
  <c r="I11" i="14"/>
  <c r="I10" i="14"/>
  <c r="I9" i="14"/>
  <c r="H51" i="13"/>
  <c r="F51" i="13"/>
  <c r="I51" i="13"/>
  <c r="G51" i="13"/>
  <c r="J50" i="13"/>
  <c r="K50" i="13" s="1"/>
  <c r="I50" i="13"/>
  <c r="J49" i="13"/>
  <c r="K49" i="13" s="1"/>
  <c r="J48" i="13"/>
  <c r="K48" i="13"/>
  <c r="I48" i="13"/>
  <c r="J47" i="13"/>
  <c r="K47" i="13" s="1"/>
  <c r="J46" i="13"/>
  <c r="K46" i="13"/>
  <c r="I46" i="13"/>
  <c r="J45" i="13"/>
  <c r="K45" i="13" s="1"/>
  <c r="I45" i="13"/>
  <c r="J44" i="13"/>
  <c r="I44" i="13"/>
  <c r="J43" i="13"/>
  <c r="I43" i="13"/>
  <c r="J42" i="13"/>
  <c r="J41" i="13"/>
  <c r="J40" i="13"/>
  <c r="K40" i="13"/>
  <c r="J39" i="13"/>
  <c r="K39" i="13"/>
  <c r="J38" i="13"/>
  <c r="K38" i="13"/>
  <c r="H37" i="13"/>
  <c r="G37" i="13"/>
  <c r="F37" i="13"/>
  <c r="I9" i="13" s="1"/>
  <c r="J36" i="13"/>
  <c r="K36" i="13" s="1"/>
  <c r="I36" i="13"/>
  <c r="J35" i="13"/>
  <c r="K35" i="13" s="1"/>
  <c r="J34" i="13"/>
  <c r="K34" i="13" s="1"/>
  <c r="I34" i="13"/>
  <c r="J33" i="13"/>
  <c r="K33" i="13" s="1"/>
  <c r="I33" i="13"/>
  <c r="J32" i="13"/>
  <c r="K32" i="13"/>
  <c r="I32" i="13"/>
  <c r="J31" i="13"/>
  <c r="K31" i="13" s="1"/>
  <c r="I31" i="13"/>
  <c r="J30" i="13"/>
  <c r="K30" i="13"/>
  <c r="I30" i="13"/>
  <c r="J29" i="13"/>
  <c r="K29" i="13" s="1"/>
  <c r="J28" i="13"/>
  <c r="K28" i="13"/>
  <c r="I28" i="13"/>
  <c r="J27" i="13"/>
  <c r="K27" i="13" s="1"/>
  <c r="I27" i="13"/>
  <c r="J26" i="13"/>
  <c r="K26" i="13" s="1"/>
  <c r="I26" i="13"/>
  <c r="J25" i="13"/>
  <c r="K25" i="13"/>
  <c r="I25" i="13"/>
  <c r="J24" i="13"/>
  <c r="I24" i="13"/>
  <c r="J23" i="13"/>
  <c r="I23" i="13"/>
  <c r="J22" i="13"/>
  <c r="I22" i="13"/>
  <c r="J21" i="13"/>
  <c r="I21" i="13"/>
  <c r="J20" i="13"/>
  <c r="K20" i="13"/>
  <c r="I20" i="13"/>
  <c r="J19" i="13"/>
  <c r="K19" i="13"/>
  <c r="J18" i="13"/>
  <c r="K18" i="13"/>
  <c r="I18" i="13"/>
  <c r="J17" i="13"/>
  <c r="I17" i="13"/>
  <c r="J16" i="13"/>
  <c r="I16" i="13"/>
  <c r="J15" i="13"/>
  <c r="I15" i="13"/>
  <c r="J14" i="13"/>
  <c r="I14" i="13"/>
  <c r="J13" i="13"/>
  <c r="K13" i="13"/>
  <c r="J12" i="13"/>
  <c r="K12" i="13" s="1"/>
  <c r="J11" i="13"/>
  <c r="K11" i="13"/>
  <c r="J10" i="13"/>
  <c r="K10" i="13" s="1"/>
  <c r="J9" i="13"/>
  <c r="K9" i="13" s="1"/>
  <c r="F37" i="12"/>
  <c r="F52" i="12" s="1"/>
  <c r="F51" i="12"/>
  <c r="H51" i="12"/>
  <c r="H52" i="12" s="1"/>
  <c r="I51" i="12"/>
  <c r="G51" i="12"/>
  <c r="J50" i="12"/>
  <c r="K50" i="12" s="1"/>
  <c r="I50" i="12"/>
  <c r="J49" i="12"/>
  <c r="K49" i="12" s="1"/>
  <c r="I49" i="12"/>
  <c r="J48" i="12"/>
  <c r="K48" i="12" s="1"/>
  <c r="I48" i="12"/>
  <c r="J47" i="12"/>
  <c r="K47" i="12"/>
  <c r="I47" i="12"/>
  <c r="J46" i="12"/>
  <c r="K46" i="12"/>
  <c r="J45" i="12"/>
  <c r="K45" i="12" s="1"/>
  <c r="I45" i="12"/>
  <c r="J44" i="12"/>
  <c r="I44" i="12"/>
  <c r="J43" i="12"/>
  <c r="I43" i="12"/>
  <c r="J42" i="12"/>
  <c r="K42" i="12"/>
  <c r="J41" i="12"/>
  <c r="K41" i="12"/>
  <c r="J40" i="12"/>
  <c r="K40" i="12"/>
  <c r="J39" i="12"/>
  <c r="K39" i="12"/>
  <c r="J38" i="12"/>
  <c r="K38" i="12"/>
  <c r="H37" i="12"/>
  <c r="G37" i="12"/>
  <c r="G52" i="12"/>
  <c r="J36" i="12"/>
  <c r="K36" i="12" s="1"/>
  <c r="I36" i="12"/>
  <c r="J35" i="12"/>
  <c r="K35" i="12" s="1"/>
  <c r="J34" i="12"/>
  <c r="K34" i="12" s="1"/>
  <c r="I34" i="12"/>
  <c r="J33" i="12"/>
  <c r="K33" i="12" s="1"/>
  <c r="I33" i="12"/>
  <c r="J32" i="12"/>
  <c r="K32" i="12"/>
  <c r="I32" i="12"/>
  <c r="J31" i="12"/>
  <c r="K31" i="12" s="1"/>
  <c r="I31" i="12"/>
  <c r="J30" i="12"/>
  <c r="K30" i="12"/>
  <c r="I30" i="12"/>
  <c r="J29" i="12"/>
  <c r="K29" i="12" s="1"/>
  <c r="J28" i="12"/>
  <c r="K28" i="12"/>
  <c r="I28" i="12"/>
  <c r="J27" i="12"/>
  <c r="K27" i="12" s="1"/>
  <c r="I27" i="12"/>
  <c r="J26" i="12"/>
  <c r="K26" i="12" s="1"/>
  <c r="I26" i="12"/>
  <c r="J25" i="12"/>
  <c r="K25" i="12"/>
  <c r="I25" i="12"/>
  <c r="J24" i="12"/>
  <c r="I24" i="12"/>
  <c r="J23" i="12"/>
  <c r="I23" i="12"/>
  <c r="J22" i="12"/>
  <c r="I22" i="12"/>
  <c r="J21" i="12"/>
  <c r="I21" i="12"/>
  <c r="J20" i="12"/>
  <c r="K20" i="12" s="1"/>
  <c r="I20" i="12"/>
  <c r="J19" i="12"/>
  <c r="K19" i="12" s="1"/>
  <c r="J18" i="12"/>
  <c r="K18" i="12" s="1"/>
  <c r="I18" i="12"/>
  <c r="J17" i="12"/>
  <c r="I17" i="12"/>
  <c r="J16" i="12"/>
  <c r="I16" i="12"/>
  <c r="J15" i="12"/>
  <c r="I15" i="12"/>
  <c r="J14" i="12"/>
  <c r="I14" i="12"/>
  <c r="J13" i="12"/>
  <c r="J12" i="12"/>
  <c r="K12" i="12" s="1"/>
  <c r="J11" i="12"/>
  <c r="J10" i="12"/>
  <c r="K10" i="12" s="1"/>
  <c r="J9" i="12"/>
  <c r="G52" i="11"/>
  <c r="J48" i="11"/>
  <c r="K48" i="11" s="1"/>
  <c r="I48" i="11"/>
  <c r="J47" i="11"/>
  <c r="K47" i="11" s="1"/>
  <c r="J46" i="11"/>
  <c r="K46" i="11" s="1"/>
  <c r="I46" i="11"/>
  <c r="J45" i="11"/>
  <c r="I45" i="11"/>
  <c r="J43" i="11"/>
  <c r="I43" i="11"/>
  <c r="J42" i="11"/>
  <c r="K42" i="11" s="1"/>
  <c r="J41" i="11"/>
  <c r="K41" i="11" s="1"/>
  <c r="J40" i="11"/>
  <c r="K40" i="11"/>
  <c r="J39" i="11"/>
  <c r="K39" i="11"/>
  <c r="J38" i="11"/>
  <c r="K38" i="11" s="1"/>
  <c r="G37" i="11"/>
  <c r="G53" i="11" s="1"/>
  <c r="J36" i="11"/>
  <c r="K36" i="11" s="1"/>
  <c r="I36" i="11"/>
  <c r="J35" i="11"/>
  <c r="K35" i="11" s="1"/>
  <c r="I35" i="11"/>
  <c r="J34" i="11"/>
  <c r="K34" i="11" s="1"/>
  <c r="I34" i="11"/>
  <c r="J33" i="11"/>
  <c r="K33" i="11" s="1"/>
  <c r="I33" i="11"/>
  <c r="J32" i="11"/>
  <c r="K32" i="11" s="1"/>
  <c r="I32" i="11"/>
  <c r="J31" i="11"/>
  <c r="K31" i="11" s="1"/>
  <c r="I31" i="11"/>
  <c r="J30" i="11"/>
  <c r="K30" i="11" s="1"/>
  <c r="I30" i="11"/>
  <c r="J29" i="11"/>
  <c r="K29" i="11" s="1"/>
  <c r="I29" i="11"/>
  <c r="J28" i="11"/>
  <c r="K28" i="11"/>
  <c r="I28" i="11"/>
  <c r="J27" i="11"/>
  <c r="K27" i="11" s="1"/>
  <c r="I27" i="11"/>
  <c r="J26" i="11"/>
  <c r="K26" i="11" s="1"/>
  <c r="I26" i="11"/>
  <c r="J25" i="11"/>
  <c r="K25" i="11"/>
  <c r="I25" i="11"/>
  <c r="J24" i="11"/>
  <c r="I24" i="11"/>
  <c r="J23" i="11"/>
  <c r="I23" i="11"/>
  <c r="J22" i="11"/>
  <c r="I22" i="11"/>
  <c r="J21" i="11"/>
  <c r="I21" i="11"/>
  <c r="J20" i="11"/>
  <c r="K20" i="11"/>
  <c r="I20" i="11"/>
  <c r="J19" i="11"/>
  <c r="K19" i="11" s="1"/>
  <c r="I19" i="11"/>
  <c r="J18" i="11"/>
  <c r="K18" i="11"/>
  <c r="I18" i="11"/>
  <c r="J17" i="11"/>
  <c r="I17" i="11"/>
  <c r="J16" i="11"/>
  <c r="I16" i="11"/>
  <c r="J15" i="11"/>
  <c r="I15" i="11"/>
  <c r="J14" i="11"/>
  <c r="J37" i="11" s="1"/>
  <c r="I14" i="11"/>
  <c r="J13" i="11"/>
  <c r="J12" i="11"/>
  <c r="K12" i="11"/>
  <c r="J11" i="11"/>
  <c r="J10" i="11"/>
  <c r="K10" i="11" s="1"/>
  <c r="J9" i="11"/>
  <c r="K9" i="11" s="1"/>
  <c r="G54" i="1"/>
  <c r="G37" i="1"/>
  <c r="G55" i="1" s="1"/>
  <c r="I34" i="9"/>
  <c r="H34" i="9"/>
  <c r="G34" i="9"/>
  <c r="I24" i="9"/>
  <c r="H24" i="9"/>
  <c r="G24" i="9"/>
  <c r="I34" i="8"/>
  <c r="H34" i="8"/>
  <c r="G34" i="8"/>
  <c r="I24" i="8"/>
  <c r="H24" i="8"/>
  <c r="G24" i="8"/>
  <c r="N35" i="2"/>
  <c r="M35" i="2"/>
  <c r="K35" i="2"/>
  <c r="J35" i="2"/>
  <c r="H35" i="2"/>
  <c r="G35" i="2"/>
  <c r="H24" i="2"/>
  <c r="G24" i="2"/>
  <c r="N24" i="2"/>
  <c r="M24" i="2"/>
  <c r="K24" i="2"/>
  <c r="J24" i="2"/>
  <c r="K35" i="7"/>
  <c r="J35" i="7"/>
  <c r="H35" i="7"/>
  <c r="G35" i="7"/>
  <c r="G52" i="13"/>
  <c r="H52" i="13"/>
  <c r="I37" i="13"/>
  <c r="K41" i="13"/>
  <c r="I42" i="13"/>
  <c r="I38" i="13"/>
  <c r="I39" i="13"/>
  <c r="I41" i="13"/>
  <c r="I40" i="13"/>
  <c r="I10" i="13"/>
  <c r="I13" i="13"/>
  <c r="I11" i="13"/>
  <c r="K42" i="13"/>
  <c r="I11" i="12"/>
  <c r="I12" i="12"/>
  <c r="I41" i="12"/>
  <c r="I39" i="12"/>
  <c r="I42" i="12"/>
  <c r="I40" i="12"/>
  <c r="I38" i="12"/>
  <c r="I12" i="11"/>
  <c r="I9" i="11"/>
  <c r="I40" i="11"/>
  <c r="I39" i="11"/>
  <c r="I42" i="11"/>
  <c r="I38" i="11"/>
  <c r="I41" i="11"/>
  <c r="K12" i="14"/>
  <c r="J51" i="12"/>
  <c r="K51" i="12" s="1"/>
  <c r="J52" i="11"/>
  <c r="K52" i="11" s="1"/>
  <c r="J24" i="7"/>
  <c r="K24" i="7"/>
  <c r="H24" i="7"/>
  <c r="G24" i="7"/>
  <c r="K36" i="7"/>
  <c r="J36" i="7"/>
  <c r="H36" i="7"/>
  <c r="G36" i="7"/>
  <c r="H35" i="9"/>
  <c r="I35" i="9"/>
  <c r="F34" i="9"/>
  <c r="J33" i="9"/>
  <c r="J32" i="9"/>
  <c r="J31" i="9"/>
  <c r="J34" i="9" s="1"/>
  <c r="J30" i="9"/>
  <c r="J29" i="9"/>
  <c r="J28" i="9"/>
  <c r="J27" i="9"/>
  <c r="J26" i="9"/>
  <c r="J25" i="9"/>
  <c r="G35" i="9"/>
  <c r="F24" i="9"/>
  <c r="J23" i="9"/>
  <c r="J22" i="9"/>
  <c r="J21" i="9"/>
  <c r="J20" i="9"/>
  <c r="J19" i="9"/>
  <c r="J18" i="9"/>
  <c r="J17" i="9"/>
  <c r="J16" i="9"/>
  <c r="J15" i="9"/>
  <c r="J14" i="9"/>
  <c r="J13" i="9"/>
  <c r="J12" i="9"/>
  <c r="J11" i="9"/>
  <c r="J24" i="9" s="1"/>
  <c r="J35" i="9" s="1"/>
  <c r="J10" i="9"/>
  <c r="J9" i="9"/>
  <c r="J33" i="8"/>
  <c r="J32" i="8"/>
  <c r="J31" i="8"/>
  <c r="J30" i="8"/>
  <c r="J29" i="8"/>
  <c r="J28" i="8"/>
  <c r="J27" i="8"/>
  <c r="J26" i="8"/>
  <c r="J25" i="8"/>
  <c r="J34" i="8" s="1"/>
  <c r="J23" i="8"/>
  <c r="J22" i="8"/>
  <c r="J21" i="8"/>
  <c r="J20" i="8"/>
  <c r="J19" i="8"/>
  <c r="J18" i="8"/>
  <c r="J17" i="8"/>
  <c r="J16" i="8"/>
  <c r="J15" i="8"/>
  <c r="J14" i="8"/>
  <c r="J13" i="8"/>
  <c r="J12" i="8"/>
  <c r="J11" i="8"/>
  <c r="J24" i="8" s="1"/>
  <c r="J10" i="8"/>
  <c r="J9" i="8"/>
  <c r="F34" i="8"/>
  <c r="I35" i="8"/>
  <c r="G35" i="8"/>
  <c r="F24" i="8"/>
  <c r="I9" i="7"/>
  <c r="I10" i="7"/>
  <c r="I11" i="7"/>
  <c r="I12" i="7"/>
  <c r="I13" i="7"/>
  <c r="I14" i="7"/>
  <c r="I15" i="7"/>
  <c r="I16" i="7"/>
  <c r="I17" i="7"/>
  <c r="I18" i="7"/>
  <c r="I19" i="7"/>
  <c r="I20" i="7"/>
  <c r="I21" i="7"/>
  <c r="I22" i="7"/>
  <c r="M22" i="7" s="1"/>
  <c r="I23" i="7"/>
  <c r="I24" i="7"/>
  <c r="I25" i="7"/>
  <c r="I35" i="7" s="1"/>
  <c r="I36" i="7" s="1"/>
  <c r="I27" i="7"/>
  <c r="I28" i="7"/>
  <c r="I29" i="7"/>
  <c r="I30" i="7"/>
  <c r="I32" i="7"/>
  <c r="I33" i="7"/>
  <c r="P35" i="7"/>
  <c r="O35" i="7"/>
  <c r="N35" i="7"/>
  <c r="P24" i="7"/>
  <c r="O24" i="7"/>
  <c r="N24" i="7"/>
  <c r="F24" i="7"/>
  <c r="F36" i="7"/>
  <c r="L33" i="7"/>
  <c r="M33" i="7" s="1"/>
  <c r="L32" i="7"/>
  <c r="M32" i="7" s="1"/>
  <c r="L30" i="7"/>
  <c r="L29" i="7"/>
  <c r="L28" i="7"/>
  <c r="M28" i="7" s="1"/>
  <c r="L27" i="7"/>
  <c r="L25" i="7"/>
  <c r="M25" i="7" s="1"/>
  <c r="L23" i="7"/>
  <c r="L22" i="7"/>
  <c r="L21" i="7"/>
  <c r="M21" i="7" s="1"/>
  <c r="L20" i="7"/>
  <c r="L19" i="7"/>
  <c r="L18" i="7"/>
  <c r="L17" i="7"/>
  <c r="M17" i="7" s="1"/>
  <c r="L16" i="7"/>
  <c r="M16" i="7" s="1"/>
  <c r="L15" i="7"/>
  <c r="L14" i="7"/>
  <c r="M14" i="7" s="1"/>
  <c r="L13" i="7"/>
  <c r="L12" i="7"/>
  <c r="L11" i="7"/>
  <c r="L10" i="7"/>
  <c r="L9" i="7"/>
  <c r="H27" i="6"/>
  <c r="G27" i="6"/>
  <c r="I26" i="6"/>
  <c r="I25" i="6"/>
  <c r="I24" i="6"/>
  <c r="I23" i="6"/>
  <c r="I22" i="6"/>
  <c r="I21" i="6"/>
  <c r="I20" i="6"/>
  <c r="I19" i="6"/>
  <c r="I18" i="6"/>
  <c r="I17" i="6"/>
  <c r="I16" i="6"/>
  <c r="I15" i="6"/>
  <c r="I14" i="6"/>
  <c r="I13" i="6"/>
  <c r="I12" i="6"/>
  <c r="I11" i="6"/>
  <c r="I27" i="6" s="1"/>
  <c r="I10" i="6"/>
  <c r="I9" i="6"/>
  <c r="H26" i="5"/>
  <c r="G26" i="5"/>
  <c r="I25" i="5"/>
  <c r="I24" i="5"/>
  <c r="I23" i="5"/>
  <c r="I22" i="5"/>
  <c r="I21" i="5"/>
  <c r="I20" i="5"/>
  <c r="I19" i="5"/>
  <c r="I18" i="5"/>
  <c r="I17" i="5"/>
  <c r="I16" i="5"/>
  <c r="I15" i="5"/>
  <c r="I14" i="5"/>
  <c r="I13" i="5"/>
  <c r="I12" i="5"/>
  <c r="I11" i="5"/>
  <c r="I10" i="5"/>
  <c r="I9" i="5"/>
  <c r="F35" i="9"/>
  <c r="F35" i="8"/>
  <c r="H35" i="8"/>
  <c r="M11" i="7"/>
  <c r="M9" i="7"/>
  <c r="M10" i="7"/>
  <c r="M12" i="7"/>
  <c r="M13" i="7"/>
  <c r="M15" i="7"/>
  <c r="M18" i="7"/>
  <c r="M19" i="7"/>
  <c r="J53" i="1"/>
  <c r="K53" i="1" s="1"/>
  <c r="I53" i="1"/>
  <c r="M36" i="2"/>
  <c r="J36" i="2"/>
  <c r="F24" i="2"/>
  <c r="O34" i="2"/>
  <c r="P34" i="2" s="1"/>
  <c r="L34" i="2"/>
  <c r="I9" i="1"/>
  <c r="I39" i="1"/>
  <c r="I42" i="1"/>
  <c r="I38" i="1"/>
  <c r="I41" i="1"/>
  <c r="I40" i="1"/>
  <c r="M20" i="7"/>
  <c r="L23" i="3"/>
  <c r="F36" i="2"/>
  <c r="K36" i="2"/>
  <c r="G36" i="2"/>
  <c r="H36" i="2"/>
  <c r="N36" i="2"/>
  <c r="K23" i="3"/>
  <c r="F23" i="3"/>
  <c r="E23" i="3"/>
  <c r="B23" i="3"/>
  <c r="I23" i="3"/>
  <c r="D23" i="3"/>
  <c r="O23" i="3"/>
  <c r="N23" i="3"/>
  <c r="H23" i="3"/>
  <c r="C23" i="3"/>
  <c r="P13" i="3"/>
  <c r="P12" i="3"/>
  <c r="P11" i="3"/>
  <c r="P14" i="3"/>
  <c r="J52" i="1"/>
  <c r="K52" i="1" s="1"/>
  <c r="J51" i="1"/>
  <c r="K51" i="1"/>
  <c r="J47" i="1"/>
  <c r="K47" i="1" s="1"/>
  <c r="J46" i="1"/>
  <c r="K46" i="1"/>
  <c r="J45" i="1"/>
  <c r="K45" i="1" s="1"/>
  <c r="J44" i="1"/>
  <c r="J43" i="1"/>
  <c r="J42" i="1"/>
  <c r="K42" i="1" s="1"/>
  <c r="J41" i="1"/>
  <c r="K41" i="1" s="1"/>
  <c r="J40" i="1"/>
  <c r="K40" i="1" s="1"/>
  <c r="J39" i="1"/>
  <c r="K39" i="1" s="1"/>
  <c r="J38" i="1"/>
  <c r="J36" i="1"/>
  <c r="K36" i="1" s="1"/>
  <c r="J35" i="1"/>
  <c r="K35" i="1" s="1"/>
  <c r="J34" i="1"/>
  <c r="K34" i="1"/>
  <c r="J33" i="1"/>
  <c r="K33" i="1" s="1"/>
  <c r="J32" i="1"/>
  <c r="K32" i="1" s="1"/>
  <c r="J31" i="1"/>
  <c r="K31" i="1" s="1"/>
  <c r="J30" i="1"/>
  <c r="K30" i="1"/>
  <c r="J29" i="1"/>
  <c r="K29" i="1" s="1"/>
  <c r="J28" i="1"/>
  <c r="K28" i="1" s="1"/>
  <c r="J27" i="1"/>
  <c r="K27" i="1" s="1"/>
  <c r="J26" i="1"/>
  <c r="K26" i="1"/>
  <c r="J25" i="1"/>
  <c r="K25" i="1" s="1"/>
  <c r="J24" i="1"/>
  <c r="J23" i="1"/>
  <c r="J22" i="1"/>
  <c r="J21" i="1"/>
  <c r="J20" i="1"/>
  <c r="K20" i="1"/>
  <c r="J19" i="1"/>
  <c r="K19" i="1" s="1"/>
  <c r="J18" i="1"/>
  <c r="K18" i="1" s="1"/>
  <c r="J17" i="1"/>
  <c r="J16" i="1"/>
  <c r="J15" i="1"/>
  <c r="J14" i="1"/>
  <c r="J13" i="1"/>
  <c r="K13" i="1" s="1"/>
  <c r="J12" i="1"/>
  <c r="J11" i="1"/>
  <c r="K11" i="1"/>
  <c r="J10" i="1"/>
  <c r="J9" i="1"/>
  <c r="I51" i="1"/>
  <c r="I47" i="1"/>
  <c r="I45" i="1"/>
  <c r="I44" i="1"/>
  <c r="I43" i="1"/>
  <c r="I36" i="1"/>
  <c r="I34" i="1"/>
  <c r="I33" i="1"/>
  <c r="I32" i="1"/>
  <c r="I31" i="1"/>
  <c r="I30" i="1"/>
  <c r="I28" i="1"/>
  <c r="I27" i="1"/>
  <c r="I26" i="1"/>
  <c r="I25" i="1"/>
  <c r="I24" i="1"/>
  <c r="I23" i="1"/>
  <c r="I22" i="1"/>
  <c r="I21" i="1"/>
  <c r="I20" i="1"/>
  <c r="I18" i="1"/>
  <c r="I17" i="1"/>
  <c r="I16" i="1"/>
  <c r="I15" i="1"/>
  <c r="I14" i="1"/>
  <c r="O32" i="2"/>
  <c r="O31" i="2"/>
  <c r="O29" i="2"/>
  <c r="O28" i="2"/>
  <c r="P28" i="2" s="1"/>
  <c r="O27" i="2"/>
  <c r="P27" i="2" s="1"/>
  <c r="O26" i="2"/>
  <c r="O25" i="2"/>
  <c r="P25" i="2" s="1"/>
  <c r="O23" i="2"/>
  <c r="O22" i="2"/>
  <c r="O21" i="2"/>
  <c r="O20" i="2"/>
  <c r="O19" i="2"/>
  <c r="O18" i="2"/>
  <c r="P18" i="2" s="1"/>
  <c r="L18" i="2"/>
  <c r="O17" i="2"/>
  <c r="P17" i="2" s="1"/>
  <c r="O16" i="2"/>
  <c r="O15" i="2"/>
  <c r="O14" i="2"/>
  <c r="L14" i="2"/>
  <c r="P14" i="2"/>
  <c r="O13" i="2"/>
  <c r="O12" i="2"/>
  <c r="O24" i="2" s="1"/>
  <c r="O36" i="2" s="1"/>
  <c r="O11" i="2"/>
  <c r="P11" i="2" s="1"/>
  <c r="O10" i="2"/>
  <c r="L10" i="2"/>
  <c r="P10" i="2"/>
  <c r="O9" i="2"/>
  <c r="L32" i="2"/>
  <c r="P32" i="2" s="1"/>
  <c r="L31" i="2"/>
  <c r="L29" i="2"/>
  <c r="L28" i="2"/>
  <c r="L27" i="2"/>
  <c r="L26" i="2"/>
  <c r="L25" i="2"/>
  <c r="L35" i="2" s="1"/>
  <c r="L23" i="2"/>
  <c r="L22" i="2"/>
  <c r="P22" i="2" s="1"/>
  <c r="L21" i="2"/>
  <c r="L20" i="2"/>
  <c r="L19" i="2"/>
  <c r="L17" i="2"/>
  <c r="L16" i="2"/>
  <c r="L15" i="2"/>
  <c r="P15" i="2" s="1"/>
  <c r="L13" i="2"/>
  <c r="P13" i="2" s="1"/>
  <c r="L12" i="2"/>
  <c r="L11" i="2"/>
  <c r="L9" i="2"/>
  <c r="P9" i="2" s="1"/>
  <c r="P24" i="2" s="1"/>
  <c r="P26" i="2"/>
  <c r="P31" i="2"/>
  <c r="P29" i="2"/>
  <c r="P21" i="2"/>
  <c r="P19" i="2"/>
  <c r="P23" i="2"/>
  <c r="P12" i="2"/>
  <c r="P20" i="2"/>
  <c r="O35" i="2"/>
  <c r="K9" i="1"/>
  <c r="M23" i="7"/>
  <c r="M23" i="3"/>
  <c r="J23" i="3"/>
  <c r="G23" i="3"/>
  <c r="P10" i="3"/>
  <c r="M27" i="7"/>
  <c r="M29" i="7"/>
  <c r="M30" i="7"/>
  <c r="J35" i="8" l="1"/>
  <c r="J54" i="1"/>
  <c r="K54" i="1" s="1"/>
  <c r="J37" i="1"/>
  <c r="K37" i="1" s="1"/>
  <c r="I36" i="2"/>
  <c r="P35" i="2"/>
  <c r="P36" i="2" s="1"/>
  <c r="L24" i="2"/>
  <c r="L36" i="2" s="1"/>
  <c r="M35" i="7"/>
  <c r="M36" i="7" s="1"/>
  <c r="M24" i="7"/>
  <c r="L35" i="7"/>
  <c r="L24" i="7"/>
  <c r="J37" i="16"/>
  <c r="K37" i="16" s="1"/>
  <c r="K10" i="15"/>
  <c r="J44" i="14"/>
  <c r="K44" i="14" s="1"/>
  <c r="I26" i="5"/>
  <c r="P17" i="3"/>
  <c r="P23" i="3" s="1"/>
  <c r="J51" i="13"/>
  <c r="K51" i="13" s="1"/>
  <c r="J37" i="13"/>
  <c r="I12" i="13"/>
  <c r="F52" i="13"/>
  <c r="I52" i="13" s="1"/>
  <c r="I52" i="12"/>
  <c r="J37" i="12"/>
  <c r="I37" i="12"/>
  <c r="K11" i="12"/>
  <c r="I9" i="12"/>
  <c r="K9" i="12"/>
  <c r="I13" i="12"/>
  <c r="K13" i="12"/>
  <c r="I10" i="12"/>
  <c r="I10" i="1"/>
  <c r="I13" i="1"/>
  <c r="K38" i="1"/>
  <c r="I11" i="1"/>
  <c r="F55" i="1"/>
  <c r="I55" i="1" s="1"/>
  <c r="K10" i="1"/>
  <c r="K12" i="1"/>
  <c r="K37" i="11"/>
  <c r="J53" i="11"/>
  <c r="K53" i="11" s="1"/>
  <c r="I13" i="11"/>
  <c r="K11" i="11"/>
  <c r="K13" i="11"/>
  <c r="I10" i="11"/>
  <c r="I11" i="11"/>
  <c r="I37" i="11"/>
  <c r="J43" i="15"/>
  <c r="K43" i="15" s="1"/>
  <c r="K12" i="15"/>
  <c r="K13" i="15"/>
  <c r="J55" i="1" l="1"/>
  <c r="K55" i="1" s="1"/>
  <c r="L36" i="7"/>
  <c r="K37" i="13"/>
  <c r="J52" i="13"/>
  <c r="K52" i="13" s="1"/>
  <c r="J52" i="12"/>
  <c r="K52" i="12" s="1"/>
  <c r="K37" i="12"/>
</calcChain>
</file>

<file path=xl/sharedStrings.xml><?xml version="1.0" encoding="utf-8"?>
<sst xmlns="http://schemas.openxmlformats.org/spreadsheetml/2006/main" count="2500" uniqueCount="214">
  <si>
    <t>Summary of Proposed Budget by Fiscal Year</t>
  </si>
  <si>
    <t>Educational Testing Service</t>
  </si>
  <si>
    <t>September 30, 2018</t>
  </si>
  <si>
    <t>California Department of Education</t>
  </si>
  <si>
    <t>CN150012, Amendment 6</t>
  </si>
  <si>
    <t>All CAASPP Test Administration Cycle</t>
  </si>
  <si>
    <t>Test Administration Year</t>
  </si>
  <si>
    <t>Fiscal Year 2015–16
(7/1/15 to 6/30/16)</t>
  </si>
  <si>
    <t>Fiscal Year 2016-17 
(7/1/16 to 6/30/17)</t>
  </si>
  <si>
    <t>Fiscal Year 2017-18 
(7/1/17 to 6/30/18)</t>
  </si>
  <si>
    <t>Fiscal Year 2018–19
(7/1/18 to 6/30/19)</t>
  </si>
  <si>
    <t>Fiscal Year 2018-19 Amend 6</t>
  </si>
  <si>
    <t>Revised Fiscal Year 2018-19</t>
  </si>
  <si>
    <t>Fiscal Year 2019-20 
(7/1/19 to 6/30/20)</t>
  </si>
  <si>
    <t>Fiscal Year 2019-20 Amend 6</t>
  </si>
  <si>
    <t>Revised Fiscal Year 2019-20</t>
  </si>
  <si>
    <t>Fiscal Year 2020-21 
(7/1/20 to 6/30/21)</t>
  </si>
  <si>
    <t>Fiscal Year 2020-21 Amend 6</t>
  </si>
  <si>
    <t>Revised Fiscal Year 2020-21</t>
  </si>
  <si>
    <t>Fiscal Year 2021-22 
(7/1/21 to 6/30/22)</t>
  </si>
  <si>
    <t>Fiscal Year 2022-23 
(7/1/22 to 12/31/22)</t>
  </si>
  <si>
    <t>Total Costs</t>
  </si>
  <si>
    <t>2015–16 CAASPP</t>
  </si>
  <si>
    <t>2016–17 CAASPP</t>
  </si>
  <si>
    <t>2017–18 CAASPP</t>
  </si>
  <si>
    <t>2018–19 CAASPP</t>
  </si>
  <si>
    <t>2019–20 CAASPP</t>
  </si>
  <si>
    <t>2020–21 CAASPP</t>
  </si>
  <si>
    <t>2021–22 CAASPP</t>
  </si>
  <si>
    <t>Subtotal CAASPP</t>
  </si>
  <si>
    <t>2018–19 ELPAC</t>
  </si>
  <si>
    <t>2019–20 ELPAC</t>
  </si>
  <si>
    <t>2020–21 ELPAC</t>
  </si>
  <si>
    <t>2021–22 ELPAC</t>
  </si>
  <si>
    <t>Subtotal ELPAC</t>
  </si>
  <si>
    <t>Total All Administrations</t>
  </si>
  <si>
    <t>Proposed Budget by Fiscal Year - 2015-16 Test Administration Cycle</t>
  </si>
  <si>
    <t>Legend: CBA = Computer-Based Assessment, P = Paper-pencil testing, HS = high school</t>
  </si>
  <si>
    <t>Area</t>
  </si>
  <si>
    <t>Description</t>
  </si>
  <si>
    <t>Tasks</t>
  </si>
  <si>
    <t>Type of Test</t>
  </si>
  <si>
    <t>Grades
to be
Tested</t>
  </si>
  <si>
    <t>Estimated Number of Test Takers</t>
  </si>
  <si>
    <t>Fiscal Year
2015–16
(7/1/15 to 6/30/16)</t>
  </si>
  <si>
    <t>Fiscal Year 2016-17 (7/1/16 to 12/31/16)</t>
  </si>
  <si>
    <t>Administrative and Program Supports</t>
  </si>
  <si>
    <t>Comprehensive Plan and Schedule</t>
  </si>
  <si>
    <t>N/A</t>
  </si>
  <si>
    <t>Program Support Services(Smarter Interim included under test admin)</t>
  </si>
  <si>
    <t>Technology Services</t>
  </si>
  <si>
    <t>Test Security Measures</t>
  </si>
  <si>
    <t>Accessibility and Accommodations</t>
  </si>
  <si>
    <t>Assessment Development</t>
  </si>
  <si>
    <t xml:space="preserve">CAA for ELA and mathematics  </t>
  </si>
  <si>
    <t>CBA</t>
  </si>
  <si>
    <t>3–8, 11</t>
  </si>
  <si>
    <t>CCSS-aligned Alternate Assessments: California Alternate Assessments for ELA and Mathematics--Incorporate and modify appropriate items from other sources as referenced in Task 6.1 per State Board approval March 2016.</t>
  </si>
  <si>
    <t xml:space="preserve">CAST  </t>
  </si>
  <si>
    <t>TBD</t>
  </si>
  <si>
    <t xml:space="preserve">CAA for Science  </t>
  </si>
  <si>
    <t xml:space="preserve">CSA  </t>
  </si>
  <si>
    <t>3–11</t>
  </si>
  <si>
    <t>Test Administration, Scoring, and Reporting</t>
  </si>
  <si>
    <t xml:space="preserve">Smarter Balanced Summative Assessments </t>
  </si>
  <si>
    <t>7, 8, 9</t>
  </si>
  <si>
    <t>Test Administration, Scoring, and Reporting; Interim Assessments</t>
  </si>
  <si>
    <t>Smarter Balanced Interim Assessments</t>
  </si>
  <si>
    <t>2, 7, 8, 9</t>
  </si>
  <si>
    <t>K–12</t>
  </si>
  <si>
    <t>CAA for ELA and mathematics</t>
  </si>
  <si>
    <t>P</t>
  </si>
  <si>
    <t>CST and CMA Science Assessments</t>
  </si>
  <si>
    <t>5, 8, 10</t>
  </si>
  <si>
    <t>CAPA Science Assessments</t>
  </si>
  <si>
    <t>STS Primary Language Assessment</t>
  </si>
  <si>
    <t>2–11</t>
  </si>
  <si>
    <t>Total cost for 2015–16 test administration cycle</t>
  </si>
  <si>
    <t>2015-16 Test Administration Summary</t>
  </si>
  <si>
    <t>Legend: CBA = Computer-based Assessment, P = Paper-pencil testing, HS = high school</t>
  </si>
  <si>
    <t>Column A: 
Task</t>
  </si>
  <si>
    <t xml:space="preserve">Column B: 
Test Type </t>
  </si>
  <si>
    <t xml:space="preserve">Column C: 
Subjects </t>
  </si>
  <si>
    <t>Column D: 
Grades
to be
Tested</t>
  </si>
  <si>
    <t>Column F: 
Fixed Costs</t>
  </si>
  <si>
    <t>Column G: 
Per Pupil Costs</t>
  </si>
  <si>
    <t>Column H: 
Per Pupil Rate 
(Column G divided by Column E)</t>
  </si>
  <si>
    <t>Column I: 
Total Costs
(Column F plus Column G)</t>
  </si>
  <si>
    <t>Column J: 
Total Per Pupil Cost 
(Column I divided by Column E )</t>
  </si>
  <si>
    <t>Administration and Program Supports: Comprehensive Plan and Schedule</t>
  </si>
  <si>
    <t>Administration and Program Supports: Program Support Services (Smarter Interim included under test admin)</t>
  </si>
  <si>
    <t>Administration and Program Supports: Technology Services</t>
  </si>
  <si>
    <t>Administration and Program Supports: Test Security Measures</t>
  </si>
  <si>
    <t>Administration and Program Supports: Accessibility and Accommodations</t>
  </si>
  <si>
    <t>CAA for ELA and Mathematics   Assessment Development</t>
  </si>
  <si>
    <t>ELA, Math</t>
  </si>
  <si>
    <t>CCSS-aligned Alternate Assessments: California Alternate Assessments for ELA and Mathematics--Incorporate and modifiy appropriate items from other sources as referenced in Task 6.1 per State Board approval March 2016.</t>
  </si>
  <si>
    <t>CAST   Assessment Development</t>
  </si>
  <si>
    <t>Science</t>
  </si>
  <si>
    <t>5, 8, HS</t>
  </si>
  <si>
    <t>CAA for Science   Assessment Development</t>
  </si>
  <si>
    <t>CSA   Assessment Development</t>
  </si>
  <si>
    <t>RLA</t>
  </si>
  <si>
    <t>Smarter Balanced Summative Assessments: Test Administration</t>
  </si>
  <si>
    <t>3-8, 11</t>
  </si>
  <si>
    <t>Smarter Balanced Summative Assessments: Scoring</t>
  </si>
  <si>
    <t>Smarter Balanced Summative Assessments: Reporting</t>
  </si>
  <si>
    <t>Smarter Balanced Interim Assessments: General</t>
  </si>
  <si>
    <t>Smarter Balanced Interim Assessments: Test Administration</t>
  </si>
  <si>
    <t>Smarter Balanced Interim Assessments: Scoring</t>
  </si>
  <si>
    <t>Smarter Balanced Interim Assessments: Reporting</t>
  </si>
  <si>
    <t>CAA for ELA and Mathematics: Test Administration</t>
  </si>
  <si>
    <t>CAA for ELA and Mathematics: Scoring</t>
  </si>
  <si>
    <t>CAA for ELA and Mathematics: Reporting</t>
  </si>
  <si>
    <t>Proposed Budget by Fiscal Year - 2016-17 Test Administration Cycle</t>
  </si>
  <si>
    <t>Fiscal Year
2016–17
(7/1/16 to 6/30/17)</t>
  </si>
  <si>
    <t>Fiscal Year
2017–18
(7/1/17 to 12/31/17)</t>
  </si>
  <si>
    <t>CAA for ELA and Mathematics</t>
  </si>
  <si>
    <t>CAST</t>
  </si>
  <si>
    <t>CAA for Science</t>
  </si>
  <si>
    <t>Total cost for 2016–17 test administration cycle</t>
  </si>
  <si>
    <t>2016-17 Test Administration Summary</t>
  </si>
  <si>
    <t>CAST Assessment Development</t>
  </si>
  <si>
    <t>CAA for Science Assessment Development</t>
  </si>
  <si>
    <t>Proposed Budget by Fiscal Year - 2017-18 Test Administration Cycle</t>
  </si>
  <si>
    <t>Fiscal Year 2017-18 (7/1/17 to 6/30/18)</t>
  </si>
  <si>
    <t>Fiscal Year
2018–19
(7/1/18 to 12/31/18)</t>
  </si>
  <si>
    <t xml:space="preserve">CAA for ELA and Mathematics  </t>
  </si>
  <si>
    <t>CSA</t>
  </si>
  <si>
    <t>Total cost for 2017–18 test administration cycle</t>
  </si>
  <si>
    <t>2017-18 Test Administration Summary</t>
  </si>
  <si>
    <t>CAST: Reporting</t>
  </si>
  <si>
    <t>CAA for Science : Reporting</t>
  </si>
  <si>
    <t>CSA: Reporting</t>
  </si>
  <si>
    <t>STS Primary Language Assessment:  Test Administration</t>
  </si>
  <si>
    <t>STS Primary Language Assessment: Scoring</t>
  </si>
  <si>
    <t>STS Primary Language Assessment: Reporting</t>
  </si>
  <si>
    <t>Proposed Budget by Fiscal Year - 2018-19 Test Administration Cycle</t>
  </si>
  <si>
    <t>Fiscal Year
2018–19
(7/1/18 to 6/30/19)</t>
  </si>
  <si>
    <t>Fiscal Year   2018-19 Amend 6</t>
  </si>
  <si>
    <t>Fiscal Year
2019–20
(7/1/19 to 12/31/19)</t>
  </si>
  <si>
    <t>Fiscal Year   2019-20 Amend 6</t>
  </si>
  <si>
    <t>Column1</t>
  </si>
  <si>
    <t>Column2</t>
  </si>
  <si>
    <t>Column3</t>
  </si>
  <si>
    <t>CAASPP</t>
  </si>
  <si>
    <t>ELPAC - Comprehensive Plan and Schedule</t>
  </si>
  <si>
    <t>ELPAC - Program Support Services</t>
  </si>
  <si>
    <t>ELPAC - Technology Services</t>
  </si>
  <si>
    <t>ELPAC - Test Security Measures</t>
  </si>
  <si>
    <t>ELPAC - Accessibility and Accommodations</t>
  </si>
  <si>
    <t xml:space="preserve">ELPAC  </t>
  </si>
  <si>
    <t>K-12</t>
  </si>
  <si>
    <t>ELPAC CBA</t>
  </si>
  <si>
    <t xml:space="preserve">ELPAC ALT  </t>
  </si>
  <si>
    <t>ELPAC</t>
  </si>
  <si>
    <t>Total cost for 2018–19 test administration cycle</t>
  </si>
  <si>
    <t>2018-19 Test Administration Summary</t>
  </si>
  <si>
    <t>CAST: Test Administration</t>
  </si>
  <si>
    <t>CAST: Scoring</t>
  </si>
  <si>
    <t>CAA for Science  : Test Administration</t>
  </si>
  <si>
    <t>CAA for Science  : Scoring</t>
  </si>
  <si>
    <t>CAA for Science  : Reporting</t>
  </si>
  <si>
    <t>CSA: Test Administration</t>
  </si>
  <si>
    <t>CSA: Scoring</t>
  </si>
  <si>
    <t>ELPAC Administration and Program Supports: Comprehensive Plan and Schedule</t>
  </si>
  <si>
    <t>ELPAC Administration and Program Supports: Program Support Services</t>
  </si>
  <si>
    <t>ELPAC Administration and Program Supports: Technology Services</t>
  </si>
  <si>
    <t>ELPAC Administration and Program Supports: Test Security Measures</t>
  </si>
  <si>
    <t>ELPAC Administration and Program Supports: Accessibility and Accommodations</t>
  </si>
  <si>
    <t>ELPAC   Assessment Development</t>
  </si>
  <si>
    <t>ELA</t>
  </si>
  <si>
    <t>ELPAC  CBA Assessment Development</t>
  </si>
  <si>
    <t>ELPAC ALT   Assessment Development</t>
  </si>
  <si>
    <t>ELPAC: Test Administration</t>
  </si>
  <si>
    <t>ELPAC: Scoring</t>
  </si>
  <si>
    <t>ELPAC: Reporting</t>
  </si>
  <si>
    <t>ELPAC CBA: Test Administration</t>
  </si>
  <si>
    <t>ELPAC CBA: Scoring</t>
  </si>
  <si>
    <t>ELPAC CBA: Reporting</t>
  </si>
  <si>
    <t>Proposed Budget by Fiscal Year - 2019-20 Test Administration Cycle</t>
  </si>
  <si>
    <t>Fiscal Year 2018-19 (7/1/18 to 6/30/19)</t>
  </si>
  <si>
    <t>Fiscal Year 2019–20 (7/1/19 to 6/30/20)</t>
  </si>
  <si>
    <t>Fiscal Year 2020–21 (7/1/20 to 12/31/20)</t>
  </si>
  <si>
    <t>Fiscal Year 2020-21  Amend 6</t>
  </si>
  <si>
    <t>ELPAC ALT</t>
  </si>
  <si>
    <t>Total cost for 2019–20 test administration cycle</t>
  </si>
  <si>
    <t>2019-20 Test Administration Summary</t>
  </si>
  <si>
    <t>ELPAC ALT: Test Administration</t>
  </si>
  <si>
    <t>ELPAC ALT: Scoring</t>
  </si>
  <si>
    <t>ELPAC ALT: Reporting</t>
  </si>
  <si>
    <t>Proposed Budget by Fiscal Year - 2020-21 Test Administration Cycle</t>
  </si>
  <si>
    <t>Fiscal Year 2020–21 (7/1/20 to 6/30/21)</t>
  </si>
  <si>
    <t>Fiscal Year 2021–22 (7/1/21 to 12/31/21)</t>
  </si>
  <si>
    <t>Total cost for 2020–21 test administration cycle</t>
  </si>
  <si>
    <t>2020-21 Test Administration Summary</t>
  </si>
  <si>
    <t>CAA for Science  Assessment Development</t>
  </si>
  <si>
    <t>Proposed Budget by Fiscal Year - 2021-22 Test Administration Cycle</t>
  </si>
  <si>
    <t>Fiscal Year 2021–22 (7/1/21 to 6/30/22)</t>
  </si>
  <si>
    <t>Fiscal Year 2022–23 (7/1/22 to 12/31/22)</t>
  </si>
  <si>
    <t>Total cost for 2021–22 test administration cycle</t>
  </si>
  <si>
    <t>2021-22 Test Administration Summary</t>
  </si>
  <si>
    <t>CAA for Science: Test Administration</t>
  </si>
  <si>
    <t>CAA for Science: Scoring</t>
  </si>
  <si>
    <t>CAA for Science: Reporting</t>
  </si>
  <si>
    <t>Column E: 
Estimated Number of Test Takers*</t>
  </si>
  <si>
    <t>NOTES:</t>
  </si>
  <si>
    <t>* The Estimated Number of Test Takers listed in Column E include repeated values to meet accessibility requirements. The repeated values are not included in the Total line.</t>
  </si>
  <si>
    <t>Column H: 
Per Pupil Rate 
(Column G divided by Column E)**</t>
  </si>
  <si>
    <t>** The Per Pupil Rate in Column H is calculated by dividing the Per Pupil Costs (Column G) with the Estimated Number of Test Takers (Column E), with the exception of the Total costs for</t>
  </si>
  <si>
    <t xml:space="preserve"> the 2017–18 administration cycle. The Per Pupil Rate for the Total does not include the estimated number of test takers for the following tests which were in field test or pilot test stages for </t>
  </si>
  <si>
    <t>the 2017–18 administration: CAST, CAA for Science, and CSA. Therefore, the estimated test taker count for the Total cost for the 2017–18 administration cycle is 3,253,000 test takers.</t>
  </si>
  <si>
    <t>CDE Proposed Budget</t>
  </si>
  <si>
    <t>(SBE Agenda Item Attachment 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</si>
</sst>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quot;$&quot;#,##0"/>
    <numFmt numFmtId="165" formatCode="&quot;$&quot;#,##0.00"/>
  </numFmts>
  <fonts count="31"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sz val="12"/>
      <name val="Arial"/>
      <family val="2"/>
    </font>
    <font>
      <sz val="12"/>
      <color theme="1"/>
      <name val="Arial"/>
      <family val="2"/>
    </font>
    <font>
      <b/>
      <sz val="12"/>
      <color theme="1"/>
      <name val="Arial"/>
      <family val="2"/>
    </font>
    <font>
      <sz val="10"/>
      <color theme="1"/>
      <name val="Calibri"/>
      <family val="2"/>
      <scheme val="minor"/>
    </font>
    <font>
      <sz val="12"/>
      <color theme="0"/>
      <name val="Arial"/>
      <family val="2"/>
    </font>
    <font>
      <sz val="12"/>
      <color theme="0"/>
      <name val="Calibri"/>
      <family val="2"/>
      <scheme val="minor"/>
    </font>
    <font>
      <sz val="12"/>
      <name val="Arial"/>
      <family val="2"/>
    </font>
    <font>
      <sz val="12"/>
      <color theme="0" tint="-4.9989318521683403E-2"/>
      <name val="Arial"/>
      <family val="2"/>
    </font>
    <font>
      <sz val="12"/>
      <color theme="1"/>
      <name val="Calibri"/>
      <family val="2"/>
      <scheme val="minor"/>
    </font>
    <font>
      <sz val="10"/>
      <color theme="0"/>
      <name val="Calibri"/>
      <family val="2"/>
      <scheme val="minor"/>
    </font>
    <font>
      <b/>
      <sz val="10"/>
      <color theme="1"/>
      <name val="Calibri"/>
      <family val="2"/>
      <scheme val="minor"/>
    </font>
    <font>
      <i/>
      <sz val="11"/>
      <color theme="1"/>
      <name val="Calibri"/>
      <family val="2"/>
      <scheme val="minor"/>
    </font>
    <font>
      <i/>
      <sz val="11"/>
      <color indexed="8"/>
      <name val="Calibri"/>
      <family val="2"/>
    </font>
    <font>
      <i/>
      <sz val="11"/>
      <color indexed="8"/>
      <name val="Calibri"/>
      <family val="2"/>
      <scheme val="minor"/>
    </font>
    <font>
      <b/>
      <sz val="15"/>
      <color theme="3"/>
      <name val="Calibri"/>
      <family val="2"/>
      <scheme val="minor"/>
    </font>
    <font>
      <b/>
      <sz val="13"/>
      <color theme="3"/>
      <name val="Calibri"/>
      <family val="2"/>
      <scheme val="minor"/>
    </font>
    <font>
      <b/>
      <sz val="20"/>
      <name val="Arial"/>
      <family val="2"/>
    </font>
    <font>
      <b/>
      <sz val="15"/>
      <name val="Arial"/>
      <family val="2"/>
    </font>
    <font>
      <sz val="11"/>
      <name val="Arial"/>
      <family val="2"/>
    </font>
    <font>
      <b/>
      <sz val="18"/>
      <name val="Arial"/>
      <family val="2"/>
    </font>
    <font>
      <b/>
      <i/>
      <sz val="12"/>
      <name val="Arial"/>
      <family val="2"/>
    </font>
    <font>
      <i/>
      <sz val="12"/>
      <color indexed="8"/>
      <name val="Calibri"/>
      <family val="2"/>
    </font>
    <font>
      <i/>
      <sz val="12"/>
      <color theme="1"/>
      <name val="Arial"/>
      <family val="2"/>
    </font>
    <font>
      <b/>
      <i/>
      <sz val="12"/>
      <color theme="1"/>
      <name val="Arial"/>
      <family val="2"/>
    </font>
    <font>
      <i/>
      <sz val="12"/>
      <color indexed="8"/>
      <name val="Calibri"/>
      <family val="2"/>
      <scheme val="minor"/>
    </font>
    <font>
      <i/>
      <sz val="12"/>
      <color theme="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thin">
        <color auto="1"/>
      </top>
      <bottom style="thin">
        <color auto="1"/>
      </bottom>
      <diagonal/>
    </border>
    <border>
      <left/>
      <right/>
      <top/>
      <bottom style="thick">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0" fontId="4" fillId="0" borderId="0"/>
    <xf numFmtId="0" fontId="4" fillId="0" borderId="0"/>
    <xf numFmtId="0" fontId="19" fillId="0" borderId="2" applyNumberFormat="0" applyFill="0" applyAlignment="0" applyProtection="0"/>
    <xf numFmtId="0" fontId="20" fillId="0" borderId="3" applyNumberFormat="0" applyFill="0" applyAlignment="0" applyProtection="0"/>
  </cellStyleXfs>
  <cellXfs count="102">
    <xf numFmtId="0" fontId="0" fillId="0" borderId="0" xfId="0"/>
    <xf numFmtId="0" fontId="2" fillId="0" borderId="0" xfId="0" applyFont="1" applyAlignment="1">
      <alignment horizontal="center"/>
    </xf>
    <xf numFmtId="164" fontId="2" fillId="0" borderId="0" xfId="0" applyNumberFormat="1" applyFont="1"/>
    <xf numFmtId="0" fontId="2" fillId="0" borderId="0" xfId="0" applyFont="1" applyAlignment="1">
      <alignment horizontal="right"/>
    </xf>
    <xf numFmtId="0" fontId="3" fillId="0" borderId="0" xfId="0" applyFont="1" applyAlignment="1">
      <alignment horizontal="right"/>
    </xf>
    <xf numFmtId="0" fontId="2" fillId="0" borderId="0" xfId="0" applyFont="1"/>
    <xf numFmtId="0" fontId="6" fillId="0" borderId="0" xfId="0" applyFont="1" applyAlignment="1">
      <alignment horizontal="right"/>
    </xf>
    <xf numFmtId="0" fontId="7" fillId="0" borderId="0" xfId="0" applyFont="1" applyAlignment="1">
      <alignment horizontal="right"/>
    </xf>
    <xf numFmtId="0" fontId="6" fillId="0" borderId="0" xfId="0" applyFont="1"/>
    <xf numFmtId="0" fontId="8" fillId="0" borderId="0" xfId="0" applyFont="1"/>
    <xf numFmtId="0" fontId="8" fillId="0" borderId="0" xfId="0" applyFont="1" applyAlignment="1">
      <alignment horizontal="center"/>
    </xf>
    <xf numFmtId="0" fontId="0" fillId="0" borderId="0" xfId="0" applyAlignment="1">
      <alignment wrapText="1"/>
    </xf>
    <xf numFmtId="0" fontId="6" fillId="0" borderId="0" xfId="0" quotePrefix="1" applyFont="1"/>
    <xf numFmtId="0" fontId="6" fillId="0" borderId="0" xfId="0" applyFont="1" applyAlignment="1">
      <alignment wrapText="1"/>
    </xf>
    <xf numFmtId="0" fontId="6" fillId="0" borderId="0" xfId="0" applyFont="1" applyAlignment="1">
      <alignment horizontal="center" wrapText="1"/>
    </xf>
    <xf numFmtId="0" fontId="9" fillId="0" borderId="0" xfId="0" applyFont="1" applyAlignment="1">
      <alignment horizontal="left"/>
    </xf>
    <xf numFmtId="0" fontId="10" fillId="0" borderId="0" xfId="0" applyFont="1"/>
    <xf numFmtId="164" fontId="0" fillId="0" borderId="0" xfId="2" applyNumberFormat="1" applyFont="1"/>
    <xf numFmtId="0" fontId="7" fillId="0" borderId="0" xfId="0" applyFont="1"/>
    <xf numFmtId="164" fontId="6" fillId="0" borderId="0" xfId="0" applyNumberFormat="1" applyFont="1"/>
    <xf numFmtId="0" fontId="6" fillId="0" borderId="0" xfId="0" applyFont="1" applyAlignment="1">
      <alignment horizontal="center"/>
    </xf>
    <xf numFmtId="0" fontId="11" fillId="0" borderId="0" xfId="0" applyFont="1"/>
    <xf numFmtId="0" fontId="6" fillId="0" borderId="0" xfId="0" applyFont="1" applyAlignment="1">
      <alignment horizontal="center" vertical="center"/>
    </xf>
    <xf numFmtId="0" fontId="12" fillId="0" borderId="0" xfId="0" applyFont="1" applyAlignment="1">
      <alignment horizontal="center" vertical="center"/>
    </xf>
    <xf numFmtId="0" fontId="11" fillId="0" borderId="0" xfId="0" applyFont="1" applyAlignment="1">
      <alignment horizontal="center" vertical="center"/>
    </xf>
    <xf numFmtId="164" fontId="6" fillId="0" borderId="0" xfId="0" applyNumberFormat="1" applyFont="1" applyAlignment="1">
      <alignment vertical="center"/>
    </xf>
    <xf numFmtId="164" fontId="6" fillId="0" borderId="0" xfId="0" applyNumberFormat="1" applyFont="1" applyAlignment="1">
      <alignment horizontal="right" vertical="center"/>
    </xf>
    <xf numFmtId="164" fontId="5" fillId="0" borderId="0" xfId="0" applyNumberFormat="1" applyFont="1" applyAlignment="1">
      <alignment horizontal="right" vertical="center"/>
    </xf>
    <xf numFmtId="165" fontId="11" fillId="0" borderId="0" xfId="0" applyNumberFormat="1" applyFont="1" applyAlignment="1">
      <alignment horizontal="right" vertical="center"/>
    </xf>
    <xf numFmtId="0" fontId="6" fillId="0" borderId="0" xfId="0" applyFont="1" applyAlignment="1">
      <alignment vertical="center"/>
    </xf>
    <xf numFmtId="0" fontId="11" fillId="0" borderId="0" xfId="0" applyFont="1" applyAlignment="1">
      <alignment horizontal="right" vertical="center"/>
    </xf>
    <xf numFmtId="3" fontId="11" fillId="0" borderId="0" xfId="0" applyNumberFormat="1" applyFont="1" applyAlignment="1">
      <alignment horizontal="center" vertical="center"/>
    </xf>
    <xf numFmtId="165" fontId="6" fillId="0" borderId="0" xfId="0" applyNumberFormat="1" applyFont="1" applyAlignment="1">
      <alignment horizontal="right" vertical="center"/>
    </xf>
    <xf numFmtId="164" fontId="7" fillId="0" borderId="0" xfId="0" applyNumberFormat="1" applyFont="1" applyAlignment="1">
      <alignment horizontal="right" vertical="center"/>
    </xf>
    <xf numFmtId="16" fontId="11" fillId="0" borderId="0" xfId="0" applyNumberFormat="1" applyFont="1" applyAlignment="1">
      <alignment horizontal="center" vertical="center"/>
    </xf>
    <xf numFmtId="3" fontId="6" fillId="0" borderId="0" xfId="0" applyNumberFormat="1" applyFont="1" applyAlignment="1">
      <alignment horizontal="center" vertical="center"/>
    </xf>
    <xf numFmtId="0" fontId="6" fillId="2" borderId="0" xfId="0" applyFont="1" applyFill="1"/>
    <xf numFmtId="164" fontId="7" fillId="0" borderId="0" xfId="0" applyNumberFormat="1" applyFont="1"/>
    <xf numFmtId="0" fontId="7" fillId="0" borderId="0" xfId="0" applyFont="1" applyAlignment="1">
      <alignment wrapText="1"/>
    </xf>
    <xf numFmtId="0" fontId="7" fillId="0" borderId="0" xfId="0" applyFont="1" applyAlignment="1">
      <alignment horizontal="center"/>
    </xf>
    <xf numFmtId="0" fontId="7" fillId="0" borderId="0" xfId="0" applyFont="1" applyAlignment="1">
      <alignment horizontal="center" vertical="center"/>
    </xf>
    <xf numFmtId="16" fontId="7" fillId="0" borderId="0" xfId="0" applyNumberFormat="1" applyFont="1" applyAlignment="1">
      <alignment horizontal="center" vertical="center"/>
    </xf>
    <xf numFmtId="3" fontId="5" fillId="0" borderId="0" xfId="0" applyNumberFormat="1" applyFont="1" applyAlignment="1">
      <alignment horizontal="center" vertical="center"/>
    </xf>
    <xf numFmtId="164" fontId="7" fillId="0" borderId="0" xfId="0" applyNumberFormat="1" applyFont="1" applyAlignment="1">
      <alignment vertical="center"/>
    </xf>
    <xf numFmtId="165" fontId="7" fillId="0" borderId="0" xfId="0" applyNumberFormat="1" applyFont="1" applyAlignment="1">
      <alignment horizontal="right" vertical="center"/>
    </xf>
    <xf numFmtId="0" fontId="5" fillId="0" borderId="0" xfId="0" applyFont="1" applyAlignment="1">
      <alignment horizontal="center" vertical="center"/>
    </xf>
    <xf numFmtId="16" fontId="5" fillId="0" borderId="0" xfId="0" applyNumberFormat="1" applyFont="1" applyAlignment="1">
      <alignment horizontal="center" vertical="center"/>
    </xf>
    <xf numFmtId="165" fontId="7" fillId="0" borderId="0" xfId="0" applyNumberFormat="1" applyFont="1" applyAlignment="1">
      <alignment vertical="center"/>
    </xf>
    <xf numFmtId="0" fontId="9" fillId="0" borderId="0" xfId="0" applyFont="1" applyAlignment="1">
      <alignment horizontal="center" wrapText="1"/>
    </xf>
    <xf numFmtId="3" fontId="6" fillId="0" borderId="0" xfId="0" applyNumberFormat="1" applyFont="1" applyAlignment="1">
      <alignment horizontal="center"/>
    </xf>
    <xf numFmtId="3" fontId="7" fillId="0" borderId="0" xfId="0" applyNumberFormat="1" applyFont="1" applyAlignment="1">
      <alignment horizontal="center"/>
    </xf>
    <xf numFmtId="0" fontId="5" fillId="0" borderId="0" xfId="3" applyFont="1"/>
    <xf numFmtId="0" fontId="13" fillId="0" borderId="0" xfId="0" applyFont="1"/>
    <xf numFmtId="37" fontId="6" fillId="0" borderId="0" xfId="1" applyNumberFormat="1" applyFont="1"/>
    <xf numFmtId="0" fontId="6" fillId="2" borderId="0" xfId="0" applyFont="1" applyFill="1" applyAlignment="1">
      <alignment horizontal="center"/>
    </xf>
    <xf numFmtId="0" fontId="14" fillId="0" borderId="0" xfId="0" applyFont="1"/>
    <xf numFmtId="164" fontId="6" fillId="0" borderId="0" xfId="2" applyNumberFormat="1" applyFont="1"/>
    <xf numFmtId="0" fontId="6" fillId="0" borderId="0" xfId="0" applyFont="1" applyAlignment="1">
      <alignment horizontal="left" wrapText="1"/>
    </xf>
    <xf numFmtId="0" fontId="15" fillId="0" borderId="0" xfId="0" applyFont="1"/>
    <xf numFmtId="14" fontId="6" fillId="0" borderId="0" xfId="0" quotePrefix="1" applyNumberFormat="1" applyFont="1"/>
    <xf numFmtId="0" fontId="6" fillId="0" borderId="0" xfId="0" applyFont="1" applyAlignment="1">
      <alignment vertical="top"/>
    </xf>
    <xf numFmtId="164" fontId="5" fillId="0" borderId="0" xfId="0" applyNumberFormat="1" applyFont="1" applyAlignment="1">
      <alignment horizontal="right"/>
    </xf>
    <xf numFmtId="0" fontId="6" fillId="2" borderId="0" xfId="0" applyFont="1" applyFill="1" applyAlignment="1">
      <alignment wrapText="1"/>
    </xf>
    <xf numFmtId="0" fontId="6" fillId="0" borderId="0" xfId="0" applyFont="1" applyAlignment="1">
      <alignment vertical="top" wrapText="1"/>
    </xf>
    <xf numFmtId="164" fontId="6" fillId="0" borderId="0" xfId="0" applyNumberFormat="1" applyFont="1" applyAlignment="1">
      <alignment horizontal="center" wrapText="1"/>
    </xf>
    <xf numFmtId="0" fontId="7" fillId="0" borderId="0" xfId="0" applyFont="1" applyAlignment="1">
      <alignment horizontal="center" wrapText="1"/>
    </xf>
    <xf numFmtId="0" fontId="11" fillId="0" borderId="1" xfId="4" applyFont="1" applyBorder="1" applyAlignment="1">
      <alignment horizontal="left" vertical="top" wrapText="1"/>
    </xf>
    <xf numFmtId="0" fontId="0" fillId="2" borderId="0" xfId="0" applyFill="1"/>
    <xf numFmtId="0" fontId="14" fillId="0" borderId="0" xfId="0" applyFont="1" applyAlignment="1">
      <alignment horizontal="center"/>
    </xf>
    <xf numFmtId="0" fontId="6" fillId="0" borderId="0" xfId="0" applyFont="1" applyAlignment="1">
      <alignment horizontal="left" vertical="center"/>
    </xf>
    <xf numFmtId="0" fontId="7" fillId="0" borderId="0" xfId="0" applyFont="1" applyAlignment="1">
      <alignment vertical="center" wrapText="1"/>
    </xf>
    <xf numFmtId="0" fontId="7" fillId="0" borderId="0" xfId="0" applyFont="1" applyAlignment="1">
      <alignment vertical="top" wrapText="1"/>
    </xf>
    <xf numFmtId="3" fontId="11" fillId="0" borderId="0" xfId="1" applyNumberFormat="1" applyFont="1" applyAlignment="1">
      <alignment horizontal="center" vertical="center"/>
    </xf>
    <xf numFmtId="0" fontId="6" fillId="0" borderId="0" xfId="0" applyFont="1" applyAlignment="1">
      <alignment vertical="center" wrapText="1"/>
    </xf>
    <xf numFmtId="164" fontId="6" fillId="0" borderId="0" xfId="0" applyNumberFormat="1" applyFont="1" applyAlignment="1">
      <alignment horizontal="center"/>
    </xf>
    <xf numFmtId="3" fontId="5" fillId="0" borderId="0" xfId="0" applyNumberFormat="1" applyFont="1" applyAlignment="1">
      <alignment horizontal="center"/>
    </xf>
    <xf numFmtId="164" fontId="6" fillId="0" borderId="0" xfId="0" applyNumberFormat="1" applyFont="1" applyAlignment="1">
      <alignment horizontal="right"/>
    </xf>
    <xf numFmtId="165" fontId="6" fillId="0" borderId="0" xfId="0" applyNumberFormat="1" applyFont="1" applyAlignment="1">
      <alignment horizontal="right"/>
    </xf>
    <xf numFmtId="165" fontId="7" fillId="0" borderId="0" xfId="0" applyNumberFormat="1" applyFont="1" applyAlignment="1">
      <alignment horizontal="right"/>
    </xf>
    <xf numFmtId="3" fontId="6" fillId="2" borderId="0" xfId="0" applyNumberFormat="1" applyFont="1" applyFill="1" applyAlignment="1">
      <alignment horizontal="center"/>
    </xf>
    <xf numFmtId="164" fontId="6" fillId="2" borderId="0" xfId="0" applyNumberFormat="1" applyFont="1" applyFill="1"/>
    <xf numFmtId="164" fontId="11" fillId="0" borderId="0" xfId="0" applyNumberFormat="1" applyFont="1" applyAlignment="1">
      <alignment wrapText="1"/>
    </xf>
    <xf numFmtId="37" fontId="6" fillId="2" borderId="0" xfId="0" applyNumberFormat="1" applyFont="1" applyFill="1" applyAlignment="1">
      <alignment horizontal="center"/>
    </xf>
    <xf numFmtId="3" fontId="2" fillId="0" borderId="0" xfId="0" applyNumberFormat="1"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8" fillId="0" borderId="0" xfId="0" applyFont="1" applyAlignment="1">
      <alignment horizontal="center"/>
    </xf>
    <xf numFmtId="0" fontId="23" fillId="0" borderId="0" xfId="0" applyFont="1" applyBorder="1"/>
    <xf numFmtId="0" fontId="21" fillId="0" borderId="0" xfId="5" applyFont="1" applyBorder="1"/>
    <xf numFmtId="0" fontId="22" fillId="0" borderId="0" xfId="5" applyFont="1" applyBorder="1"/>
    <xf numFmtId="0" fontId="24" fillId="0" borderId="0" xfId="6" applyFont="1" applyBorder="1" applyAlignment="1"/>
    <xf numFmtId="0" fontId="24" fillId="0" borderId="0" xfId="6" applyFont="1" applyBorder="1"/>
    <xf numFmtId="0" fontId="25" fillId="0" borderId="0" xfId="6" applyFont="1" applyBorder="1"/>
    <xf numFmtId="0" fontId="25" fillId="0" borderId="0" xfId="6" applyFont="1" applyBorder="1" applyAlignment="1"/>
    <xf numFmtId="0" fontId="26" fillId="0" borderId="0" xfId="0" applyFont="1" applyAlignment="1">
      <alignment horizontal="center"/>
    </xf>
    <xf numFmtId="0" fontId="27" fillId="0" borderId="0" xfId="0" applyFont="1" applyAlignment="1">
      <alignment horizontal="center"/>
    </xf>
    <xf numFmtId="164" fontId="27" fillId="0" borderId="0" xfId="0" applyNumberFormat="1" applyFont="1"/>
    <xf numFmtId="0" fontId="27" fillId="0" borderId="0" xfId="0" applyFont="1" applyAlignment="1">
      <alignment horizontal="right"/>
    </xf>
    <xf numFmtId="0" fontId="28" fillId="0" borderId="0" xfId="0" applyFont="1" applyAlignment="1">
      <alignment horizontal="right"/>
    </xf>
    <xf numFmtId="0" fontId="27" fillId="0" borderId="0" xfId="0" applyFont="1"/>
    <xf numFmtId="0" fontId="29" fillId="0" borderId="0" xfId="0" applyFont="1" applyAlignment="1">
      <alignment horizontal="center"/>
    </xf>
    <xf numFmtId="0" fontId="30" fillId="0" borderId="0" xfId="0" applyFont="1"/>
  </cellXfs>
  <cellStyles count="7">
    <cellStyle name="Comma" xfId="1" builtinId="3"/>
    <cellStyle name="Currency" xfId="2" builtinId="4"/>
    <cellStyle name="Heading 1" xfId="5" builtinId="16"/>
    <cellStyle name="Heading 2" xfId="6" builtinId="17"/>
    <cellStyle name="Normal" xfId="0" builtinId="0"/>
    <cellStyle name="Normal 3" xfId="3"/>
    <cellStyle name="Normal 3 2" xfId="4"/>
  </cellStyles>
  <dxfs count="333">
    <dxf>
      <font>
        <b/>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general" vertical="center" textRotation="0" wrapText="0" indent="0" justifyLastLine="0" shrinkToFit="0" readingOrder="0"/>
    </dxf>
    <dxf>
      <font>
        <b/>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dxf>
    <dxf>
      <font>
        <b val="0"/>
        <i val="0"/>
        <strike val="0"/>
        <condense val="0"/>
        <extend val="0"/>
        <outline val="0"/>
        <shadow val="0"/>
        <u val="none"/>
        <vertAlign val="baseline"/>
        <sz val="12"/>
        <color rgb="FF000000"/>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164" formatCode="&quot;$&quot;#,##0"/>
      <fill>
        <patternFill patternType="solid">
          <fgColor indexed="64"/>
          <bgColor theme="0"/>
        </patternFill>
      </fill>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dxf>
    <dxf>
      <font>
        <b val="0"/>
        <i val="0"/>
        <strike val="0"/>
        <condense val="0"/>
        <extend val="0"/>
        <outline val="0"/>
        <shadow val="0"/>
        <u val="none"/>
        <vertAlign val="baseline"/>
        <sz val="12"/>
        <color theme="1"/>
        <name val="Arial"/>
        <scheme val="none"/>
      </font>
      <numFmt numFmtId="5" formatCode="#,##0_);\(#,##0\)"/>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dxf>
    <dxf>
      <font>
        <b val="0"/>
        <i val="0"/>
        <strike val="0"/>
        <condense val="0"/>
        <extend val="0"/>
        <outline val="0"/>
        <shadow val="0"/>
        <u val="none"/>
        <vertAlign val="baseline"/>
        <sz val="12"/>
        <color theme="1"/>
        <name val="Arial"/>
        <scheme val="none"/>
      </font>
      <alignment horizontal="general" vertical="bottom" textRotation="0" wrapText="1" indent="0" justifyLastLine="0" shrinkToFit="0" readingOrder="0"/>
    </dxf>
    <dxf>
      <font>
        <strike val="0"/>
        <outline val="0"/>
        <shadow val="0"/>
        <u val="none"/>
        <vertAlign val="baseline"/>
        <sz val="12"/>
        <name val="Arial"/>
        <scheme val="none"/>
      </font>
    </dxf>
    <dxf>
      <font>
        <strike val="0"/>
        <outline val="0"/>
        <shadow val="0"/>
        <u val="none"/>
        <vertAlign val="baseline"/>
        <sz val="12"/>
        <color rgb="FF000000"/>
        <name val="Arial"/>
        <scheme val="none"/>
      </font>
    </dxf>
    <dxf>
      <font>
        <b/>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general" vertical="center" textRotation="0" wrapText="0" indent="0" justifyLastLine="0" shrinkToFit="0" readingOrder="0"/>
    </dxf>
    <dxf>
      <font>
        <b/>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dxf>
    <dxf>
      <font>
        <b val="0"/>
        <i val="0"/>
        <strike val="0"/>
        <condense val="0"/>
        <extend val="0"/>
        <outline val="0"/>
        <shadow val="0"/>
        <u val="none"/>
        <vertAlign val="baseline"/>
        <sz val="12"/>
        <color rgb="FF000000"/>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164" formatCode="&quot;$&quot;#,##0"/>
      <fill>
        <patternFill patternType="solid">
          <fgColor indexed="64"/>
          <bgColor theme="0"/>
        </patternFill>
      </fill>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dxf>
    <dxf>
      <font>
        <b val="0"/>
        <i val="0"/>
        <strike val="0"/>
        <condense val="0"/>
        <extend val="0"/>
        <outline val="0"/>
        <shadow val="0"/>
        <u val="none"/>
        <vertAlign val="baseline"/>
        <sz val="12"/>
        <color theme="1"/>
        <name val="Arial"/>
        <scheme val="none"/>
      </font>
      <numFmt numFmtId="5" formatCode="#,##0_);\(#,##0\)"/>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dxf>
    <dxf>
      <font>
        <b val="0"/>
        <i val="0"/>
        <strike val="0"/>
        <condense val="0"/>
        <extend val="0"/>
        <outline val="0"/>
        <shadow val="0"/>
        <u val="none"/>
        <vertAlign val="baseline"/>
        <sz val="12"/>
        <color theme="1"/>
        <name val="Arial"/>
        <scheme val="none"/>
      </font>
      <alignment horizontal="general" vertical="bottom" textRotation="0" wrapText="1" indent="0" justifyLastLine="0" shrinkToFit="0" readingOrder="0"/>
    </dxf>
    <dxf>
      <font>
        <strike val="0"/>
        <outline val="0"/>
        <shadow val="0"/>
        <u val="none"/>
        <vertAlign val="baseline"/>
        <sz val="12"/>
        <name val="Arial"/>
        <scheme val="none"/>
      </font>
    </dxf>
    <dxf>
      <font>
        <strike val="0"/>
        <outline val="0"/>
        <shadow val="0"/>
        <u val="none"/>
        <vertAlign val="baseline"/>
        <sz val="12"/>
        <color rgb="FF000000"/>
        <name val="Arial"/>
        <scheme val="none"/>
      </font>
    </dxf>
    <dxf>
      <font>
        <b/>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general" vertical="center" textRotation="0" wrapText="0" indent="0" justifyLastLine="0" shrinkToFit="0" readingOrder="0"/>
    </dxf>
    <dxf>
      <font>
        <b/>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dxf>
    <dxf>
      <font>
        <b val="0"/>
        <i val="0"/>
        <strike val="0"/>
        <condense val="0"/>
        <extend val="0"/>
        <outline val="0"/>
        <shadow val="0"/>
        <u val="none"/>
        <vertAlign val="baseline"/>
        <sz val="12"/>
        <color rgb="FF000000"/>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general" vertical="bottom" textRotation="0" wrapText="1"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164" formatCode="&quot;$&quot;#,##0"/>
      <fill>
        <patternFill patternType="solid">
          <fgColor indexed="64"/>
          <bgColor theme="0"/>
        </patternFill>
      </fill>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dxf>
    <dxf>
      <font>
        <b val="0"/>
        <i val="0"/>
        <strike val="0"/>
        <condense val="0"/>
        <extend val="0"/>
        <outline val="0"/>
        <shadow val="0"/>
        <u val="none"/>
        <vertAlign val="baseline"/>
        <sz val="12"/>
        <color theme="1"/>
        <name val="Arial"/>
        <scheme val="none"/>
      </font>
      <numFmt numFmtId="164" formatCode="&quot;$&quot;#,##0"/>
      <fill>
        <patternFill patternType="solid">
          <fgColor indexed="64"/>
          <bgColor theme="0"/>
        </patternFill>
      </fill>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dxf>
    <dxf>
      <font>
        <b val="0"/>
        <i val="0"/>
        <strike val="0"/>
        <condense val="0"/>
        <extend val="0"/>
        <outline val="0"/>
        <shadow val="0"/>
        <u val="none"/>
        <vertAlign val="baseline"/>
        <sz val="12"/>
        <color theme="1"/>
        <name val="Arial"/>
        <scheme val="none"/>
      </font>
      <numFmt numFmtId="164" formatCode="&quot;$&quot;#,##0"/>
      <fill>
        <patternFill patternType="solid">
          <fgColor indexed="64"/>
          <bgColor theme="0"/>
        </patternFill>
      </fill>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dxf>
    <dxf>
      <font>
        <b val="0"/>
        <i val="0"/>
        <strike val="0"/>
        <condense val="0"/>
        <extend val="0"/>
        <outline val="0"/>
        <shadow val="0"/>
        <u val="none"/>
        <vertAlign val="baseline"/>
        <sz val="12"/>
        <color theme="1"/>
        <name val="Arial"/>
        <scheme val="none"/>
      </font>
      <numFmt numFmtId="3" formatCode="#,##0"/>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dxf>
    <dxf>
      <font>
        <b val="0"/>
        <i val="0"/>
        <strike val="0"/>
        <condense val="0"/>
        <extend val="0"/>
        <outline val="0"/>
        <shadow val="0"/>
        <u val="none"/>
        <vertAlign val="baseline"/>
        <sz val="12"/>
        <color theme="1"/>
        <name val="Arial"/>
        <scheme val="none"/>
      </font>
      <alignment horizontal="general" vertical="bottom" textRotation="0" wrapText="1" indent="0" justifyLastLine="0" shrinkToFit="0" readingOrder="0"/>
    </dxf>
    <dxf>
      <font>
        <strike val="0"/>
        <outline val="0"/>
        <shadow val="0"/>
        <u val="none"/>
        <vertAlign val="baseline"/>
        <sz val="12"/>
        <name val="Arial"/>
        <scheme val="none"/>
      </font>
    </dxf>
    <dxf>
      <font>
        <strike val="0"/>
        <outline val="0"/>
        <shadow val="0"/>
        <u val="none"/>
        <vertAlign val="baseline"/>
        <sz val="12"/>
        <color theme="1"/>
        <name val="Arial"/>
        <scheme val="none"/>
      </font>
    </dxf>
    <dxf>
      <font>
        <b/>
        <i val="0"/>
        <strike val="0"/>
        <condense val="0"/>
        <extend val="0"/>
        <outline val="0"/>
        <shadow val="0"/>
        <u val="none"/>
        <vertAlign val="baseline"/>
        <sz val="12"/>
        <color theme="1"/>
        <name val="Arial"/>
        <scheme val="none"/>
      </font>
      <numFmt numFmtId="165" formatCode="&quot;$&quot;#,##0.00"/>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general" vertical="center" textRotation="0" wrapText="0" indent="0" justifyLastLine="0" shrinkToFit="0" readingOrder="0"/>
    </dxf>
    <dxf>
      <font>
        <b/>
        <i val="0"/>
        <strike val="0"/>
        <condense val="0"/>
        <extend val="0"/>
        <outline val="0"/>
        <shadow val="0"/>
        <u val="none"/>
        <vertAlign val="baseline"/>
        <sz val="12"/>
        <color auto="1"/>
        <name val="Arial"/>
        <scheme val="none"/>
      </font>
      <numFmt numFmtId="3" formatCode="#,##0"/>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dxf>
    <dxf>
      <alignment vertical="bottom" textRotation="0" wrapText="0" indent="0" justifyLastLine="0" shrinkToFit="0" readingOrder="0"/>
    </dxf>
    <dxf>
      <font>
        <b val="0"/>
        <i val="0"/>
        <strike val="0"/>
        <condense val="0"/>
        <extend val="0"/>
        <outline val="0"/>
        <shadow val="0"/>
        <u val="none"/>
        <vertAlign val="baseline"/>
        <sz val="12"/>
        <color rgb="FF000000"/>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1"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indexed="65"/>
        </patternFill>
      </fill>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fill>
        <patternFill patternType="none">
          <fgColor indexed="64"/>
          <bgColor indexed="65"/>
        </patternFill>
      </fill>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fill>
        <patternFill patternType="none">
          <fgColor indexed="64"/>
          <bgColor indexed="65"/>
        </patternFill>
      </fill>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alignment horizontal="general" vertical="bottom" textRotation="0" wrapText="0" indent="0" justifyLastLine="0" shrinkToFit="0" readingOrder="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alignment horizontal="general" vertical="bottom" textRotation="0" wrapText="0" indent="0" justifyLastLine="0" shrinkToFit="0" readingOrder="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alignment horizontal="general" vertical="bottom" textRotation="0" wrapText="0" indent="0" justifyLastLine="0" shrinkToFit="0" readingOrder="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alignment horizontal="general" vertical="bottom" textRotation="0" wrapText="0" indent="0" justifyLastLine="0" shrinkToFit="0" readingOrder="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alignment horizontal="general" vertical="bottom" textRotation="0" wrapText="0" indent="0" justifyLastLine="0" shrinkToFit="0" readingOrder="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alignment horizontal="general" vertical="bottom" textRotation="0" wrapText="0" indent="0" justifyLastLine="0" shrinkToFit="0" readingOrder="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alignment horizontal="center" vertical="bottom" textRotation="0" wrapText="0" indent="0" justifyLastLine="0" shrinkToFit="0" readingOrder="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3" formatCode="#,##0"/>
      <alignment horizontal="center" vertical="bottom" textRotation="0" wrapText="0" indent="0" justifyLastLine="0" shrinkToFit="0" readingOrder="0"/>
    </dxf>
    <dxf>
      <font>
        <strike val="0"/>
        <outline val="0"/>
        <shadow val="0"/>
        <u val="none"/>
        <vertAlign val="baseline"/>
        <sz val="12"/>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trike val="0"/>
        <outline val="0"/>
        <shadow val="0"/>
        <u val="none"/>
        <vertAlign val="baseline"/>
        <sz val="12"/>
        <color theme="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trike val="0"/>
        <outline val="0"/>
        <shadow val="0"/>
        <u val="none"/>
        <vertAlign val="baseline"/>
        <sz val="12"/>
        <color theme="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trike val="0"/>
        <outline val="0"/>
        <shadow val="0"/>
        <u val="none"/>
        <vertAlign val="baseline"/>
        <sz val="12"/>
        <color theme="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dxf>
    <dxf>
      <font>
        <strike val="0"/>
        <outline val="0"/>
        <shadow val="0"/>
        <u val="none"/>
        <vertAlign val="baseline"/>
        <sz val="12"/>
        <color theme="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2"/>
        <color theme="1"/>
        <name val="Arial"/>
        <scheme val="none"/>
      </font>
      <alignment horizontal="general" vertical="bottom" textRotation="0" wrapText="1" indent="0" justifyLastLine="0" shrinkToFit="0" readingOrder="0"/>
    </dxf>
    <dxf>
      <font>
        <strike val="0"/>
        <outline val="0"/>
        <shadow val="0"/>
        <u val="none"/>
        <vertAlign val="baseline"/>
        <sz val="12"/>
        <color theme="1"/>
        <name val="Arial"/>
        <scheme val="none"/>
      </font>
      <alignment horizontal="general" vertical="bottom" textRotation="0" wrapText="1" indent="0" justifyLastLine="0" shrinkToFit="0" readingOrder="0"/>
    </dxf>
    <dxf>
      <font>
        <strike val="0"/>
        <outline val="0"/>
        <shadow val="0"/>
        <u val="none"/>
        <vertAlign val="baseline"/>
        <sz val="12"/>
        <color theme="1"/>
        <name val="Arial"/>
        <scheme val="none"/>
      </font>
    </dxf>
    <dxf>
      <font>
        <strike val="0"/>
        <outline val="0"/>
        <shadow val="0"/>
        <u val="none"/>
        <vertAlign val="baseline"/>
        <sz val="12"/>
        <color theme="1"/>
        <name val="Arial"/>
        <scheme val="none"/>
      </font>
    </dxf>
    <dxf>
      <font>
        <strike val="0"/>
        <outline val="0"/>
        <shadow val="0"/>
        <u val="none"/>
        <vertAlign val="baseline"/>
        <sz val="12"/>
        <color theme="1"/>
        <name val="Arial"/>
        <scheme val="none"/>
      </font>
      <alignment horizontal="center" vertical="bottom" textRotation="0" wrapText="1" indent="0" justifyLastLine="0" shrinkToFit="0" readingOrder="0"/>
    </dxf>
    <dxf>
      <font>
        <b/>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general" vertical="center" textRotation="0" wrapText="0" indent="0" justifyLastLine="0" shrinkToFit="0" readingOrder="0"/>
    </dxf>
    <dxf>
      <font>
        <b/>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auto="1"/>
        <name val="Arial"/>
        <scheme val="none"/>
      </font>
      <numFmt numFmtId="0" formatCode="General"/>
      <alignment horizontal="general" vertical="top" textRotation="0" wrapText="1"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12"/>
        <color rgb="FF000000"/>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1" indent="0" justifyLastLine="0" shrinkToFit="0" readingOrder="0"/>
    </dxf>
    <dxf>
      <font>
        <b val="0"/>
        <i val="0"/>
        <strike val="0"/>
        <condense val="0"/>
        <extend val="0"/>
        <outline val="0"/>
        <shadow val="0"/>
        <u val="none"/>
        <vertAlign val="baseline"/>
        <sz val="12"/>
        <color theme="1"/>
        <name val="Arial"/>
        <scheme val="none"/>
      </font>
      <numFmt numFmtId="164" formatCode="&quot;$&quot;#,##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trike val="0"/>
        <outline val="0"/>
        <shadow val="0"/>
        <u val="none"/>
        <vertAlign val="baseline"/>
        <sz val="12"/>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trike val="0"/>
        <outline val="0"/>
        <shadow val="0"/>
        <u val="none"/>
        <vertAlign val="baseline"/>
        <sz val="12"/>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trike val="0"/>
        <outline val="0"/>
        <shadow val="0"/>
        <u val="none"/>
        <vertAlign val="baseline"/>
        <sz val="12"/>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trike val="0"/>
        <outline val="0"/>
        <shadow val="0"/>
        <u val="none"/>
        <vertAlign val="baseline"/>
        <sz val="12"/>
        <color theme="1"/>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alignment horizontal="general" vertical="bottom" textRotation="0" wrapText="1" indent="0" justifyLastLine="0" shrinkToFit="0" readingOrder="0"/>
    </dxf>
    <dxf>
      <font>
        <strike val="0"/>
        <outline val="0"/>
        <shadow val="0"/>
        <u val="none"/>
        <vertAlign val="baseline"/>
        <sz val="12"/>
        <color theme="1"/>
        <name val="Arial"/>
        <scheme val="none"/>
      </font>
      <alignment horizontal="left" vertical="bottom" textRotation="0" wrapText="1" indent="0" justifyLastLine="0" shrinkToFit="0" readingOrder="0"/>
    </dxf>
    <dxf>
      <alignment vertical="center" textRotation="0" indent="0" justifyLastLine="0" shrinkToFit="0" readingOrder="0"/>
    </dxf>
    <dxf>
      <font>
        <strike val="0"/>
        <outline val="0"/>
        <shadow val="0"/>
        <u val="none"/>
        <vertAlign val="baseline"/>
        <sz val="12"/>
        <color theme="1"/>
        <name val="Arial"/>
        <scheme val="none"/>
      </font>
      <alignment horizontal="general" vertical="bottom" textRotation="0" wrapText="1" indent="0" justifyLastLine="0" shrinkToFit="0" readingOrder="0"/>
    </dxf>
    <dxf>
      <font>
        <b/>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general" vertical="center" textRotation="0" wrapText="0" indent="0" justifyLastLine="0" shrinkToFit="0" readingOrder="0"/>
    </dxf>
    <dxf>
      <font>
        <b/>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auto="1"/>
        <name val="Arial"/>
        <scheme val="none"/>
      </font>
      <numFmt numFmtId="0" formatCode="General"/>
      <alignment horizontal="general" vertical="top" textRotation="0" wrapText="1"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12"/>
        <color rgb="FF000000"/>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1" indent="0" justifyLastLine="0" shrinkToFit="0" readingOrder="0"/>
    </dxf>
    <dxf>
      <font>
        <b/>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164" formatCode="&quot;$&quot;#,##0"/>
    </dxf>
    <dxf>
      <font>
        <b/>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z val="12"/>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z val="12"/>
        <name val="Arial"/>
        <scheme val="none"/>
      </font>
      <alignment vertical="center" textRotation="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dxf>
    <dxf>
      <alignment vertical="center" textRotation="0" indent="0" justifyLastLine="0" shrinkToFit="0" readingOrder="0"/>
    </dxf>
    <dxf>
      <font>
        <strike val="0"/>
        <outline val="0"/>
        <shadow val="0"/>
        <u val="none"/>
        <vertAlign val="baseline"/>
        <sz val="12"/>
        <color theme="1"/>
        <name val="Arial"/>
        <scheme val="none"/>
      </font>
      <alignment horizontal="general" vertical="bottom" textRotation="0" wrapText="1" indent="0" justifyLastLine="0" shrinkToFit="0" readingOrder="0"/>
    </dxf>
    <dxf>
      <font>
        <b/>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5" formatCode="&quot;$&quot;#,##0.0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numFmt numFmtId="164" formatCode="&quot;$&quot;#,##0"/>
      <alignment horizontal="general" vertical="center" textRotation="0" wrapText="0" indent="0" justifyLastLine="0" shrinkToFit="0" readingOrder="0"/>
    </dxf>
    <dxf>
      <font>
        <b/>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left" vertical="center" textRotation="0" wrapText="0" indent="0" justifyLastLine="0" shrinkToFit="0" readingOrder="0"/>
    </dxf>
    <dxf>
      <font>
        <b val="0"/>
        <i val="0"/>
        <strike val="0"/>
        <condense val="0"/>
        <extend val="0"/>
        <outline val="0"/>
        <shadow val="0"/>
        <u val="none"/>
        <vertAlign val="baseline"/>
        <sz val="12"/>
        <color auto="1"/>
        <name val="Arial"/>
        <scheme val="none"/>
      </font>
      <numFmt numFmtId="0" formatCode="General"/>
      <alignment horizontal="left" vertical="top" textRotation="0" wrapText="1" indent="0" justifyLastLine="0" shrinkToFit="0" readingOrder="0"/>
      <border diagonalUp="0" diagonalDown="0" outline="0">
        <left/>
        <right/>
        <top style="thin">
          <color auto="1"/>
        </top>
        <bottom style="thin">
          <color auto="1"/>
        </bottom>
      </border>
    </dxf>
    <dxf>
      <font>
        <b val="0"/>
        <i val="0"/>
        <strike val="0"/>
        <condense val="0"/>
        <extend val="0"/>
        <outline val="0"/>
        <shadow val="0"/>
        <u val="none"/>
        <vertAlign val="baseline"/>
        <sz val="12"/>
        <color rgb="FF000000"/>
        <name val="Arial"/>
        <scheme val="none"/>
      </font>
      <alignment horizontal="right" vertical="center"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bottom" textRotation="0" wrapText="1" indent="0" justifyLastLine="0" shrinkToFit="0" readingOrder="0"/>
    </dxf>
    <dxf>
      <font>
        <b/>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164" formatCode="&quot;$&quot;#,##0"/>
    </dxf>
    <dxf>
      <font>
        <b/>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164" formatCode="&quot;$&quot;#,##0"/>
    </dxf>
    <dxf>
      <font>
        <b/>
        <i val="0"/>
        <strike val="0"/>
        <condense val="0"/>
        <extend val="0"/>
        <outline val="0"/>
        <shadow val="0"/>
        <u val="none"/>
        <vertAlign val="baseline"/>
        <sz val="12"/>
        <color auto="1"/>
        <name val="Arial"/>
        <scheme val="none"/>
      </font>
      <numFmt numFmtId="164" formatCode="&quot;$&quot;#,##0"/>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5" formatCode="#,##0_);\(#,##0\)"/>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z val="12"/>
        <name val="Arial"/>
        <scheme val="none"/>
      </font>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solid">
          <fgColor indexed="64"/>
          <bgColor theme="0"/>
        </patternFill>
      </fill>
      <alignment horizontal="center" vertical="bottom" textRotation="0" wrapText="0" indent="0" justifyLastLine="0" shrinkToFit="0" readingOrder="0"/>
    </dxf>
    <dxf>
      <font>
        <sz val="12"/>
        <name val="Arial"/>
        <scheme val="none"/>
      </font>
      <alignment vertical="center" textRotation="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general" vertical="center" textRotation="0" wrapText="1" indent="0" justifyLastLine="0" shrinkToFit="0" readingOrder="0"/>
    </dxf>
    <dxf>
      <font>
        <b val="0"/>
        <i val="0"/>
        <strike val="0"/>
        <condense val="0"/>
        <extend val="0"/>
        <outline val="0"/>
        <shadow val="0"/>
        <u val="none"/>
        <vertAlign val="baseline"/>
        <sz val="12"/>
        <color theme="1"/>
        <name val="Arial"/>
        <scheme val="none"/>
      </font>
      <alignment horizontal="general" vertical="bottom" textRotation="0" wrapText="1" indent="0" justifyLastLine="0" shrinkToFit="0" readingOrder="0"/>
    </dxf>
    <dxf>
      <font>
        <strike val="0"/>
        <outline val="0"/>
        <shadow val="0"/>
        <u val="none"/>
        <vertAlign val="baseline"/>
        <sz val="12"/>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numFmt numFmtId="164" formatCode="&quot;$&quot;#,##0"/>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numFmt numFmtId="164" formatCode="&quot;$&quot;#,##0"/>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strike val="0"/>
        <outline val="0"/>
        <shadow val="0"/>
        <u val="none"/>
        <vertAlign val="baseline"/>
        <sz val="12"/>
        <color theme="1"/>
        <name val="Arial"/>
        <scheme val="none"/>
      </font>
    </dxf>
    <dxf>
      <font>
        <b val="0"/>
        <i val="0"/>
        <strike val="0"/>
        <condense val="0"/>
        <extend val="0"/>
        <outline val="0"/>
        <shadow val="0"/>
        <u val="none"/>
        <vertAlign val="baseline"/>
        <sz val="12"/>
        <color theme="1"/>
        <name val="Arial"/>
        <scheme val="none"/>
      </font>
      <alignment horizontal="general" vertical="bottom" textRotation="0" wrapText="1" indent="0" justifyLastLine="0" shrinkToFit="0" readingOrder="0"/>
    </dxf>
    <dxf>
      <font>
        <strike val="0"/>
        <outline val="0"/>
        <shadow val="0"/>
        <u val="none"/>
        <vertAlign val="baseline"/>
        <sz val="12"/>
        <color theme="1"/>
        <name val="Arial"/>
        <scheme val="none"/>
      </font>
    </dxf>
    <dxf>
      <font>
        <strike val="0"/>
        <outline val="0"/>
        <shadow val="0"/>
        <u val="none"/>
        <vertAlign val="baseline"/>
        <sz val="12"/>
        <color theme="1"/>
      </font>
    </dxf>
    <dxf>
      <font>
        <strike val="0"/>
        <outline val="0"/>
        <shadow val="0"/>
        <u val="none"/>
        <vertAlign val="baseline"/>
        <sz val="12"/>
        <color theme="1"/>
        <name val="Arial"/>
        <scheme val="none"/>
      </font>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ables/table1.xml><?xml version="1.0" encoding="utf-8"?>
<table xmlns="http://schemas.openxmlformats.org/spreadsheetml/2006/main" id="3" name="Table3" displayName="Table3" ref="A9:P23" totalsRowCount="1" headerRowDxfId="332" dataDxfId="331" headerRowCellStyle="Normal" dataCellStyle="Normal">
  <tableColumns count="16">
    <tableColumn id="1" name="Test Administration Year" totalsRowLabel="Total All Administrations" dataDxfId="330" totalsRowDxfId="329" dataCellStyle="Normal"/>
    <tableColumn id="2" name="Fiscal Year 2015–16_x000a_(7/1/15 to 6/30/16)" totalsRowFunction="custom" dataDxfId="328" totalsRowDxfId="327" dataCellStyle="Normal">
      <totalsRowFormula>B17+B22</totalsRowFormula>
    </tableColumn>
    <tableColumn id="3" name="Fiscal Year 2016-17 _x000a_(7/1/16 to 6/30/17)" totalsRowFunction="custom" dataDxfId="326" totalsRowDxfId="325" dataCellStyle="Normal">
      <totalsRowFormula>C17+C22</totalsRowFormula>
    </tableColumn>
    <tableColumn id="4" name="Fiscal Year 2017-18 _x000a_(7/1/17 to 6/30/18)" totalsRowFunction="custom" dataDxfId="324" totalsRowDxfId="323" dataCellStyle="Normal">
      <totalsRowFormula>D17+D22</totalsRowFormula>
    </tableColumn>
    <tableColumn id="5" name="Fiscal Year 2018–19_x000a_(7/1/18 to 6/30/19)" totalsRowFunction="custom" dataDxfId="322" totalsRowDxfId="321" dataCellStyle="Normal">
      <totalsRowFormula>E17+E22</totalsRowFormula>
    </tableColumn>
    <tableColumn id="6" name="Fiscal Year 2018-19 Amend 6" totalsRowFunction="custom" dataDxfId="320" totalsRowDxfId="319" dataCellStyle="Normal">
      <totalsRowFormula>F17+F22</totalsRowFormula>
    </tableColumn>
    <tableColumn id="7" name="Revised Fiscal Year 2018-19" totalsRowFunction="custom" dataDxfId="318" totalsRowDxfId="317" dataCellStyle="Normal">
      <totalsRowFormula>G17+G22</totalsRowFormula>
    </tableColumn>
    <tableColumn id="8" name="Fiscal Year 2019-20 _x000a_(7/1/19 to 6/30/20)" totalsRowFunction="custom" dataDxfId="316" totalsRowDxfId="315" dataCellStyle="Normal">
      <totalsRowFormula>H17+H22</totalsRowFormula>
    </tableColumn>
    <tableColumn id="9" name="Fiscal Year 2019-20 Amend 6" totalsRowFunction="custom" dataDxfId="314" totalsRowDxfId="313" dataCellStyle="Normal">
      <totalsRowFormula>I17+I22</totalsRowFormula>
    </tableColumn>
    <tableColumn id="10" name="Revised Fiscal Year 2019-20" totalsRowFunction="custom" dataDxfId="312" totalsRowDxfId="311" dataCellStyle="Normal">
      <totalsRowFormula>J17+J22</totalsRowFormula>
    </tableColumn>
    <tableColumn id="11" name="Fiscal Year 2020-21 _x000a_(7/1/20 to 6/30/21)" totalsRowFunction="custom" dataDxfId="310" totalsRowDxfId="309" dataCellStyle="Normal">
      <totalsRowFormula>K17+K22</totalsRowFormula>
    </tableColumn>
    <tableColumn id="12" name="Fiscal Year 2020-21 Amend 6" totalsRowFunction="custom" dataDxfId="308" totalsRowDxfId="307" dataCellStyle="Normal">
      <totalsRowFormula>L17+L22</totalsRowFormula>
    </tableColumn>
    <tableColumn id="16" name="Revised Fiscal Year 2020-21" totalsRowFunction="custom" dataDxfId="306" totalsRowDxfId="305" dataCellStyle="Normal">
      <totalsRowFormula>M17+M22</totalsRowFormula>
    </tableColumn>
    <tableColumn id="19" name="Fiscal Year 2021-22 _x000a_(7/1/21 to 6/30/22)" totalsRowFunction="custom" dataDxfId="304" totalsRowDxfId="303" dataCellStyle="Normal">
      <totalsRowFormula>N17+N22</totalsRowFormula>
    </tableColumn>
    <tableColumn id="13" name="Fiscal Year 2022-23 _x000a_(7/1/22 to 12/31/22)" totalsRowFunction="custom" dataDxfId="302" totalsRowDxfId="301" dataCellStyle="Normal">
      <totalsRowFormula>O17+O22</totalsRowFormula>
    </tableColumn>
    <tableColumn id="14" name="Total Costs" totalsRowFunction="custom" dataDxfId="300" totalsRowDxfId="299" dataCellStyle="Normal">
      <totalsRowFormula>P17+P22</totalsRowFormula>
    </tableColumn>
  </tableColumns>
  <tableStyleInfo name="TableStyleLight8" showFirstColumn="0" showLastColumn="0" showRowStripes="1" showColumnStripes="0"/>
  <extLst>
    <ext xmlns:x14="http://schemas.microsoft.com/office/spreadsheetml/2009/9/main" uri="{504A1905-F514-4f6f-8877-14C23A59335A}">
      <x14:table altTextSummary="Summary of the fiscal year budgets for each test administration cycle and total"/>
    </ext>
  </extLst>
</table>
</file>

<file path=xl/tables/table10.xml><?xml version="1.0" encoding="utf-8"?>
<table xmlns="http://schemas.openxmlformats.org/spreadsheetml/2006/main" id="2" name="Table469" displayName="Table469" ref="A8:P36" totalsRowCount="1" dataDxfId="117" totalsRowDxfId="116" dataCellStyle="Normal">
  <tableColumns count="16">
    <tableColumn id="1" name="Area" totalsRowLabel="Total cost for 2019–20 test administration cycle" totalsRowDxfId="115" dataCellStyle="Normal"/>
    <tableColumn id="2" name="Description" totalsRowLabel="N/A" totalsRowDxfId="114" dataCellStyle="Normal"/>
    <tableColumn id="3" name="Tasks" totalsRowLabel="N/A" totalsRowDxfId="113" dataCellStyle="Normal"/>
    <tableColumn id="4" name="Type of Test" totalsRowLabel="N/A" totalsRowDxfId="112" dataCellStyle="Normal"/>
    <tableColumn id="5" name="Grades_x000a_to be_x000a_Tested" totalsRowLabel="N/A" totalsRowDxfId="111" dataCellStyle="Normal"/>
    <tableColumn id="6" name="Estimated Number of Test Takers" totalsRowFunction="custom" dataDxfId="110" totalsRowDxfId="109" dataCellStyle="Normal">
      <totalsRowFormula>F24+F35</totalsRowFormula>
    </tableColumn>
    <tableColumn id="14" name="Fiscal Year 2018-19 (7/1/18 to 6/30/19)" totalsRowFunction="custom" dataDxfId="108" totalsRowDxfId="107" dataCellStyle="Comma">
      <totalsRowFormula>G24+G35</totalsRowFormula>
    </tableColumn>
    <tableColumn id="15" name="Fiscal Year 2018-19 Amend 6" totalsRowFunction="custom" dataDxfId="106" totalsRowDxfId="105" dataCellStyle="Comma">
      <totalsRowFormula>H24+H35</totalsRowFormula>
    </tableColumn>
    <tableColumn id="16" name="Revised Fiscal Year 2018-19" totalsRowFunction="custom" dataDxfId="104" totalsRowDxfId="103" dataCellStyle="Comma">
      <totalsRowFormula>I24+I35</totalsRowFormula>
    </tableColumn>
    <tableColumn id="12" name="Fiscal Year 2019–20 (7/1/19 to 6/30/20)" totalsRowFunction="custom" totalsRowDxfId="102" dataCellStyle="Normal">
      <totalsRowFormula>J24+J35</totalsRowFormula>
    </tableColumn>
    <tableColumn id="10" name="Fiscal Year 2019-20 Amend 6" totalsRowFunction="custom" dataDxfId="101" totalsRowDxfId="100" dataCellStyle="Normal">
      <totalsRowFormula>K24+K35</totalsRowFormula>
    </tableColumn>
    <tableColumn id="7" name="Revised Fiscal Year 2019-20" totalsRowFunction="custom" totalsRowDxfId="99" dataCellStyle="Normal">
      <totalsRowFormula>L24+L35</totalsRowFormula>
    </tableColumn>
    <tableColumn id="13" name="Fiscal Year 2020–21 (7/1/20 to 12/31/20)" totalsRowFunction="custom" totalsRowDxfId="98" dataCellStyle="Normal">
      <totalsRowFormula>M24+M35</totalsRowFormula>
    </tableColumn>
    <tableColumn id="11" name="Fiscal Year 2020-21  Amend 6" totalsRowFunction="custom" dataDxfId="97" totalsRowDxfId="96" dataCellStyle="Normal">
      <totalsRowFormula>N24+N35</totalsRowFormula>
    </tableColumn>
    <tableColumn id="8" name="Revised Fiscal Year 2020-21" totalsRowFunction="custom" totalsRowDxfId="95" dataCellStyle="Normal">
      <totalsRowFormula>O24+O35</totalsRowFormula>
    </tableColumn>
    <tableColumn id="9" name="Total Costs" totalsRowFunction="custom" totalsRowDxfId="94" dataCellStyle="Normal">
      <totalsRowFormula>P24+P35</totalsRowFormula>
    </tableColumn>
  </tableColumns>
  <tableStyleInfo name="TableStyleLight8" showFirstColumn="0" showLastColumn="0" showRowStripes="1" showColumnStripes="0"/>
  <extLst>
    <ext xmlns:x14="http://schemas.microsoft.com/office/spreadsheetml/2009/9/main" uri="{504A1905-F514-4f6f-8877-14C23A59335A}">
      <x14:table altTextSummary="Proposed Budget Summary by Fiscal Year for the 2019-20 CAASPP Administration Cycle"/>
    </ext>
  </extLst>
</table>
</file>

<file path=xl/tables/table11.xml><?xml version="1.0" encoding="utf-8"?>
<table xmlns="http://schemas.openxmlformats.org/spreadsheetml/2006/main" id="1" name="Table1310" displayName="Table1310" ref="A8:K55" totalsRowCount="1" headerRowDxfId="93" dataDxfId="92">
  <autoFilter ref="A8:K5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name="Description" totalsRowLabel="Total cost for 2019–20 test administration cycle" totalsRowDxfId="91" dataCellStyle="Normal 3 2"/>
    <tableColumn id="3" name="Column A: _x000a_Task" totalsRowLabel="N/A" dataDxfId="90" totalsRowDxfId="89"/>
    <tableColumn id="4" name="Column B: _x000a_Test Type " totalsRowLabel="N/A" dataDxfId="88" totalsRowDxfId="87"/>
    <tableColumn id="5" name="Column C: _x000a_Subjects " totalsRowLabel="N/A" dataDxfId="86" totalsRowDxfId="85"/>
    <tableColumn id="8" name="Column D: _x000a_Grades_x000a_to be_x000a_Tested" totalsRowLabel="N/A" dataDxfId="84" totalsRowDxfId="83"/>
    <tableColumn id="9" name="Column E: _x000a_Estimated Number of Test Takers*" totalsRowFunction="custom" dataDxfId="82" totalsRowDxfId="81" dataCellStyle="Comma">
      <totalsRowFormula>F37+F54</totalsRowFormula>
    </tableColumn>
    <tableColumn id="10" name="Column F: _x000a_Fixed Costs" totalsRowFunction="custom" dataDxfId="80" totalsRowDxfId="79">
      <totalsRowFormula>G37+G54</totalsRowFormula>
    </tableColumn>
    <tableColumn id="11" name="Column G: _x000a_Per Pupil Costs" totalsRowFunction="custom" dataDxfId="78" totalsRowDxfId="77">
      <totalsRowFormula>H37+H54</totalsRowFormula>
    </tableColumn>
    <tableColumn id="12" name="Column H: _x000a_Per Pupil Rate _x000a_(Column G divided by Column E)" totalsRowFunction="custom" dataDxfId="76" totalsRowDxfId="75">
      <totalsRowFormula>ROUND(Table1310[[#Totals],[Column G: 
Per Pupil Costs]]/Table1310[[#Totals],[Column E: 
Estimated Number of Test Takers*]],2)</totalsRowFormula>
    </tableColumn>
    <tableColumn id="13" name="Column I: _x000a_Total Costs_x000a_(Column F plus Column G)" totalsRowFunction="custom" totalsRowDxfId="74">
      <totalsRowFormula>J37+J54</totalsRowFormula>
    </tableColumn>
    <tableColumn id="14" name="Column J: _x000a_Total Per Pupil Cost _x000a_(Column I divided by Column E )" totalsRowFunction="custom" dataDxfId="73" totalsRowDxfId="72">
      <totalsRowFormula>ROUND(+J55/F55,2)</totalsRowFormula>
    </tableColumn>
  </tableColumns>
  <tableStyleInfo name="TableStyleLight8" showFirstColumn="0" showLastColumn="0" showRowStripes="1" showColumnStripes="0"/>
  <extLst>
    <ext xmlns:x14="http://schemas.microsoft.com/office/spreadsheetml/2009/9/main" uri="{504A1905-F514-4f6f-8877-14C23A59335A}">
      <x14:table altTextSummary="Budget for the 2019-20 Test Administration Cycle"/>
    </ext>
  </extLst>
</table>
</file>

<file path=xl/tables/table12.xml><?xml version="1.0" encoding="utf-8"?>
<table xmlns="http://schemas.openxmlformats.org/spreadsheetml/2006/main" id="8" name="Table4699" displayName="Table4699" ref="A8:J35" totalsRowCount="1" dataDxfId="71" totalsRowDxfId="70" dataCellStyle="Normal">
  <tableColumns count="10">
    <tableColumn id="1" name="Area" totalsRowLabel="Total cost for 2020–21 test administration cycle" totalsRowDxfId="69" dataCellStyle="Normal"/>
    <tableColumn id="2" name="Description" totalsRowLabel="N/A" totalsRowDxfId="68" dataCellStyle="Normal"/>
    <tableColumn id="3" name="Tasks" totalsRowLabel="N/A" totalsRowDxfId="67" dataCellStyle="Normal"/>
    <tableColumn id="4" name="Type of Test" totalsRowLabel="N/A" totalsRowDxfId="66" dataCellStyle="Normal"/>
    <tableColumn id="5" name="Grades_x000a_to be_x000a_Tested" totalsRowLabel="N/A" totalsRowDxfId="65" dataCellStyle="Normal"/>
    <tableColumn id="6" name="Estimated Number of Test Takers" totalsRowFunction="custom" dataDxfId="64" totalsRowDxfId="63" dataCellStyle="Normal">
      <totalsRowFormula>F24+F34</totalsRowFormula>
    </tableColumn>
    <tableColumn id="14" name="Fiscal Year 2019–20 (7/1/19 to 6/30/20)" totalsRowFunction="custom" dataDxfId="62" totalsRowDxfId="61" dataCellStyle="Comma">
      <totalsRowFormula>G24+G34</totalsRowFormula>
    </tableColumn>
    <tableColumn id="12" name="Fiscal Year 2020–21 (7/1/20 to 6/30/21)" totalsRowFunction="custom" totalsRowDxfId="60" dataCellStyle="Normal">
      <totalsRowFormula>H24+H34</totalsRowFormula>
    </tableColumn>
    <tableColumn id="13" name="Fiscal Year 2021–22 (7/1/21 to 12/31/21)" totalsRowFunction="custom" totalsRowDxfId="59" dataCellStyle="Normal">
      <totalsRowFormula>I24+I34</totalsRowFormula>
    </tableColumn>
    <tableColumn id="9" name="Total Costs" totalsRowFunction="custom" totalsRowDxfId="58" dataCellStyle="Normal">
      <totalsRowFormula>J24+J34</totalsRowFormula>
    </tableColumn>
  </tableColumns>
  <tableStyleInfo name="TableStyleLight8" showFirstColumn="0" showLastColumn="0" showRowStripes="1" showColumnStripes="0"/>
  <extLst>
    <ext xmlns:x14="http://schemas.microsoft.com/office/spreadsheetml/2009/9/main" uri="{504A1905-F514-4f6f-8877-14C23A59335A}">
      <x14:table altTextSummary="Proposed Budget Summary by Fiscal Year for the 2020-21 CAASPP Administration Cycle"/>
    </ext>
  </extLst>
</table>
</file>

<file path=xl/tables/table13.xml><?xml version="1.0" encoding="utf-8"?>
<table xmlns="http://schemas.openxmlformats.org/spreadsheetml/2006/main" id="12" name="Table131013" displayName="Table131013" ref="A8:K52" totalsRowCount="1" headerRowDxfId="57" dataDxfId="56">
  <autoFilter ref="A8:K5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name="Description" totalsRowLabel="Total cost for 2020–21 test administration cycle" totalsRowDxfId="55" dataCellStyle="Normal 3 2"/>
    <tableColumn id="3" name="Column A: _x000a_Task" totalsRowLabel="N/A" dataDxfId="54" totalsRowDxfId="53"/>
    <tableColumn id="4" name="Column B: _x000a_Test Type " totalsRowLabel="N/A" dataDxfId="52" totalsRowDxfId="51"/>
    <tableColumn id="5" name="Column C: _x000a_Subjects " totalsRowLabel="N/A" dataDxfId="50" totalsRowDxfId="49"/>
    <tableColumn id="8" name="Column D: _x000a_Grades_x000a_to be_x000a_Tested" totalsRowLabel="N/A" dataDxfId="48" totalsRowDxfId="47"/>
    <tableColumn id="9" name="Column E: _x000a_Estimated Number of Test Takers*" totalsRowFunction="custom" dataDxfId="46" totalsRowDxfId="45" dataCellStyle="Comma">
      <totalsRowFormula>F37+F51</totalsRowFormula>
    </tableColumn>
    <tableColumn id="10" name="Column F: _x000a_Fixed Costs" totalsRowFunction="custom" dataDxfId="44" totalsRowDxfId="43">
      <totalsRowFormula>G37+G51</totalsRowFormula>
    </tableColumn>
    <tableColumn id="11" name="Column G: _x000a_Per Pupil Costs" totalsRowFunction="custom" dataDxfId="42" totalsRowDxfId="41">
      <totalsRowFormula>H37+H51</totalsRowFormula>
    </tableColumn>
    <tableColumn id="12" name="Column H: _x000a_Per Pupil Rate _x000a_(Column G divided by Column E)" totalsRowFunction="custom" dataDxfId="40" totalsRowDxfId="39">
      <totalsRowFormula>ROUND(Table131013[[#Totals],[Column G: 
Per Pupil Costs]]/Table131013[[#Totals],[Column E: 
Estimated Number of Test Takers*]],2)</totalsRowFormula>
    </tableColumn>
    <tableColumn id="13" name="Column I: _x000a_Total Costs_x000a_(Column F plus Column G)" totalsRowFunction="custom" totalsRowDxfId="38">
      <totalsRowFormula>J37+J51</totalsRowFormula>
    </tableColumn>
    <tableColumn id="14" name="Column J: _x000a_Total Per Pupil Cost _x000a_(Column I divided by Column E )" totalsRowFunction="custom" dataDxfId="37" totalsRowDxfId="36">
      <totalsRowFormula>ROUND(+J52/F52,2)</totalsRowFormula>
    </tableColumn>
  </tableColumns>
  <tableStyleInfo name="TableStyleLight8" showFirstColumn="0" showLastColumn="0" showRowStripes="1" showColumnStripes="0"/>
  <extLst>
    <ext xmlns:x14="http://schemas.microsoft.com/office/spreadsheetml/2009/9/main" uri="{504A1905-F514-4f6f-8877-14C23A59335A}">
      <x14:table altTextSummary="Budget for the 2020-21 Test Administration Cycle"/>
    </ext>
  </extLst>
</table>
</file>

<file path=xl/tables/table14.xml><?xml version="1.0" encoding="utf-8"?>
<table xmlns="http://schemas.openxmlformats.org/spreadsheetml/2006/main" id="9" name="Table469910" displayName="Table469910" ref="A8:J35" totalsRowCount="1" dataDxfId="35" totalsRowDxfId="34" dataCellStyle="Normal">
  <tableColumns count="10">
    <tableColumn id="1" name="Area" totalsRowLabel="Total cost for 2021–22 test administration cycle" totalsRowDxfId="33" dataCellStyle="Normal"/>
    <tableColumn id="2" name="Description" totalsRowLabel="N/A" totalsRowDxfId="32" dataCellStyle="Normal"/>
    <tableColumn id="3" name="Tasks" totalsRowLabel="N/A" totalsRowDxfId="31" dataCellStyle="Normal"/>
    <tableColumn id="4" name="Type of Test" totalsRowLabel="N/A" totalsRowDxfId="30" dataCellStyle="Normal"/>
    <tableColumn id="5" name="Grades_x000a_to be_x000a_Tested" totalsRowLabel="N/A" totalsRowDxfId="29" dataCellStyle="Normal"/>
    <tableColumn id="6" name="Estimated Number of Test Takers" totalsRowFunction="custom" dataDxfId="28" totalsRowDxfId="27" dataCellStyle="Normal">
      <totalsRowFormula>F24+F34</totalsRowFormula>
    </tableColumn>
    <tableColumn id="14" name="Fiscal Year 2020–21 (7/1/20 to 6/30/21)" totalsRowFunction="custom" dataDxfId="26" totalsRowDxfId="25" dataCellStyle="Comma">
      <totalsRowFormula>G24+G34</totalsRowFormula>
    </tableColumn>
    <tableColumn id="12" name="Fiscal Year 2021–22 (7/1/21 to 6/30/22)" totalsRowFunction="custom" totalsRowDxfId="24" dataCellStyle="Normal">
      <totalsRowFormula>H24+H34</totalsRowFormula>
    </tableColumn>
    <tableColumn id="13" name="Fiscal Year 2022–23 (7/1/22 to 12/31/22)" totalsRowFunction="custom" totalsRowDxfId="23" dataCellStyle="Normal">
      <totalsRowFormula>I24+I34</totalsRowFormula>
    </tableColumn>
    <tableColumn id="9" name="Total Costs" totalsRowFunction="custom" totalsRowDxfId="22" dataCellStyle="Normal">
      <totalsRowFormula>J24+J34</totalsRowFormula>
    </tableColumn>
  </tableColumns>
  <tableStyleInfo name="TableStyleLight8" showFirstColumn="0" showLastColumn="0" showRowStripes="1" showColumnStripes="0"/>
  <extLst>
    <ext xmlns:x14="http://schemas.microsoft.com/office/spreadsheetml/2009/9/main" uri="{504A1905-F514-4f6f-8877-14C23A59335A}">
      <x14:table altTextSummary="Proposed Budget Summary by Fiscal Year for the 2021-22 CAASPP Administration Cycle"/>
    </ext>
  </extLst>
</table>
</file>

<file path=xl/tables/table15.xml><?xml version="1.0" encoding="utf-8"?>
<table xmlns="http://schemas.openxmlformats.org/spreadsheetml/2006/main" id="13" name="Table13101314" displayName="Table13101314" ref="A8:K52" totalsRowCount="1" headerRowDxfId="21" dataDxfId="20">
  <autoFilter ref="A8:K5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name="Description" totalsRowLabel="Total cost for 2021–22 test administration cycle" totalsRowDxfId="19" dataCellStyle="Normal 3 2"/>
    <tableColumn id="3" name="Column A: _x000a_Task" totalsRowLabel="N/A" dataDxfId="18" totalsRowDxfId="17"/>
    <tableColumn id="4" name="Column B: _x000a_Test Type " totalsRowLabel="N/A" dataDxfId="16" totalsRowDxfId="15"/>
    <tableColumn id="5" name="Column C: _x000a_Subjects " totalsRowLabel="N/A" dataDxfId="14" totalsRowDxfId="13"/>
    <tableColumn id="8" name="Column D: _x000a_Grades_x000a_to be_x000a_Tested" totalsRowLabel="N/A" dataDxfId="12" totalsRowDxfId="11"/>
    <tableColumn id="9" name="Column E: _x000a_Estimated Number of Test Takers*" totalsRowFunction="custom" dataDxfId="10" totalsRowDxfId="9" dataCellStyle="Comma">
      <totalsRowFormula>F37+F51</totalsRowFormula>
    </tableColumn>
    <tableColumn id="10" name="Column F: _x000a_Fixed Costs" totalsRowFunction="custom" dataDxfId="8" totalsRowDxfId="7">
      <totalsRowFormula>G37+G51</totalsRowFormula>
    </tableColumn>
    <tableColumn id="11" name="Column G: _x000a_Per Pupil Costs" totalsRowFunction="custom" dataDxfId="6" totalsRowDxfId="5">
      <totalsRowFormula>H37+H51</totalsRowFormula>
    </tableColumn>
    <tableColumn id="12" name="Column H: _x000a_Per Pupil Rate _x000a_(Column G divided by Column E)" totalsRowFunction="custom" dataDxfId="4" totalsRowDxfId="3">
      <totalsRowFormula>ROUND(Table13101314[[#Totals],[Column G: 
Per Pupil Costs]]/Table13101314[[#Totals],[Column E: 
Estimated Number of Test Takers*]],2)</totalsRowFormula>
    </tableColumn>
    <tableColumn id="13" name="Column I: _x000a_Total Costs_x000a_(Column F plus Column G)" totalsRowFunction="custom" totalsRowDxfId="2">
      <totalsRowFormula>J37+J51</totalsRowFormula>
    </tableColumn>
    <tableColumn id="14" name="Column J: _x000a_Total Per Pupil Cost _x000a_(Column I divided by Column E )" totalsRowFunction="custom" dataDxfId="1" totalsRowDxfId="0">
      <totalsRowFormula>ROUND(+J52/F52,2)</totalsRowFormula>
    </tableColumn>
  </tableColumns>
  <tableStyleInfo name="TableStyleLight8" showFirstColumn="0" showLastColumn="0" showRowStripes="1" showColumnStripes="0"/>
  <extLst>
    <ext xmlns:x14="http://schemas.microsoft.com/office/spreadsheetml/2009/9/main" uri="{504A1905-F514-4f6f-8877-14C23A59335A}">
      <x14:table altTextSummary="Budget for the 2021-22 Test Administration Cycle"/>
    </ext>
  </extLst>
</table>
</file>

<file path=xl/tables/table2.xml><?xml version="1.0" encoding="utf-8"?>
<table xmlns="http://schemas.openxmlformats.org/spreadsheetml/2006/main" id="17" name="Table4218" displayName="Table4218" ref="A8:I27" totalsRowShown="0" headerRowDxfId="298">
  <autoFilter ref="A8:I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ea" dataDxfId="297" totalsRowDxfId="296"/>
    <tableColumn id="2" name="Description" dataDxfId="295" totalsRowDxfId="294"/>
    <tableColumn id="3" name="Tasks" dataDxfId="293" totalsRowDxfId="292" dataCellStyle="Normal 3"/>
    <tableColumn id="4" name="Type of Test" dataDxfId="291" totalsRowDxfId="290" dataCellStyle="Normal 3"/>
    <tableColumn id="5" name="Grades_x000a_to be_x000a_Tested" dataDxfId="289" totalsRowDxfId="288"/>
    <tableColumn id="6" name="Estimated Number of Test Takers" dataDxfId="287" totalsRowDxfId="286" dataCellStyle="Comma"/>
    <tableColumn id="7" name="Fiscal Year_x000a_2015–16_x000a_(7/1/15 to 6/30/16)" dataDxfId="285" totalsRowDxfId="284" dataCellStyle="Currency"/>
    <tableColumn id="8" name="Fiscal Year 2016-17 (7/1/16 to 12/31/16)" dataDxfId="283" totalsRowDxfId="282" dataCellStyle="Currency"/>
    <tableColumn id="9" name="Total Costs" dataDxfId="281" totalsRowDxfId="280" dataCellStyle="Normal 3"/>
  </tableColumns>
  <tableStyleInfo name="TableStyleLight8" showFirstColumn="0" showLastColumn="0" showRowStripes="1" showColumnStripes="0"/>
  <extLst>
    <ext xmlns:x14="http://schemas.microsoft.com/office/spreadsheetml/2009/9/main" uri="{504A1905-F514-4f6f-8877-14C23A59335A}">
      <x14:table altTextSummary="Proposed Budget Summary by Fiscal Year for the 2015-16 CAASPP Administration Cycle"/>
    </ext>
  </extLst>
</table>
</file>

<file path=xl/tables/table3.xml><?xml version="1.0" encoding="utf-8"?>
<table xmlns="http://schemas.openxmlformats.org/spreadsheetml/2006/main" id="14" name="Table13101215" displayName="Table13101215" ref="A8:K44" totalsRowCount="1" headerRowDxfId="279" dataDxfId="278">
  <autoFilter ref="A8:K4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name="Description" totalsRowLabel="Total cost for 2015–16 test administration cycle" dataDxfId="277" totalsRowDxfId="276" dataCellStyle="Normal 3 2"/>
    <tableColumn id="3" name="Column A: _x000a_Task" totalsRowLabel="N/A" dataDxfId="275" totalsRowDxfId="274"/>
    <tableColumn id="4" name="Column B: _x000a_Test Type " totalsRowLabel="N/A" dataDxfId="273" totalsRowDxfId="272"/>
    <tableColumn id="5" name="Column C: _x000a_Subjects " totalsRowLabel="N/A" dataDxfId="271" totalsRowDxfId="270"/>
    <tableColumn id="8" name="Column D: _x000a_Grades_x000a_to be_x000a_Tested" totalsRowLabel="N/A" dataDxfId="269" totalsRowDxfId="268"/>
    <tableColumn id="9" name="Column E: _x000a_Estimated Number of Test Takers*" totalsRowFunction="custom" dataDxfId="267" totalsRowDxfId="266" dataCellStyle="Comma">
      <totalsRowFormula>+F41+F38+F35+F32+F29+F26+F19</totalsRowFormula>
    </tableColumn>
    <tableColumn id="10" name="Column F: _x000a_Fixed Costs" totalsRowFunction="sum" dataDxfId="265" totalsRowDxfId="264"/>
    <tableColumn id="11" name="Column G: _x000a_Per Pupil Costs" totalsRowFunction="sum" dataDxfId="263" totalsRowDxfId="262"/>
    <tableColumn id="12" name="Column H: _x000a_Per Pupil Rate _x000a_(Column G divided by Column E)" totalsRowFunction="custom" totalsRowDxfId="261">
      <totalsRowFormula>Table13101215[[#Totals],[Column G: 
Per Pupil Costs]]/Table13101215[[#Totals],[Column E: 
Estimated Number of Test Takers*]]</totalsRowFormula>
    </tableColumn>
    <tableColumn id="13" name="Column I: _x000a_Total Costs_x000a_(Column F plus Column G)" totalsRowFunction="sum" totalsRowDxfId="260"/>
    <tableColumn id="14" name="Column J: _x000a_Total Per Pupil Cost _x000a_(Column I divided by Column E )" totalsRowFunction="custom" dataDxfId="259" totalsRowDxfId="258">
      <totalsRowFormula>ROUND(+J44/F44,2)</totalsRowFormula>
    </tableColumn>
  </tableColumns>
  <tableStyleInfo name="TableStyleLight8" showFirstColumn="0" showLastColumn="0" showRowStripes="1" showColumnStripes="0"/>
  <extLst>
    <ext xmlns:x14="http://schemas.microsoft.com/office/spreadsheetml/2009/9/main" uri="{504A1905-F514-4f6f-8877-14C23A59335A}">
      <x14:table altTextSummary="Budget for the 2015-16 Test Administration Cycle"/>
    </ext>
  </extLst>
</table>
</file>

<file path=xl/tables/table4.xml><?xml version="1.0" encoding="utf-8"?>
<table xmlns="http://schemas.openxmlformats.org/spreadsheetml/2006/main" id="5" name="Table42" displayName="Table42" ref="A8:I26" totalsRowCount="1" headerRowDxfId="257" dataDxfId="256">
  <autoFilter ref="A8:I2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ea" totalsRowLabel="Total cost for 2016–17 test administration cycle" totalsRowDxfId="255"/>
    <tableColumn id="2" name="Description" totalsRowLabel="N/A" dataDxfId="254" totalsRowDxfId="253"/>
    <tableColumn id="3" name="Tasks" totalsRowLabel="N/A" dataDxfId="252" totalsRowDxfId="251" dataCellStyle="Normal 3"/>
    <tableColumn id="4" name="Type of Test" totalsRowLabel="N/A" dataDxfId="250" totalsRowDxfId="249" dataCellStyle="Normal 3"/>
    <tableColumn id="5" name="Grades_x000a_to be_x000a_Tested" totalsRowLabel="N/A" dataDxfId="248" totalsRowDxfId="247"/>
    <tableColumn id="6" name="Estimated Number of Test Takers" totalsRowLabel="N/A" dataDxfId="246" totalsRowDxfId="245" dataCellStyle="Comma"/>
    <tableColumn id="7" name="Fiscal Year_x000a_2016–17_x000a_(7/1/16 to 6/30/17)" totalsRowFunction="sum" totalsRowDxfId="244" dataCellStyle="Currency"/>
    <tableColumn id="8" name="Fiscal Year_x000a_2017–18_x000a_(7/1/17 to 12/31/17)" totalsRowFunction="sum" dataDxfId="243" totalsRowDxfId="242" dataCellStyle="Currency"/>
    <tableColumn id="9" name="Total Costs" totalsRowFunction="sum" totalsRowDxfId="241" dataCellStyle="Normal 3">
      <calculatedColumnFormula>SUM(Table42[[#This Row],[Fiscal Year
2016–17
(7/1/16 to 6/30/17)]:[Fiscal Year
2017–18
(7/1/17 to 12/31/17)]])</calculatedColumnFormula>
    </tableColumn>
  </tableColumns>
  <tableStyleInfo name="TableStyleLight8" showFirstColumn="0" showLastColumn="0" showRowStripes="1" showColumnStripes="0"/>
  <extLst>
    <ext xmlns:x14="http://schemas.microsoft.com/office/spreadsheetml/2009/9/main" uri="{504A1905-F514-4f6f-8877-14C23A59335A}">
      <x14:table altTextSummary="Proposed Budget Summary by Fiscal Year for the 2016-17 CAASPP Administration Cycle"/>
    </ext>
  </extLst>
</table>
</file>

<file path=xl/tables/table5.xml><?xml version="1.0" encoding="utf-8"?>
<table xmlns="http://schemas.openxmlformats.org/spreadsheetml/2006/main" id="15" name="Table1310121516" displayName="Table1310121516" ref="A8:K43" totalsRowCount="1" headerRowDxfId="240" dataDxfId="239">
  <autoFilter ref="A8:K4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name="Description" totalsRowLabel="Total cost for 2016–17 test administration cycle" dataDxfId="238" totalsRowDxfId="237" dataCellStyle="Normal 3 2"/>
    <tableColumn id="3" name="Column A: _x000a_Task" totalsRowLabel="N/A" dataDxfId="236" totalsRowDxfId="235"/>
    <tableColumn id="4" name="Column B: _x000a_Test Type " totalsRowLabel="N/A" dataDxfId="234" totalsRowDxfId="233"/>
    <tableColumn id="5" name="Column C: _x000a_Subjects " totalsRowLabel="N/A" dataDxfId="232" totalsRowDxfId="231"/>
    <tableColumn id="8" name="Column D: _x000a_Grades_x000a_to be_x000a_Tested" totalsRowLabel="N/A" dataDxfId="230" totalsRowDxfId="229"/>
    <tableColumn id="9" name="Column E: _x000a_Estimated Number of Test Takers*" totalsRowFunction="custom" dataDxfId="228" totalsRowDxfId="227" dataCellStyle="Comma">
      <totalsRowFormula>+F40+F37+F34+F31+F28+F25+F18</totalsRowFormula>
    </tableColumn>
    <tableColumn id="10" name="Column F: _x000a_Fixed Costs" totalsRowFunction="sum" dataDxfId="226" totalsRowDxfId="225"/>
    <tableColumn id="11" name="Column G: _x000a_Per Pupil Costs" totalsRowFunction="sum" dataDxfId="224" totalsRowDxfId="223"/>
    <tableColumn id="12" name="Column H: _x000a_Per Pupil Rate _x000a_(Column G divided by Column E)" totalsRowFunction="custom" dataDxfId="222" totalsRowDxfId="221">
      <totalsRowFormula>Table1310121516[[#Totals],[Column G: 
Per Pupil Costs]]/Table1310121516[[#Totals],[Column E: 
Estimated Number of Test Takers*]]</totalsRowFormula>
    </tableColumn>
    <tableColumn id="13" name="Column I: _x000a_Total Costs_x000a_(Column F plus Column G)" totalsRowFunction="sum" totalsRowDxfId="220"/>
    <tableColumn id="14" name="Column J: _x000a_Total Per Pupil Cost _x000a_(Column I divided by Column E )" totalsRowFunction="custom" dataDxfId="219" totalsRowDxfId="218">
      <totalsRowFormula>ROUND(+J43/F43,2)</totalsRowFormula>
    </tableColumn>
  </tableColumns>
  <tableStyleInfo name="TableStyleLight8" showFirstColumn="0" showLastColumn="0" showRowStripes="1" showColumnStripes="0"/>
  <extLst>
    <ext xmlns:x14="http://schemas.microsoft.com/office/spreadsheetml/2009/9/main" uri="{504A1905-F514-4f6f-8877-14C23A59335A}">
      <x14:table altTextSummary="Budget for the 2016-17 Test Administration Cycle"/>
    </ext>
  </extLst>
</table>
</file>

<file path=xl/tables/table6.xml><?xml version="1.0" encoding="utf-8"?>
<table xmlns="http://schemas.openxmlformats.org/spreadsheetml/2006/main" id="6" name="Table468" displayName="Table468" ref="A8:I27" totalsRowCount="1" headerRowDxfId="217" dataDxfId="216">
  <autoFilter ref="A8:I2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Area" totalsRowLabel="Total cost for 2017–18 test administration cycle" dataDxfId="215" totalsRowDxfId="214" dataCellStyle="Normal"/>
    <tableColumn id="2" name="Description" totalsRowLabel="N/A" dataDxfId="213" totalsRowDxfId="212" dataCellStyle="Normal"/>
    <tableColumn id="3" name="Tasks" totalsRowLabel="N/A" dataDxfId="211" totalsRowDxfId="210" dataCellStyle="Normal"/>
    <tableColumn id="4" name="Type of Test" totalsRowLabel="N/A" dataDxfId="209" totalsRowDxfId="208" dataCellStyle="Normal"/>
    <tableColumn id="5" name="Grades_x000a_to be_x000a_Tested" totalsRowLabel="N/A" dataDxfId="207" totalsRowDxfId="206" dataCellStyle="Normal"/>
    <tableColumn id="6" name="Estimated Number of Test Takers" totalsRowLabel="N/A" dataDxfId="205" totalsRowDxfId="204" dataCellStyle="Normal"/>
    <tableColumn id="10" name="Fiscal Year 2017-18 (7/1/17 to 6/30/18)" totalsRowFunction="sum" dataDxfId="203" totalsRowDxfId="202" dataCellStyle="Normal"/>
    <tableColumn id="7" name="Fiscal Year_x000a_2018–19_x000a_(7/1/18 to 12/31/18)" totalsRowFunction="sum" dataDxfId="201" totalsRowDxfId="200" dataCellStyle="Normal"/>
    <tableColumn id="9" name="Total Costs" totalsRowFunction="sum" dataDxfId="199" totalsRowDxfId="198" dataCellStyle="Normal">
      <calculatedColumnFormula>SUM(Table468[[#This Row],[Fiscal Year 2017-18 (7/1/17 to 6/30/18)]:[Fiscal Year
2018–19
(7/1/18 to 12/31/18)]])</calculatedColumnFormula>
    </tableColumn>
  </tableColumns>
  <tableStyleInfo name="TableStyleLight8" showFirstColumn="0" showLastColumn="0" showRowStripes="1" showColumnStripes="0"/>
  <extLst>
    <ext xmlns:x14="http://schemas.microsoft.com/office/spreadsheetml/2009/9/main" uri="{504A1905-F514-4f6f-8877-14C23A59335A}">
      <x14:table altTextSummary="Proposed Budget Summary by Fiscal Year for the 2017-18 CAASPP Administration Cycle"/>
    </ext>
  </extLst>
</table>
</file>

<file path=xl/tables/table7.xml><?xml version="1.0" encoding="utf-8"?>
<table xmlns="http://schemas.openxmlformats.org/spreadsheetml/2006/main" id="16" name="Table13101217" displayName="Table13101217" ref="A8:K37" totalsRowCount="1" headerRowDxfId="197" dataDxfId="196">
  <autoFilter ref="A8:K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name="Description" totalsRowLabel="Total cost for 2017–18 test administration cycle" dataDxfId="195" totalsRowDxfId="194" dataCellStyle="Normal 3 2"/>
    <tableColumn id="3" name="Column A: _x000a_Task" totalsRowLabel="N/A" dataDxfId="193" totalsRowDxfId="192"/>
    <tableColumn id="4" name="Column B: _x000a_Test Type " totalsRowLabel="N/A" dataDxfId="191" totalsRowDxfId="190"/>
    <tableColumn id="5" name="Column C: _x000a_Subjects " totalsRowLabel="N/A" dataDxfId="189" totalsRowDxfId="188"/>
    <tableColumn id="8" name="Column D: _x000a_Grades_x000a_to be_x000a_Tested" totalsRowLabel="N/A" dataDxfId="187" totalsRowDxfId="186"/>
    <tableColumn id="9" name="Column E: _x000a_Estimated Number of Test Takers*" totalsRowFunction="custom" dataDxfId="185" totalsRowDxfId="184" dataCellStyle="Comma">
      <totalsRowFormula>+F34+F28+F25+F18+F17+F16+F15</totalsRowFormula>
    </tableColumn>
    <tableColumn id="10" name="Column F: _x000a_Fixed Costs" totalsRowFunction="sum" dataDxfId="183" totalsRowDxfId="182"/>
    <tableColumn id="11" name="Column G: _x000a_Per Pupil Costs" totalsRowFunction="sum" dataDxfId="181" totalsRowDxfId="180"/>
    <tableColumn id="12" name="Column H: _x000a_Per Pupil Rate _x000a_(Column G divided by Column E)**" totalsRowFunction="custom" totalsRowDxfId="179">
      <totalsRowFormula>Table13101217[[#Totals],[Column G: 
Per Pupil Costs]]/(Table13101217[[#Totals],[Column E: 
Estimated Number of Test Takers*]]-F15-F16-F17)</totalsRowFormula>
    </tableColumn>
    <tableColumn id="13" name="Column I: _x000a_Total Costs_x000a_(Column F plus Column G)" totalsRowFunction="sum" totalsRowDxfId="178"/>
    <tableColumn id="14" name="Column J: _x000a_Total Per Pupil Cost _x000a_(Column I divided by Column E )" totalsRowFunction="custom" dataDxfId="177" totalsRowDxfId="176">
      <totalsRowFormula>ROUND(+J37/F37,2)</totalsRowFormula>
    </tableColumn>
  </tableColumns>
  <tableStyleInfo name="TableStyleLight8" showFirstColumn="0" showLastColumn="0" showRowStripes="1" showColumnStripes="0"/>
  <extLst>
    <ext xmlns:x14="http://schemas.microsoft.com/office/spreadsheetml/2009/9/main" uri="{504A1905-F514-4f6f-8877-14C23A59335A}">
      <x14:table altTextSummary="Budget for the 2017-18 Test Administration Cycle"/>
    </ext>
  </extLst>
</table>
</file>

<file path=xl/tables/table8.xml><?xml version="1.0" encoding="utf-8"?>
<table xmlns="http://schemas.openxmlformats.org/spreadsheetml/2006/main" id="7" name="Table46" displayName="Table46" ref="A8:P36" totalsRowCount="1" headerRowDxfId="175" dataDxfId="174" totalsRowDxfId="173" headerRowCellStyle="Normal" dataCellStyle="Normal" totalsRowCellStyle="Normal">
  <tableColumns count="16">
    <tableColumn id="1" name="Area" totalsRowLabel="Total cost for 2018–19 test administration cycle" dataDxfId="172" totalsRowDxfId="171" dataCellStyle="Normal"/>
    <tableColumn id="2" name="Description" totalsRowLabel="N/A" dataDxfId="170" totalsRowDxfId="169" dataCellStyle="Normal"/>
    <tableColumn id="3" name="Tasks" totalsRowLabel="N/A" dataDxfId="168" totalsRowDxfId="167" dataCellStyle="Normal"/>
    <tableColumn id="4" name="Type of Test" totalsRowLabel="N/A" dataDxfId="166" totalsRowDxfId="165" dataCellStyle="Normal"/>
    <tableColumn id="5" name="Grades_x000a_to be_x000a_Tested" totalsRowLabel="N/A" dataDxfId="164" totalsRowDxfId="163" dataCellStyle="Normal"/>
    <tableColumn id="6" name="Estimated Number of Test Takers" totalsRowFunction="custom" dataDxfId="162" totalsRowDxfId="161" dataCellStyle="Normal">
      <totalsRowFormula>+F35+F24</totalsRowFormula>
    </tableColumn>
    <tableColumn id="13" name="Fiscal Year_x000a_2018–19_x000a_(7/1/18 to 6/30/19)" totalsRowFunction="custom" dataDxfId="160" totalsRowDxfId="159" dataCellStyle="Normal">
      <totalsRowFormula>+G35+G24</totalsRowFormula>
    </tableColumn>
    <tableColumn id="10" name="Fiscal Year   2018-19 Amend 6" totalsRowFunction="custom" dataDxfId="158" totalsRowDxfId="157" dataCellStyle="Normal">
      <totalsRowFormula>+H35+H24</totalsRowFormula>
    </tableColumn>
    <tableColumn id="7" name="Revised Fiscal Year 2018-19" totalsRowFunction="custom" dataDxfId="156" totalsRowDxfId="155" dataCellStyle="Normal">
      <calculatedColumnFormula>SUM(Table46[[#This Row],[Fiscal Year
2018–19
(7/1/18 to 6/30/19)]:[Fiscal Year   2018-19 Amend 6]])</calculatedColumnFormula>
      <totalsRowFormula>+I35+I24</totalsRowFormula>
    </tableColumn>
    <tableColumn id="15" name="Fiscal Year_x000a_2019–20_x000a_(7/1/19 to 12/31/19)" totalsRowFunction="custom" dataDxfId="154" totalsRowDxfId="153" dataCellStyle="Normal">
      <totalsRowFormula>+J35+J24</totalsRowFormula>
    </tableColumn>
    <tableColumn id="11" name="Fiscal Year   2019-20 Amend 6" totalsRowFunction="custom" dataDxfId="152" totalsRowDxfId="151" dataCellStyle="Normal">
      <totalsRowFormula>+K35+K24</totalsRowFormula>
    </tableColumn>
    <tableColumn id="8" name="Revised Fiscal Year 2019-20" totalsRowFunction="custom" dataDxfId="150" totalsRowDxfId="149" dataCellStyle="Normal">
      <calculatedColumnFormula>SUM(Table46[[#This Row],[Fiscal Year
2019–20
(7/1/19 to 12/31/19)]:[Fiscal Year   2019-20 Amend 6]])</calculatedColumnFormula>
      <totalsRowFormula>+L35+L24</totalsRowFormula>
    </tableColumn>
    <tableColumn id="9" name="Total Costs" totalsRowFunction="custom" dataDxfId="148" totalsRowDxfId="147" dataCellStyle="Normal">
      <calculatedColumnFormula>SUM(L9,I9)</calculatedColumnFormula>
      <totalsRowFormula>+M35+M24</totalsRowFormula>
    </tableColumn>
    <tableColumn id="12" name="Column1" dataDxfId="146" totalsRowDxfId="145" dataCellStyle="Normal"/>
    <tableColumn id="14" name="Column2" dataDxfId="144" totalsRowDxfId="143" dataCellStyle="Normal"/>
    <tableColumn id="16" name="Column3" dataDxfId="142" totalsRowDxfId="141" dataCellStyle="Normal"/>
  </tableColumns>
  <tableStyleInfo name="TableStyleLight8" showFirstColumn="0" showLastColumn="0" showRowStripes="1" showColumnStripes="0"/>
  <extLst>
    <ext xmlns:x14="http://schemas.microsoft.com/office/spreadsheetml/2009/9/main" uri="{504A1905-F514-4f6f-8877-14C23A59335A}">
      <x14:table altTextSummary="Proposed Budget Summary by Fiscal Year for the 2018-19 CAASPP Administration Cycle"/>
    </ext>
  </extLst>
</table>
</file>

<file path=xl/tables/table9.xml><?xml version="1.0" encoding="utf-8"?>
<table xmlns="http://schemas.openxmlformats.org/spreadsheetml/2006/main" id="11" name="Table131012" displayName="Table131012" ref="A8:K53" totalsRowCount="1" headerRowDxfId="140" dataDxfId="139" totalsRowDxfId="138">
  <autoFilter ref="A8:K5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 name="Description" totalsRowLabel="Total cost for 2018–19 test administration cycle" totalsRowDxfId="137" dataCellStyle="Normal 3 2"/>
    <tableColumn id="3" name="Column A: _x000a_Task" totalsRowLabel="N/A" dataDxfId="136" totalsRowDxfId="135"/>
    <tableColumn id="4" name="Column B: _x000a_Test Type " totalsRowLabel="N/A" dataDxfId="134" totalsRowDxfId="133"/>
    <tableColumn id="5" name="Column C: _x000a_Subjects " totalsRowLabel="N/A" dataDxfId="132" totalsRowDxfId="131"/>
    <tableColumn id="8" name="Column D: _x000a_Grades_x000a_to be_x000a_Tested" totalsRowLabel="N/A" dataDxfId="130" totalsRowDxfId="129"/>
    <tableColumn id="9" name="Column E: _x000a_Estimated Number of Test Takers*" totalsRowFunction="custom" dataDxfId="128" totalsRowDxfId="127" dataCellStyle="Comma">
      <totalsRowFormula>F37+F52</totalsRowFormula>
    </tableColumn>
    <tableColumn id="10" name="Column F: _x000a_Fixed Costs" totalsRowFunction="custom" dataDxfId="126" totalsRowDxfId="125">
      <totalsRowFormula>G37+G52</totalsRowFormula>
    </tableColumn>
    <tableColumn id="11" name="Column G: _x000a_Per Pupil Costs" totalsRowFunction="custom" dataDxfId="124" totalsRowDxfId="123">
      <totalsRowFormula>H37+H52</totalsRowFormula>
    </tableColumn>
    <tableColumn id="12" name="Column H: _x000a_Per Pupil Rate _x000a_(Column G divided by Column E)" totalsRowFunction="custom" dataDxfId="122" totalsRowDxfId="121">
      <totalsRowFormula>ROUND(Table131012[[#Totals],[Column G: 
Per Pupil Costs]]/Table131012[[#Totals],[Column E: 
Estimated Number of Test Takers*]],2)</totalsRowFormula>
    </tableColumn>
    <tableColumn id="13" name="Column I: _x000a_Total Costs_x000a_(Column F plus Column G)" totalsRowFunction="custom" totalsRowDxfId="120">
      <totalsRowFormula>J37+J52</totalsRowFormula>
    </tableColumn>
    <tableColumn id="14" name="Column J: _x000a_Total Per Pupil Cost _x000a_(Column I divided by Column E )" totalsRowFunction="custom" dataDxfId="119" totalsRowDxfId="118">
      <totalsRowFormula>ROUND(+J53/F53,2)</totalsRowFormula>
    </tableColumn>
  </tableColumns>
  <tableStyleInfo name="TableStyleLight8" showFirstColumn="0" showLastColumn="0" showRowStripes="1" showColumnStripes="0"/>
  <extLst>
    <ext xmlns:x14="http://schemas.microsoft.com/office/spreadsheetml/2009/9/main" uri="{504A1905-F514-4f6f-8877-14C23A59335A}">
      <x14:table altTextSummary="Budget for the 2018-19 Test Administration Cyc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J25"/>
  <sheetViews>
    <sheetView showGridLines="0" tabSelected="1" zoomScaleNormal="100" zoomScalePageLayoutView="80" workbookViewId="0"/>
  </sheetViews>
  <sheetFormatPr defaultColWidth="0" defaultRowHeight="0" customHeight="1" zeroHeight="1" x14ac:dyDescent="0.25"/>
  <cols>
    <col min="1" max="1" width="20.5703125" customWidth="1"/>
    <col min="2" max="2" width="15.42578125" customWidth="1"/>
    <col min="3" max="3" width="15.28515625" customWidth="1"/>
    <col min="4" max="4" width="14.28515625" customWidth="1"/>
    <col min="5" max="5" width="15.28515625" customWidth="1"/>
    <col min="6" max="6" width="18" bestFit="1" customWidth="1"/>
    <col min="7" max="7" width="16.5703125" customWidth="1"/>
    <col min="8" max="8" width="14.42578125" customWidth="1"/>
    <col min="9" max="9" width="14.28515625" customWidth="1"/>
    <col min="10" max="10" width="16" customWidth="1"/>
    <col min="11" max="11" width="13.42578125" customWidth="1"/>
    <col min="12" max="12" width="14.7109375" customWidth="1"/>
    <col min="13" max="14" width="16.28515625" customWidth="1"/>
    <col min="15" max="15" width="15.85546875" customWidth="1"/>
    <col min="16" max="16" width="15.28515625" customWidth="1"/>
    <col min="17" max="36" width="0" hidden="1" customWidth="1"/>
    <col min="37" max="16384" width="17.28515625" hidden="1"/>
  </cols>
  <sheetData>
    <row r="1" spans="1:16" ht="24.75" customHeight="1" x14ac:dyDescent="0.4">
      <c r="A1" s="88" t="s">
        <v>212</v>
      </c>
      <c r="B1" s="89"/>
      <c r="C1" s="89"/>
      <c r="D1" s="87"/>
      <c r="E1" s="87"/>
      <c r="O1" s="84"/>
    </row>
    <row r="2" spans="1:16" ht="23.25" x14ac:dyDescent="0.35">
      <c r="A2" s="90" t="s">
        <v>0</v>
      </c>
      <c r="B2" s="91"/>
      <c r="C2" s="91"/>
      <c r="D2" s="91"/>
      <c r="E2" s="91"/>
    </row>
    <row r="3" spans="1:16" ht="23.25" x14ac:dyDescent="0.35">
      <c r="A3" s="93" t="s">
        <v>213</v>
      </c>
      <c r="B3" s="91"/>
      <c r="C3" s="91"/>
      <c r="D3" s="91"/>
      <c r="E3" s="91"/>
    </row>
    <row r="4" spans="1:16" ht="15.75" x14ac:dyDescent="0.25">
      <c r="A4" s="8" t="s">
        <v>1</v>
      </c>
      <c r="B4" s="8"/>
      <c r="C4" s="8"/>
      <c r="D4" s="8"/>
      <c r="E4" s="8"/>
      <c r="F4" s="8"/>
      <c r="G4" s="8"/>
      <c r="H4" s="8"/>
      <c r="I4" s="8"/>
      <c r="J4" s="8"/>
      <c r="K4" s="8"/>
      <c r="L4" s="8"/>
      <c r="M4" s="8"/>
      <c r="N4" s="8"/>
      <c r="O4" s="8"/>
      <c r="P4" s="8"/>
    </row>
    <row r="5" spans="1:16" ht="15.75" x14ac:dyDescent="0.25">
      <c r="A5" s="59" t="s">
        <v>2</v>
      </c>
      <c r="B5" s="8"/>
      <c r="C5" s="8"/>
      <c r="D5" s="8"/>
      <c r="E5" s="8"/>
      <c r="F5" s="8"/>
      <c r="G5" s="8"/>
      <c r="H5" s="8"/>
      <c r="I5" s="8"/>
      <c r="J5" s="8"/>
      <c r="K5" s="8"/>
      <c r="L5" s="8"/>
      <c r="M5" s="8"/>
      <c r="N5" s="8"/>
      <c r="O5" s="8"/>
      <c r="P5" s="8"/>
    </row>
    <row r="6" spans="1:16" ht="15.75" x14ac:dyDescent="0.25">
      <c r="A6" s="8" t="s">
        <v>3</v>
      </c>
      <c r="B6" s="8"/>
      <c r="C6" s="8"/>
      <c r="D6" s="8"/>
      <c r="E6" s="8"/>
      <c r="F6" s="8"/>
      <c r="G6" s="8"/>
      <c r="H6" s="8"/>
      <c r="I6" s="8"/>
      <c r="J6" s="8"/>
      <c r="K6" s="8"/>
      <c r="L6" s="8"/>
      <c r="M6" s="8"/>
      <c r="N6" s="8"/>
      <c r="O6" s="8"/>
      <c r="P6" s="8"/>
    </row>
    <row r="7" spans="1:16" ht="15.75" x14ac:dyDescent="0.25">
      <c r="A7" s="12" t="s">
        <v>4</v>
      </c>
      <c r="B7" s="8"/>
      <c r="C7" s="8"/>
      <c r="D7" s="8"/>
      <c r="E7" s="8"/>
      <c r="F7" s="8"/>
      <c r="G7" s="8"/>
      <c r="H7" s="8"/>
      <c r="I7" s="8"/>
      <c r="J7" s="8"/>
      <c r="K7" s="8"/>
      <c r="L7" s="8"/>
      <c r="M7" s="8"/>
      <c r="N7" s="8"/>
      <c r="O7" s="8"/>
      <c r="P7" s="8"/>
    </row>
    <row r="8" spans="1:16" s="67" customFormat="1" ht="27" customHeight="1" x14ac:dyDescent="0.25">
      <c r="A8" s="36" t="s">
        <v>5</v>
      </c>
      <c r="B8" s="36"/>
      <c r="C8" s="36"/>
      <c r="D8" s="36"/>
      <c r="E8" s="36"/>
      <c r="F8" s="36"/>
      <c r="G8" s="36"/>
      <c r="H8" s="36"/>
      <c r="I8" s="36"/>
      <c r="J8" s="36"/>
      <c r="K8" s="36"/>
      <c r="L8" s="36"/>
      <c r="M8" s="36"/>
      <c r="N8" s="36"/>
      <c r="O8" s="36"/>
      <c r="P8" s="36"/>
    </row>
    <row r="9" spans="1:16" s="11" customFormat="1" ht="82.5" customHeight="1" x14ac:dyDescent="0.25">
      <c r="A9" s="14" t="s">
        <v>6</v>
      </c>
      <c r="B9" s="14" t="s">
        <v>7</v>
      </c>
      <c r="C9" s="14" t="s">
        <v>8</v>
      </c>
      <c r="D9" s="14" t="s">
        <v>9</v>
      </c>
      <c r="E9" s="14" t="s">
        <v>10</v>
      </c>
      <c r="F9" s="14" t="s">
        <v>11</v>
      </c>
      <c r="G9" s="14" t="s">
        <v>12</v>
      </c>
      <c r="H9" s="14" t="s">
        <v>13</v>
      </c>
      <c r="I9" s="14" t="s">
        <v>14</v>
      </c>
      <c r="J9" s="14" t="s">
        <v>15</v>
      </c>
      <c r="K9" s="14" t="s">
        <v>16</v>
      </c>
      <c r="L9" s="14" t="s">
        <v>17</v>
      </c>
      <c r="M9" s="14" t="s">
        <v>18</v>
      </c>
      <c r="N9" s="14" t="s">
        <v>19</v>
      </c>
      <c r="O9" s="14" t="s">
        <v>20</v>
      </c>
      <c r="P9" s="14" t="s">
        <v>21</v>
      </c>
    </row>
    <row r="10" spans="1:16" s="17" customFormat="1" ht="33" customHeight="1" x14ac:dyDescent="0.25">
      <c r="A10" s="8" t="s">
        <v>22</v>
      </c>
      <c r="B10" s="19">
        <v>76149935</v>
      </c>
      <c r="C10" s="19">
        <v>10269193.48</v>
      </c>
      <c r="D10" s="19">
        <v>0</v>
      </c>
      <c r="E10" s="19">
        <v>0</v>
      </c>
      <c r="F10" s="19">
        <v>0</v>
      </c>
      <c r="G10" s="19">
        <v>0</v>
      </c>
      <c r="H10" s="19">
        <v>0</v>
      </c>
      <c r="I10" s="19">
        <v>0</v>
      </c>
      <c r="J10" s="19">
        <v>0</v>
      </c>
      <c r="K10" s="19">
        <v>0</v>
      </c>
      <c r="L10" s="19">
        <v>0</v>
      </c>
      <c r="M10" s="19">
        <v>0</v>
      </c>
      <c r="N10" s="19">
        <v>0</v>
      </c>
      <c r="O10" s="19">
        <v>0</v>
      </c>
      <c r="P10"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86419128.480000004</v>
      </c>
    </row>
    <row r="11" spans="1:16" s="17" customFormat="1" ht="33" customHeight="1" x14ac:dyDescent="0.25">
      <c r="A11" s="8" t="s">
        <v>23</v>
      </c>
      <c r="B11" s="19">
        <v>0</v>
      </c>
      <c r="C11" s="19">
        <v>72837900</v>
      </c>
      <c r="D11" s="19">
        <v>5754766</v>
      </c>
      <c r="E11" s="19">
        <v>0</v>
      </c>
      <c r="F11" s="19">
        <v>0</v>
      </c>
      <c r="G11" s="19">
        <v>0</v>
      </c>
      <c r="H11" s="19">
        <v>0</v>
      </c>
      <c r="I11" s="19">
        <v>0</v>
      </c>
      <c r="J11" s="19">
        <v>0</v>
      </c>
      <c r="K11" s="19">
        <v>0</v>
      </c>
      <c r="L11" s="19">
        <v>0</v>
      </c>
      <c r="M11" s="19">
        <v>0</v>
      </c>
      <c r="N11" s="19">
        <v>0</v>
      </c>
      <c r="O11" s="19">
        <v>0</v>
      </c>
      <c r="P11"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78592666</v>
      </c>
    </row>
    <row r="12" spans="1:16" s="17" customFormat="1" ht="33" customHeight="1" x14ac:dyDescent="0.25">
      <c r="A12" s="8" t="s">
        <v>24</v>
      </c>
      <c r="B12" s="19">
        <v>0</v>
      </c>
      <c r="C12" s="19">
        <v>0</v>
      </c>
      <c r="D12" s="19">
        <v>71519012</v>
      </c>
      <c r="E12" s="19">
        <v>5380178</v>
      </c>
      <c r="F12" s="19">
        <v>0</v>
      </c>
      <c r="G12" s="19">
        <v>5380178</v>
      </c>
      <c r="H12" s="19">
        <v>0</v>
      </c>
      <c r="I12" s="19">
        <v>0</v>
      </c>
      <c r="J12" s="19">
        <v>0</v>
      </c>
      <c r="K12" s="19">
        <v>0</v>
      </c>
      <c r="L12" s="19">
        <v>0</v>
      </c>
      <c r="M12" s="19">
        <v>0</v>
      </c>
      <c r="N12" s="19">
        <v>0</v>
      </c>
      <c r="O12" s="19">
        <v>0</v>
      </c>
      <c r="P12"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76899190</v>
      </c>
    </row>
    <row r="13" spans="1:16" s="17" customFormat="1" ht="33" customHeight="1" x14ac:dyDescent="0.25">
      <c r="A13" s="8" t="s">
        <v>25</v>
      </c>
      <c r="B13" s="19">
        <v>0</v>
      </c>
      <c r="C13" s="19">
        <v>0</v>
      </c>
      <c r="D13" s="19">
        <v>0</v>
      </c>
      <c r="E13" s="19">
        <v>77373822</v>
      </c>
      <c r="F13" s="19">
        <v>0</v>
      </c>
      <c r="G13" s="19">
        <v>77373822</v>
      </c>
      <c r="H13" s="19">
        <v>1578399</v>
      </c>
      <c r="I13" s="19">
        <v>0</v>
      </c>
      <c r="J13" s="19">
        <v>1578399</v>
      </c>
      <c r="K13" s="19">
        <v>0</v>
      </c>
      <c r="L13" s="19">
        <v>0</v>
      </c>
      <c r="M13" s="19">
        <v>0</v>
      </c>
      <c r="N13" s="19">
        <v>0</v>
      </c>
      <c r="O13" s="19">
        <v>0</v>
      </c>
      <c r="P13"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78952221</v>
      </c>
    </row>
    <row r="14" spans="1:16" s="17" customFormat="1" ht="33" customHeight="1" x14ac:dyDescent="0.25">
      <c r="A14" s="8" t="s">
        <v>26</v>
      </c>
      <c r="B14" s="19">
        <v>0</v>
      </c>
      <c r="C14" s="19">
        <v>0</v>
      </c>
      <c r="D14" s="19">
        <v>0</v>
      </c>
      <c r="E14" s="19">
        <v>0</v>
      </c>
      <c r="F14" s="19">
        <v>0</v>
      </c>
      <c r="G14" s="19">
        <v>0</v>
      </c>
      <c r="H14" s="19">
        <v>75641829</v>
      </c>
      <c r="I14" s="19">
        <v>-373397</v>
      </c>
      <c r="J14" s="19">
        <v>75268432</v>
      </c>
      <c r="K14" s="19">
        <v>2369536</v>
      </c>
      <c r="L14" s="19">
        <v>0</v>
      </c>
      <c r="M14" s="19">
        <v>2369536</v>
      </c>
      <c r="N14" s="19">
        <v>0</v>
      </c>
      <c r="O14" s="19">
        <v>0</v>
      </c>
      <c r="P14"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77637968</v>
      </c>
    </row>
    <row r="15" spans="1:16" s="17" customFormat="1" ht="33" customHeight="1" x14ac:dyDescent="0.25">
      <c r="A15" s="8" t="s">
        <v>27</v>
      </c>
      <c r="B15" s="19">
        <v>0</v>
      </c>
      <c r="C15" s="19">
        <v>0</v>
      </c>
      <c r="D15" s="19">
        <v>0</v>
      </c>
      <c r="E15" s="19">
        <v>0</v>
      </c>
      <c r="F15" s="19">
        <v>0</v>
      </c>
      <c r="G15" s="19">
        <v>0</v>
      </c>
      <c r="H15" s="19">
        <v>0</v>
      </c>
      <c r="I15" s="19">
        <v>0</v>
      </c>
      <c r="J15" s="19">
        <v>0</v>
      </c>
      <c r="K15" s="19">
        <v>0</v>
      </c>
      <c r="L15" s="19">
        <v>74317787</v>
      </c>
      <c r="M15" s="19">
        <v>74317787</v>
      </c>
      <c r="N15" s="19">
        <v>2651082</v>
      </c>
      <c r="O15" s="19">
        <v>0</v>
      </c>
      <c r="P15"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76968869</v>
      </c>
    </row>
    <row r="16" spans="1:16" s="17" customFormat="1" ht="33" customHeight="1" x14ac:dyDescent="0.25">
      <c r="A16" s="8" t="s">
        <v>28</v>
      </c>
      <c r="B16" s="19">
        <v>0</v>
      </c>
      <c r="C16" s="19">
        <v>0</v>
      </c>
      <c r="D16" s="19">
        <v>0</v>
      </c>
      <c r="E16" s="19">
        <v>0</v>
      </c>
      <c r="F16" s="19">
        <v>0</v>
      </c>
      <c r="G16" s="19">
        <v>0</v>
      </c>
      <c r="H16" s="19">
        <v>0</v>
      </c>
      <c r="I16" s="19">
        <v>0</v>
      </c>
      <c r="J16" s="19">
        <v>0</v>
      </c>
      <c r="K16" s="19">
        <v>0</v>
      </c>
      <c r="L16" s="19">
        <v>0</v>
      </c>
      <c r="M16" s="19">
        <v>0</v>
      </c>
      <c r="N16" s="19">
        <v>74023675</v>
      </c>
      <c r="O16" s="19">
        <v>3000000</v>
      </c>
      <c r="P16"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77023675</v>
      </c>
    </row>
    <row r="17" spans="1:16" s="17" customFormat="1" ht="33" customHeight="1" x14ac:dyDescent="0.25">
      <c r="A17" s="18" t="s">
        <v>29</v>
      </c>
      <c r="B17" s="37">
        <v>76149935</v>
      </c>
      <c r="C17" s="37">
        <v>83107093.480000004</v>
      </c>
      <c r="D17" s="37">
        <v>77273778</v>
      </c>
      <c r="E17" s="37">
        <v>82754000</v>
      </c>
      <c r="F17" s="37">
        <v>0</v>
      </c>
      <c r="G17" s="37">
        <v>82754000</v>
      </c>
      <c r="H17" s="37">
        <v>77220228</v>
      </c>
      <c r="I17" s="37">
        <v>-373397</v>
      </c>
      <c r="J17" s="37">
        <v>76846831</v>
      </c>
      <c r="K17" s="37">
        <v>2369536</v>
      </c>
      <c r="L17" s="37">
        <v>74317787</v>
      </c>
      <c r="M17" s="37">
        <v>76687323</v>
      </c>
      <c r="N17" s="37">
        <v>76674757</v>
      </c>
      <c r="O17" s="37">
        <v>3000000</v>
      </c>
      <c r="P17" s="37">
        <f t="shared" ref="P17" si="0">P10+P11+P12+P13+P14+P15+P16</f>
        <v>552493717.48000002</v>
      </c>
    </row>
    <row r="18" spans="1:16" s="17" customFormat="1" ht="49.15" customHeight="1" x14ac:dyDescent="0.25">
      <c r="A18" s="8" t="s">
        <v>30</v>
      </c>
      <c r="B18" s="19">
        <v>0</v>
      </c>
      <c r="C18" s="19">
        <v>0</v>
      </c>
      <c r="D18" s="19">
        <v>0</v>
      </c>
      <c r="E18" s="19">
        <v>0</v>
      </c>
      <c r="F18" s="19">
        <v>32596387</v>
      </c>
      <c r="G18" s="19">
        <v>32596387</v>
      </c>
      <c r="H18" s="19">
        <v>0</v>
      </c>
      <c r="I18" s="19">
        <v>3476801</v>
      </c>
      <c r="J18" s="19">
        <v>3476801</v>
      </c>
      <c r="K18" s="19">
        <v>0</v>
      </c>
      <c r="L18" s="19">
        <v>0</v>
      </c>
      <c r="M18" s="19">
        <v>0</v>
      </c>
      <c r="N18" s="19">
        <v>0</v>
      </c>
      <c r="O18" s="19">
        <v>0</v>
      </c>
      <c r="P18"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36073188</v>
      </c>
    </row>
    <row r="19" spans="1:16" s="17" customFormat="1" ht="33" customHeight="1" x14ac:dyDescent="0.25">
      <c r="A19" s="8" t="s">
        <v>31</v>
      </c>
      <c r="B19" s="19">
        <v>0</v>
      </c>
      <c r="C19" s="19">
        <v>0</v>
      </c>
      <c r="D19" s="19">
        <v>0</v>
      </c>
      <c r="E19" s="19">
        <v>0</v>
      </c>
      <c r="F19" s="19">
        <v>3230199</v>
      </c>
      <c r="G19" s="19">
        <v>3230199</v>
      </c>
      <c r="H19" s="19">
        <v>0</v>
      </c>
      <c r="I19" s="19">
        <v>30550928</v>
      </c>
      <c r="J19" s="19">
        <v>30550928</v>
      </c>
      <c r="K19" s="19">
        <v>0</v>
      </c>
      <c r="L19" s="19">
        <v>2600219</v>
      </c>
      <c r="M19" s="19">
        <v>2600219</v>
      </c>
      <c r="N19" s="19">
        <v>0</v>
      </c>
      <c r="O19" s="19">
        <v>0</v>
      </c>
      <c r="P19"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36381346</v>
      </c>
    </row>
    <row r="20" spans="1:16" s="17" customFormat="1" ht="33" customHeight="1" x14ac:dyDescent="0.25">
      <c r="A20" s="8" t="s">
        <v>32</v>
      </c>
      <c r="B20" s="19">
        <v>0</v>
      </c>
      <c r="C20" s="19">
        <v>0</v>
      </c>
      <c r="D20" s="19">
        <v>0</v>
      </c>
      <c r="E20" s="19">
        <v>0</v>
      </c>
      <c r="F20" s="19">
        <v>0</v>
      </c>
      <c r="G20" s="19">
        <v>0</v>
      </c>
      <c r="H20" s="19">
        <v>0</v>
      </c>
      <c r="I20" s="19">
        <v>2334594</v>
      </c>
      <c r="J20" s="19">
        <v>2334594</v>
      </c>
      <c r="K20" s="19">
        <v>0</v>
      </c>
      <c r="L20" s="19">
        <v>19606428</v>
      </c>
      <c r="M20" s="19">
        <v>19606428</v>
      </c>
      <c r="N20" s="19">
        <v>2173754</v>
      </c>
      <c r="O20" s="19">
        <v>0</v>
      </c>
      <c r="P20"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24114776</v>
      </c>
    </row>
    <row r="21" spans="1:16" s="17" customFormat="1" ht="33" customHeight="1" x14ac:dyDescent="0.25">
      <c r="A21" s="8" t="s">
        <v>33</v>
      </c>
      <c r="B21" s="19">
        <v>0</v>
      </c>
      <c r="C21" s="19">
        <v>0</v>
      </c>
      <c r="D21" s="19">
        <v>0</v>
      </c>
      <c r="E21" s="19">
        <v>0</v>
      </c>
      <c r="F21" s="19">
        <v>0</v>
      </c>
      <c r="G21" s="19">
        <v>0</v>
      </c>
      <c r="H21" s="19">
        <v>0</v>
      </c>
      <c r="I21" s="19">
        <v>0</v>
      </c>
      <c r="J21" s="19">
        <v>0</v>
      </c>
      <c r="K21" s="19">
        <v>0</v>
      </c>
      <c r="L21" s="19">
        <v>1010405</v>
      </c>
      <c r="M21" s="19">
        <v>1010405</v>
      </c>
      <c r="N21" s="19">
        <v>20744889</v>
      </c>
      <c r="O21" s="19">
        <v>2245287</v>
      </c>
      <c r="P21" s="19">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24000581</v>
      </c>
    </row>
    <row r="22" spans="1:16" ht="33" customHeight="1" x14ac:dyDescent="0.25">
      <c r="A22" s="18" t="s">
        <v>34</v>
      </c>
      <c r="B22" s="37">
        <v>0</v>
      </c>
      <c r="C22" s="37">
        <v>0</v>
      </c>
      <c r="D22" s="37">
        <v>0</v>
      </c>
      <c r="E22" s="37">
        <v>0</v>
      </c>
      <c r="F22" s="37">
        <v>35826586</v>
      </c>
      <c r="G22" s="37">
        <v>35826586</v>
      </c>
      <c r="H22" s="37">
        <v>0</v>
      </c>
      <c r="I22" s="37">
        <v>36362323</v>
      </c>
      <c r="J22" s="37">
        <v>36362323</v>
      </c>
      <c r="K22" s="37">
        <v>0</v>
      </c>
      <c r="L22" s="37">
        <v>23217052</v>
      </c>
      <c r="M22" s="37">
        <v>23217052</v>
      </c>
      <c r="N22" s="37">
        <v>22918643</v>
      </c>
      <c r="O22" s="37">
        <v>2245287</v>
      </c>
      <c r="P22" s="37">
        <f>+Table3[[#This Row],[Fiscal Year 2022-23 
(7/1/22 to 12/31/22)]]+Table3[[#This Row],[Fiscal Year 2021-22 
(7/1/21 to 6/30/22)]]+Table3[[#This Row],[Revised Fiscal Year 2020-21]]+Table3[[#This Row],[Revised Fiscal Year 2019-20]]+Table3[[#This Row],[Revised Fiscal Year 2018-19]]+Table3[[#This Row],[Fiscal Year 2017-18 
(7/1/17 to 6/30/18)]]+Table3[[#This Row],[Fiscal Year 2016-17 
(7/1/16 to 6/30/17)]]+Table3[[#This Row],[Fiscal Year 2015–16
(7/1/15 to 6/30/16)]]</f>
        <v>120569891</v>
      </c>
    </row>
    <row r="23" spans="1:16" ht="33" customHeight="1" x14ac:dyDescent="0.25">
      <c r="A23" s="13" t="s">
        <v>35</v>
      </c>
      <c r="B23" s="19">
        <f t="shared" ref="B23:P23" si="1">B17+B22</f>
        <v>76149935</v>
      </c>
      <c r="C23" s="19">
        <f t="shared" si="1"/>
        <v>83107093.480000004</v>
      </c>
      <c r="D23" s="19">
        <f t="shared" si="1"/>
        <v>77273778</v>
      </c>
      <c r="E23" s="19">
        <f t="shared" si="1"/>
        <v>82754000</v>
      </c>
      <c r="F23" s="19">
        <f t="shared" si="1"/>
        <v>35826586</v>
      </c>
      <c r="G23" s="19">
        <f t="shared" si="1"/>
        <v>118580586</v>
      </c>
      <c r="H23" s="19">
        <f t="shared" si="1"/>
        <v>77220228</v>
      </c>
      <c r="I23" s="19">
        <f t="shared" si="1"/>
        <v>35988926</v>
      </c>
      <c r="J23" s="19">
        <f t="shared" si="1"/>
        <v>113209154</v>
      </c>
      <c r="K23" s="19">
        <f t="shared" si="1"/>
        <v>2369536</v>
      </c>
      <c r="L23" s="19">
        <f t="shared" si="1"/>
        <v>97534839</v>
      </c>
      <c r="M23" s="19">
        <f t="shared" si="1"/>
        <v>99904375</v>
      </c>
      <c r="N23" s="19">
        <f t="shared" si="1"/>
        <v>99593400</v>
      </c>
      <c r="O23" s="19">
        <f t="shared" si="1"/>
        <v>5245287</v>
      </c>
      <c r="P23" s="19">
        <f t="shared" si="1"/>
        <v>673063608.48000002</v>
      </c>
    </row>
    <row r="24" spans="1:16" ht="15" x14ac:dyDescent="0.25"/>
    <row r="25" spans="1:16" ht="15" x14ac:dyDescent="0.25"/>
  </sheetData>
  <pageMargins left="0.25" right="0.25" top="0.5" bottom="0.5" header="0.3" footer="0.3"/>
  <pageSetup scale="52" fitToHeight="0" orientation="landscape" r:id="rId1"/>
  <headerFooter>
    <oddHeader xml:space="preserve">&amp;R&amp;"Arial,Regular"&amp;12pptb-adad-nov18item03
Attachment 4
Page &amp;P of &amp;N
</oddHeader>
    <oddFooter>&amp;L&amp;"Arial,Regular"&amp;12California Department of Education - November 2018</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XFB59"/>
  <sheetViews>
    <sheetView showGridLines="0" zoomScaleNormal="100" workbookViewId="0"/>
  </sheetViews>
  <sheetFormatPr defaultColWidth="0" defaultRowHeight="12.75" zeroHeight="1" x14ac:dyDescent="0.2"/>
  <cols>
    <col min="1" max="1" width="39.7109375" style="9" customWidth="1"/>
    <col min="2" max="2" width="33.85546875" style="9" customWidth="1"/>
    <col min="3" max="3" width="8" style="9" customWidth="1"/>
    <col min="4" max="4" width="10.28515625" style="9" customWidth="1"/>
    <col min="5" max="5" width="8.5703125" style="9" customWidth="1"/>
    <col min="6" max="6" width="12" style="10" customWidth="1"/>
    <col min="7" max="7" width="10.28515625" style="9" customWidth="1"/>
    <col min="8" max="8" width="12.42578125" style="9" customWidth="1"/>
    <col min="9" max="9" width="12.5703125" style="9" customWidth="1"/>
    <col min="10" max="10" width="13.85546875" style="9" customWidth="1"/>
    <col min="11" max="11" width="14.28515625" style="9" customWidth="1"/>
    <col min="12" max="12" width="15" style="9" customWidth="1"/>
    <col min="13" max="14" width="12.5703125" style="9" customWidth="1"/>
    <col min="15" max="15" width="12.7109375" style="9" customWidth="1"/>
    <col min="16" max="16" width="15.42578125" style="9" customWidth="1"/>
    <col min="17" max="17" width="14.7109375" style="9" hidden="1" customWidth="1"/>
    <col min="18" max="16381" width="8.85546875" style="9" hidden="1"/>
    <col min="16382" max="16382" width="0.28515625" style="9" hidden="1" customWidth="1"/>
    <col min="16383" max="16383" width="0.42578125" style="9" customWidth="1"/>
    <col min="16384" max="16384" width="1.5703125" style="9" customWidth="1"/>
  </cols>
  <sheetData>
    <row r="1" spans="1:16" ht="23.25" x14ac:dyDescent="0.35">
      <c r="A1" s="91" t="s">
        <v>180</v>
      </c>
      <c r="B1"/>
      <c r="C1" s="5"/>
      <c r="D1" s="5"/>
      <c r="E1" s="5"/>
      <c r="F1" s="1"/>
      <c r="G1" s="5"/>
      <c r="H1" s="5"/>
      <c r="I1" s="5"/>
      <c r="J1" s="5"/>
      <c r="K1" s="5"/>
      <c r="L1" s="5"/>
      <c r="M1" s="5"/>
      <c r="O1" s="86"/>
    </row>
    <row r="2" spans="1:16" ht="15.75" x14ac:dyDescent="0.25">
      <c r="A2" s="92" t="s">
        <v>213</v>
      </c>
      <c r="B2"/>
      <c r="C2" s="5"/>
      <c r="D2" s="5"/>
      <c r="E2" s="5"/>
      <c r="F2" s="1"/>
      <c r="G2" s="5"/>
      <c r="H2" s="5"/>
      <c r="I2" s="5"/>
      <c r="J2" s="5"/>
      <c r="K2" s="5"/>
      <c r="L2" s="5"/>
      <c r="M2" s="5"/>
      <c r="O2" s="86"/>
    </row>
    <row r="3" spans="1:16" ht="15.75" x14ac:dyDescent="0.25">
      <c r="A3" s="8" t="s">
        <v>1</v>
      </c>
      <c r="B3"/>
      <c r="C3" s="5"/>
      <c r="D3" s="5"/>
      <c r="E3" s="5"/>
      <c r="F3" s="1"/>
      <c r="G3" s="5"/>
      <c r="H3" s="5"/>
      <c r="I3" s="5"/>
      <c r="J3" s="5"/>
      <c r="K3" s="5"/>
      <c r="L3" s="5"/>
      <c r="M3" s="5"/>
    </row>
    <row r="4" spans="1:16" ht="15.75" x14ac:dyDescent="0.25">
      <c r="A4" s="59" t="s">
        <v>2</v>
      </c>
      <c r="B4"/>
      <c r="C4" s="5"/>
      <c r="D4" s="5"/>
      <c r="E4" s="5"/>
      <c r="F4" s="1"/>
      <c r="G4" s="5"/>
      <c r="H4" s="5"/>
      <c r="I4" s="5"/>
      <c r="J4" s="5"/>
      <c r="K4" s="5"/>
      <c r="L4" s="5"/>
      <c r="M4" s="5"/>
    </row>
    <row r="5" spans="1:16" ht="15.75" x14ac:dyDescent="0.25">
      <c r="A5" s="8" t="s">
        <v>3</v>
      </c>
      <c r="B5"/>
      <c r="C5" s="5"/>
      <c r="D5" s="5"/>
      <c r="E5" s="5"/>
      <c r="F5" s="1"/>
      <c r="G5" s="5"/>
      <c r="H5" s="5"/>
      <c r="I5" s="5"/>
      <c r="J5" s="5"/>
      <c r="K5" s="5"/>
      <c r="L5" s="5"/>
      <c r="M5" s="5"/>
    </row>
    <row r="6" spans="1:16" ht="15.75" x14ac:dyDescent="0.25">
      <c r="A6" s="12" t="s">
        <v>4</v>
      </c>
      <c r="B6"/>
      <c r="C6" s="5"/>
      <c r="D6" s="5"/>
      <c r="E6" s="5"/>
      <c r="F6" s="1"/>
      <c r="G6" s="5"/>
      <c r="H6" s="5"/>
      <c r="I6" s="5"/>
      <c r="J6" s="5"/>
      <c r="K6" s="5"/>
      <c r="L6" s="5"/>
      <c r="M6" s="5"/>
    </row>
    <row r="7" spans="1:16" ht="19.149999999999999" customHeight="1" x14ac:dyDescent="0.25">
      <c r="A7" s="8" t="s">
        <v>37</v>
      </c>
      <c r="B7"/>
      <c r="C7" s="5"/>
      <c r="D7" s="5"/>
      <c r="E7" s="5"/>
      <c r="F7" s="1"/>
      <c r="G7" s="5"/>
      <c r="H7" s="5"/>
      <c r="I7" s="5"/>
      <c r="J7" s="5"/>
      <c r="K7" s="5"/>
      <c r="L7" s="5"/>
      <c r="M7" s="5"/>
    </row>
    <row r="8" spans="1:16" s="16" customFormat="1" ht="77.25" customHeight="1" x14ac:dyDescent="0.25">
      <c r="A8" s="15" t="s">
        <v>38</v>
      </c>
      <c r="B8" s="48" t="s">
        <v>39</v>
      </c>
      <c r="C8" s="48" t="s">
        <v>40</v>
      </c>
      <c r="D8" s="48" t="s">
        <v>41</v>
      </c>
      <c r="E8" s="48" t="s">
        <v>42</v>
      </c>
      <c r="F8" s="48" t="s">
        <v>43</v>
      </c>
      <c r="G8" s="48" t="s">
        <v>181</v>
      </c>
      <c r="H8" s="48" t="s">
        <v>11</v>
      </c>
      <c r="I8" s="48" t="s">
        <v>12</v>
      </c>
      <c r="J8" s="48" t="s">
        <v>182</v>
      </c>
      <c r="K8" s="48" t="s">
        <v>14</v>
      </c>
      <c r="L8" s="48" t="s">
        <v>15</v>
      </c>
      <c r="M8" s="48" t="s">
        <v>183</v>
      </c>
      <c r="N8" s="48" t="s">
        <v>184</v>
      </c>
      <c r="O8" s="48" t="s">
        <v>18</v>
      </c>
      <c r="P8" s="48" t="s">
        <v>21</v>
      </c>
    </row>
    <row r="9" spans="1:16" s="8" customFormat="1" ht="33" customHeight="1" x14ac:dyDescent="0.2">
      <c r="A9" s="13" t="s">
        <v>46</v>
      </c>
      <c r="B9" s="13" t="s">
        <v>47</v>
      </c>
      <c r="C9" s="20">
        <v>1</v>
      </c>
      <c r="D9" s="20" t="s">
        <v>48</v>
      </c>
      <c r="E9" s="20" t="s">
        <v>48</v>
      </c>
      <c r="F9" s="20" t="s">
        <v>48</v>
      </c>
      <c r="G9" s="19">
        <v>0</v>
      </c>
      <c r="H9" s="19">
        <v>0</v>
      </c>
      <c r="I9" s="19">
        <f>SUM(Table469[[#This Row],[Fiscal Year 2018-19 (7/1/18 to 6/30/19)]:[Fiscal Year 2018-19 Amend 6]])</f>
        <v>0</v>
      </c>
      <c r="J9" s="19">
        <v>3880034</v>
      </c>
      <c r="K9" s="19">
        <v>0</v>
      </c>
      <c r="L9" s="19">
        <f>SUM(Table469[[#This Row],[Fiscal Year 2019–20 (7/1/19 to 6/30/20)]:[Fiscal Year 2019-20 Amend 6]])</f>
        <v>3880034</v>
      </c>
      <c r="M9" s="19">
        <v>278363</v>
      </c>
      <c r="N9" s="19">
        <v>0</v>
      </c>
      <c r="O9" s="19">
        <f>SUM(Table469[[#This Row],[Fiscal Year 2020–21 (7/1/20 to 12/31/20)]:[Fiscal Year 2020-21  Amend 6]])</f>
        <v>278363</v>
      </c>
      <c r="P9" s="19">
        <f>+Table469[[#This Row],[Revised Fiscal Year 2020-21]]+Table469[[#This Row],[Revised Fiscal Year 2019-20]]+Table469[[#This Row],[Revised Fiscal Year 2018-19]]</f>
        <v>4158397</v>
      </c>
    </row>
    <row r="10" spans="1:16" s="8" customFormat="1" ht="29.45" customHeight="1" x14ac:dyDescent="0.2">
      <c r="A10" s="13" t="s">
        <v>46</v>
      </c>
      <c r="B10" s="13" t="s">
        <v>49</v>
      </c>
      <c r="C10" s="20">
        <v>2</v>
      </c>
      <c r="D10" s="20" t="s">
        <v>48</v>
      </c>
      <c r="E10" s="20" t="s">
        <v>48</v>
      </c>
      <c r="F10" s="20" t="s">
        <v>48</v>
      </c>
      <c r="G10" s="19">
        <v>0</v>
      </c>
      <c r="H10" s="19">
        <v>0</v>
      </c>
      <c r="I10" s="19">
        <f>SUM(Table469[[#This Row],[Fiscal Year 2018-19 (7/1/18 to 6/30/19)]:[Fiscal Year 2018-19 Amend 6]])</f>
        <v>0</v>
      </c>
      <c r="J10" s="19">
        <v>4092170</v>
      </c>
      <c r="K10" s="19">
        <v>0</v>
      </c>
      <c r="L10" s="19">
        <f>SUM(Table469[[#This Row],[Fiscal Year 2019–20 (7/1/19 to 6/30/20)]:[Fiscal Year 2019-20 Amend 6]])</f>
        <v>4092170</v>
      </c>
      <c r="M10" s="19">
        <v>9405</v>
      </c>
      <c r="N10" s="19">
        <v>0</v>
      </c>
      <c r="O10" s="19">
        <f>SUM(Table469[[#This Row],[Fiscal Year 2020–21 (7/1/20 to 12/31/20)]:[Fiscal Year 2020-21  Amend 6]])</f>
        <v>9405</v>
      </c>
      <c r="P10" s="19">
        <f>+Table469[[#This Row],[Revised Fiscal Year 2020-21]]+Table469[[#This Row],[Revised Fiscal Year 2019-20]]+Table469[[#This Row],[Revised Fiscal Year 2018-19]]</f>
        <v>4101575</v>
      </c>
    </row>
    <row r="11" spans="1:16" s="8" customFormat="1" ht="24" customHeight="1" x14ac:dyDescent="0.2">
      <c r="A11" s="13" t="s">
        <v>46</v>
      </c>
      <c r="B11" s="13" t="s">
        <v>50</v>
      </c>
      <c r="C11" s="20">
        <v>3</v>
      </c>
      <c r="D11" s="20" t="s">
        <v>48</v>
      </c>
      <c r="E11" s="20" t="s">
        <v>48</v>
      </c>
      <c r="F11" s="20" t="s">
        <v>48</v>
      </c>
      <c r="G11" s="19">
        <v>0</v>
      </c>
      <c r="H11" s="19">
        <v>0</v>
      </c>
      <c r="I11" s="19">
        <f>SUM(Table469[[#This Row],[Fiscal Year 2018-19 (7/1/18 to 6/30/19)]:[Fiscal Year 2018-19 Amend 6]])</f>
        <v>0</v>
      </c>
      <c r="J11" s="19">
        <v>3050893</v>
      </c>
      <c r="K11" s="19">
        <v>0</v>
      </c>
      <c r="L11" s="19">
        <f>SUM(Table469[[#This Row],[Fiscal Year 2019–20 (7/1/19 to 6/30/20)]:[Fiscal Year 2019-20 Amend 6]])</f>
        <v>3050893</v>
      </c>
      <c r="M11" s="19">
        <v>236755</v>
      </c>
      <c r="N11" s="19">
        <v>0</v>
      </c>
      <c r="O11" s="19">
        <f>SUM(Table469[[#This Row],[Fiscal Year 2020–21 (7/1/20 to 12/31/20)]:[Fiscal Year 2020-21  Amend 6]])</f>
        <v>236755</v>
      </c>
      <c r="P11" s="19">
        <f>+Table469[[#This Row],[Revised Fiscal Year 2020-21]]+Table469[[#This Row],[Revised Fiscal Year 2019-20]]+Table469[[#This Row],[Revised Fiscal Year 2018-19]]</f>
        <v>3287648</v>
      </c>
    </row>
    <row r="12" spans="1:16" s="8" customFormat="1" ht="24" customHeight="1" x14ac:dyDescent="0.2">
      <c r="A12" s="13" t="s">
        <v>46</v>
      </c>
      <c r="B12" s="13" t="s">
        <v>51</v>
      </c>
      <c r="C12" s="20">
        <v>4</v>
      </c>
      <c r="D12" s="20" t="s">
        <v>48</v>
      </c>
      <c r="E12" s="20" t="s">
        <v>48</v>
      </c>
      <c r="F12" s="20" t="s">
        <v>48</v>
      </c>
      <c r="G12" s="19">
        <v>0</v>
      </c>
      <c r="H12" s="19">
        <v>0</v>
      </c>
      <c r="I12" s="19">
        <f>SUM(Table469[[#This Row],[Fiscal Year 2018-19 (7/1/18 to 6/30/19)]:[Fiscal Year 2018-19 Amend 6]])</f>
        <v>0</v>
      </c>
      <c r="J12" s="19">
        <v>127622</v>
      </c>
      <c r="K12" s="19">
        <v>0</v>
      </c>
      <c r="L12" s="19">
        <f>SUM(Table469[[#This Row],[Fiscal Year 2019–20 (7/1/19 to 6/30/20)]:[Fiscal Year 2019-20 Amend 6]])</f>
        <v>127622</v>
      </c>
      <c r="M12" s="19">
        <v>4448</v>
      </c>
      <c r="N12" s="19">
        <v>0</v>
      </c>
      <c r="O12" s="19">
        <f>SUM(Table469[[#This Row],[Fiscal Year 2020–21 (7/1/20 to 12/31/20)]:[Fiscal Year 2020-21  Amend 6]])</f>
        <v>4448</v>
      </c>
      <c r="P12" s="19">
        <f>+Table469[[#This Row],[Revised Fiscal Year 2020-21]]+Table469[[#This Row],[Revised Fiscal Year 2019-20]]+Table469[[#This Row],[Revised Fiscal Year 2018-19]]</f>
        <v>132070</v>
      </c>
    </row>
    <row r="13" spans="1:16" s="8" customFormat="1" ht="30.75" customHeight="1" x14ac:dyDescent="0.2">
      <c r="A13" s="13" t="s">
        <v>46</v>
      </c>
      <c r="B13" s="13" t="s">
        <v>52</v>
      </c>
      <c r="C13" s="20">
        <v>5</v>
      </c>
      <c r="D13" s="20" t="s">
        <v>48</v>
      </c>
      <c r="E13" s="20" t="s">
        <v>48</v>
      </c>
      <c r="F13" s="20" t="s">
        <v>48</v>
      </c>
      <c r="G13" s="19">
        <v>0</v>
      </c>
      <c r="H13" s="19">
        <v>0</v>
      </c>
      <c r="I13" s="19">
        <f>SUM(Table469[[#This Row],[Fiscal Year 2018-19 (7/1/18 to 6/30/19)]:[Fiscal Year 2018-19 Amend 6]])</f>
        <v>0</v>
      </c>
      <c r="J13" s="19">
        <v>695154</v>
      </c>
      <c r="K13" s="19">
        <v>0</v>
      </c>
      <c r="L13" s="19">
        <f>SUM(Table469[[#This Row],[Fiscal Year 2019–20 (7/1/19 to 6/30/20)]:[Fiscal Year 2019-20 Amend 6]])</f>
        <v>695154</v>
      </c>
      <c r="M13" s="19">
        <v>25625</v>
      </c>
      <c r="N13" s="19">
        <v>0</v>
      </c>
      <c r="O13" s="19">
        <f>SUM(Table469[[#This Row],[Fiscal Year 2020–21 (7/1/20 to 12/31/20)]:[Fiscal Year 2020-21  Amend 6]])</f>
        <v>25625</v>
      </c>
      <c r="P13" s="19">
        <f>+Table469[[#This Row],[Revised Fiscal Year 2020-21]]+Table469[[#This Row],[Revised Fiscal Year 2019-20]]+Table469[[#This Row],[Revised Fiscal Year 2018-19]]</f>
        <v>720779</v>
      </c>
    </row>
    <row r="14" spans="1:16" s="8" customFormat="1" ht="24" customHeight="1" x14ac:dyDescent="0.2">
      <c r="A14" s="13" t="s">
        <v>53</v>
      </c>
      <c r="B14" s="13" t="s">
        <v>127</v>
      </c>
      <c r="C14" s="20">
        <v>6</v>
      </c>
      <c r="D14" s="20" t="s">
        <v>55</v>
      </c>
      <c r="E14" s="20" t="s">
        <v>56</v>
      </c>
      <c r="F14" s="20" t="s">
        <v>48</v>
      </c>
      <c r="G14" s="19">
        <v>0</v>
      </c>
      <c r="H14" s="19">
        <v>0</v>
      </c>
      <c r="I14" s="19">
        <f>SUM(Table469[[#This Row],[Fiscal Year 2018-19 (7/1/18 to 6/30/19)]:[Fiscal Year 2018-19 Amend 6]])</f>
        <v>0</v>
      </c>
      <c r="J14" s="19">
        <v>1448099</v>
      </c>
      <c r="K14" s="19">
        <v>0</v>
      </c>
      <c r="L14" s="19">
        <f>SUM(Table469[[#This Row],[Fiscal Year 2019–20 (7/1/19 to 6/30/20)]:[Fiscal Year 2019-20 Amend 6]])</f>
        <v>1448099</v>
      </c>
      <c r="M14" s="19">
        <v>141129</v>
      </c>
      <c r="N14" s="19">
        <v>0</v>
      </c>
      <c r="O14" s="19">
        <f>SUM(Table469[[#This Row],[Fiscal Year 2020–21 (7/1/20 to 12/31/20)]:[Fiscal Year 2020-21  Amend 6]])</f>
        <v>141129</v>
      </c>
      <c r="P14" s="19">
        <f>+Table469[[#This Row],[Revised Fiscal Year 2020-21]]+Table469[[#This Row],[Revised Fiscal Year 2019-20]]+Table469[[#This Row],[Revised Fiscal Year 2018-19]]</f>
        <v>1589228</v>
      </c>
    </row>
    <row r="15" spans="1:16" s="8" customFormat="1" ht="24" customHeight="1" x14ac:dyDescent="0.2">
      <c r="A15" s="13" t="s">
        <v>53</v>
      </c>
      <c r="B15" s="13" t="s">
        <v>58</v>
      </c>
      <c r="C15" s="20">
        <v>6</v>
      </c>
      <c r="D15" s="20" t="s">
        <v>55</v>
      </c>
      <c r="E15" s="20" t="s">
        <v>99</v>
      </c>
      <c r="F15" s="20" t="s">
        <v>48</v>
      </c>
      <c r="G15" s="19">
        <v>0</v>
      </c>
      <c r="H15" s="19">
        <v>0</v>
      </c>
      <c r="I15" s="19">
        <f>SUM(Table469[[#This Row],[Fiscal Year 2018-19 (7/1/18 to 6/30/19)]:[Fiscal Year 2018-19 Amend 6]])</f>
        <v>0</v>
      </c>
      <c r="J15" s="19">
        <v>1672895</v>
      </c>
      <c r="K15" s="19">
        <v>0</v>
      </c>
      <c r="L15" s="19">
        <f>SUM(Table469[[#This Row],[Fiscal Year 2019–20 (7/1/19 to 6/30/20)]:[Fiscal Year 2019-20 Amend 6]])</f>
        <v>1672895</v>
      </c>
      <c r="M15" s="19">
        <v>261911</v>
      </c>
      <c r="N15" s="19">
        <v>0</v>
      </c>
      <c r="O15" s="19">
        <f>SUM(Table469[[#This Row],[Fiscal Year 2020–21 (7/1/20 to 12/31/20)]:[Fiscal Year 2020-21  Amend 6]])</f>
        <v>261911</v>
      </c>
      <c r="P15" s="19">
        <f>+Table469[[#This Row],[Revised Fiscal Year 2020-21]]+Table469[[#This Row],[Revised Fiscal Year 2019-20]]+Table469[[#This Row],[Revised Fiscal Year 2018-19]]</f>
        <v>1934806</v>
      </c>
    </row>
    <row r="16" spans="1:16" s="8" customFormat="1" ht="24" customHeight="1" x14ac:dyDescent="0.2">
      <c r="A16" s="13" t="s">
        <v>53</v>
      </c>
      <c r="B16" s="13" t="s">
        <v>60</v>
      </c>
      <c r="C16" s="20">
        <v>6</v>
      </c>
      <c r="D16" s="20" t="s">
        <v>55</v>
      </c>
      <c r="E16" s="20" t="s">
        <v>99</v>
      </c>
      <c r="F16" s="20" t="s">
        <v>48</v>
      </c>
      <c r="G16" s="19">
        <v>0</v>
      </c>
      <c r="H16" s="19">
        <v>0</v>
      </c>
      <c r="I16" s="19">
        <f>SUM(Table469[[#This Row],[Fiscal Year 2018-19 (7/1/18 to 6/30/19)]:[Fiscal Year 2018-19 Amend 6]])</f>
        <v>0</v>
      </c>
      <c r="J16" s="19">
        <v>613070</v>
      </c>
      <c r="K16" s="19">
        <v>0</v>
      </c>
      <c r="L16" s="19">
        <f>SUM(Table469[[#This Row],[Fiscal Year 2019–20 (7/1/19 to 6/30/20)]:[Fiscal Year 2019-20 Amend 6]])</f>
        <v>613070</v>
      </c>
      <c r="M16" s="19">
        <v>140680</v>
      </c>
      <c r="N16" s="19">
        <v>0</v>
      </c>
      <c r="O16" s="19">
        <f>SUM(Table469[[#This Row],[Fiscal Year 2020–21 (7/1/20 to 12/31/20)]:[Fiscal Year 2020-21  Amend 6]])</f>
        <v>140680</v>
      </c>
      <c r="P16" s="19">
        <f>+Table469[[#This Row],[Revised Fiscal Year 2020-21]]+Table469[[#This Row],[Revised Fiscal Year 2019-20]]+Table469[[#This Row],[Revised Fiscal Year 2018-19]]</f>
        <v>753750</v>
      </c>
    </row>
    <row r="17" spans="1:16" s="8" customFormat="1" ht="24" customHeight="1" x14ac:dyDescent="0.2">
      <c r="A17" s="13" t="s">
        <v>53</v>
      </c>
      <c r="B17" s="13" t="s">
        <v>61</v>
      </c>
      <c r="C17" s="20">
        <v>6</v>
      </c>
      <c r="D17" s="20" t="s">
        <v>55</v>
      </c>
      <c r="E17" s="20" t="s">
        <v>62</v>
      </c>
      <c r="F17" s="20" t="s">
        <v>48</v>
      </c>
      <c r="G17" s="19">
        <v>0</v>
      </c>
      <c r="H17" s="19">
        <v>0</v>
      </c>
      <c r="I17" s="19">
        <f>SUM(Table469[[#This Row],[Fiscal Year 2018-19 (7/1/18 to 6/30/19)]:[Fiscal Year 2018-19 Amend 6]])</f>
        <v>0</v>
      </c>
      <c r="J17" s="19">
        <v>1142657</v>
      </c>
      <c r="K17" s="19">
        <v>0</v>
      </c>
      <c r="L17" s="19">
        <f>SUM(Table469[[#This Row],[Fiscal Year 2019–20 (7/1/19 to 6/30/20)]:[Fiscal Year 2019-20 Amend 6]])</f>
        <v>1142657</v>
      </c>
      <c r="M17" s="19">
        <v>174587</v>
      </c>
      <c r="N17" s="19">
        <v>0</v>
      </c>
      <c r="O17" s="19">
        <f>SUM(Table469[[#This Row],[Fiscal Year 2020–21 (7/1/20 to 12/31/20)]:[Fiscal Year 2020-21  Amend 6]])</f>
        <v>174587</v>
      </c>
      <c r="P17" s="19">
        <f>+Table469[[#This Row],[Revised Fiscal Year 2020-21]]+Table469[[#This Row],[Revised Fiscal Year 2019-20]]+Table469[[#This Row],[Revised Fiscal Year 2018-19]]</f>
        <v>1317244</v>
      </c>
    </row>
    <row r="18" spans="1:16" s="8" customFormat="1" ht="30" x14ac:dyDescent="0.2">
      <c r="A18" s="13" t="s">
        <v>63</v>
      </c>
      <c r="B18" s="13" t="s">
        <v>64</v>
      </c>
      <c r="C18" s="20" t="s">
        <v>65</v>
      </c>
      <c r="D18" s="20" t="s">
        <v>55</v>
      </c>
      <c r="E18" s="20" t="s">
        <v>56</v>
      </c>
      <c r="F18" s="49">
        <v>3300000</v>
      </c>
      <c r="G18" s="19">
        <v>0</v>
      </c>
      <c r="H18" s="19">
        <v>0</v>
      </c>
      <c r="I18" s="19">
        <f>SUM(Table469[[#This Row],[Fiscal Year 2018-19 (7/1/18 to 6/30/19)]:[Fiscal Year 2018-19 Amend 6]])</f>
        <v>0</v>
      </c>
      <c r="J18" s="19">
        <v>47512627</v>
      </c>
      <c r="K18" s="19">
        <v>-373397</v>
      </c>
      <c r="L18" s="19">
        <f>SUM(Table469[[#This Row],[Fiscal Year 2019–20 (7/1/19 to 6/30/20)]:[Fiscal Year 2019-20 Amend 6]])</f>
        <v>47139230</v>
      </c>
      <c r="M18" s="19">
        <v>564556</v>
      </c>
      <c r="N18" s="19">
        <v>0</v>
      </c>
      <c r="O18" s="19">
        <f>SUM(Table469[[#This Row],[Fiscal Year 2020–21 (7/1/20 to 12/31/20)]:[Fiscal Year 2020-21  Amend 6]])</f>
        <v>564556</v>
      </c>
      <c r="P18" s="19">
        <f>+Table469[[#This Row],[Revised Fiscal Year 2020-21]]+Table469[[#This Row],[Revised Fiscal Year 2019-20]]+Table469[[#This Row],[Revised Fiscal Year 2018-19]]</f>
        <v>47703786</v>
      </c>
    </row>
    <row r="19" spans="1:16" s="8" customFormat="1" ht="30" x14ac:dyDescent="0.2">
      <c r="A19" s="13" t="s">
        <v>66</v>
      </c>
      <c r="B19" s="13" t="s">
        <v>67</v>
      </c>
      <c r="C19" s="20" t="s">
        <v>68</v>
      </c>
      <c r="D19" s="20" t="s">
        <v>55</v>
      </c>
      <c r="E19" s="20" t="s">
        <v>69</v>
      </c>
      <c r="F19" s="20" t="s">
        <v>48</v>
      </c>
      <c r="G19" s="19">
        <v>0</v>
      </c>
      <c r="H19" s="19">
        <v>0</v>
      </c>
      <c r="I19" s="19">
        <f>SUM(Table469[[#This Row],[Fiscal Year 2018-19 (7/1/18 to 6/30/19)]:[Fiscal Year 2018-19 Amend 6]])</f>
        <v>0</v>
      </c>
      <c r="J19" s="19">
        <v>1524842</v>
      </c>
      <c r="K19" s="19">
        <v>0</v>
      </c>
      <c r="L19" s="19">
        <f>SUM(Table469[[#This Row],[Fiscal Year 2019–20 (7/1/19 to 6/30/20)]:[Fiscal Year 2019-20 Amend 6]])</f>
        <v>1524842</v>
      </c>
      <c r="M19" s="19">
        <v>0</v>
      </c>
      <c r="N19" s="19">
        <v>0</v>
      </c>
      <c r="O19" s="19">
        <f>SUM(Table469[[#This Row],[Fiscal Year 2020–21 (7/1/20 to 12/31/20)]:[Fiscal Year 2020-21  Amend 6]])</f>
        <v>0</v>
      </c>
      <c r="P19" s="19">
        <f>+Table469[[#This Row],[Revised Fiscal Year 2020-21]]+Table469[[#This Row],[Revised Fiscal Year 2019-20]]+Table469[[#This Row],[Revised Fiscal Year 2018-19]]</f>
        <v>1524842</v>
      </c>
    </row>
    <row r="20" spans="1:16" s="8" customFormat="1" ht="30" x14ac:dyDescent="0.2">
      <c r="A20" s="13" t="s">
        <v>63</v>
      </c>
      <c r="B20" s="13" t="s">
        <v>117</v>
      </c>
      <c r="C20" s="20" t="s">
        <v>65</v>
      </c>
      <c r="D20" s="20" t="s">
        <v>55</v>
      </c>
      <c r="E20" s="20" t="s">
        <v>56</v>
      </c>
      <c r="F20" s="49">
        <v>39000</v>
      </c>
      <c r="G20" s="19">
        <v>0</v>
      </c>
      <c r="H20" s="19">
        <v>0</v>
      </c>
      <c r="I20" s="19">
        <f>SUM(Table469[[#This Row],[Fiscal Year 2018-19 (7/1/18 to 6/30/19)]:[Fiscal Year 2018-19 Amend 6]])</f>
        <v>0</v>
      </c>
      <c r="J20" s="19">
        <v>860485</v>
      </c>
      <c r="K20" s="19">
        <v>0</v>
      </c>
      <c r="L20" s="19">
        <f>SUM(Table469[[#This Row],[Fiscal Year 2019–20 (7/1/19 to 6/30/20)]:[Fiscal Year 2019-20 Amend 6]])</f>
        <v>860485</v>
      </c>
      <c r="M20" s="19">
        <v>59418</v>
      </c>
      <c r="N20" s="19">
        <v>0</v>
      </c>
      <c r="O20" s="19">
        <f>SUM(Table469[[#This Row],[Fiscal Year 2020–21 (7/1/20 to 12/31/20)]:[Fiscal Year 2020-21  Amend 6]])</f>
        <v>59418</v>
      </c>
      <c r="P20" s="19">
        <f>+Table469[[#This Row],[Revised Fiscal Year 2020-21]]+Table469[[#This Row],[Revised Fiscal Year 2019-20]]+Table469[[#This Row],[Revised Fiscal Year 2018-19]]</f>
        <v>919903</v>
      </c>
    </row>
    <row r="21" spans="1:16" s="8" customFormat="1" ht="30" x14ac:dyDescent="0.2">
      <c r="A21" s="13" t="s">
        <v>63</v>
      </c>
      <c r="B21" s="13" t="s">
        <v>118</v>
      </c>
      <c r="C21" s="20" t="s">
        <v>65</v>
      </c>
      <c r="D21" s="20" t="s">
        <v>55</v>
      </c>
      <c r="E21" s="20" t="s">
        <v>99</v>
      </c>
      <c r="F21" s="49">
        <v>1472000</v>
      </c>
      <c r="G21" s="19">
        <v>0</v>
      </c>
      <c r="H21" s="19">
        <v>0</v>
      </c>
      <c r="I21" s="19">
        <f>SUM(Table469[[#This Row],[Fiscal Year 2018-19 (7/1/18 to 6/30/19)]:[Fiscal Year 2018-19 Amend 6]])</f>
        <v>0</v>
      </c>
      <c r="J21" s="19">
        <v>7857378</v>
      </c>
      <c r="K21" s="19">
        <v>0</v>
      </c>
      <c r="L21" s="19">
        <f>SUM(Table469[[#This Row],[Fiscal Year 2019–20 (7/1/19 to 6/30/20)]:[Fiscal Year 2019-20 Amend 6]])</f>
        <v>7857378</v>
      </c>
      <c r="M21" s="19">
        <v>253700</v>
      </c>
      <c r="N21" s="19">
        <v>0</v>
      </c>
      <c r="O21" s="19">
        <f>SUM(Table469[[#This Row],[Fiscal Year 2020–21 (7/1/20 to 12/31/20)]:[Fiscal Year 2020-21  Amend 6]])</f>
        <v>253700</v>
      </c>
      <c r="P21" s="19">
        <f>+Table469[[#This Row],[Revised Fiscal Year 2020-21]]+Table469[[#This Row],[Revised Fiscal Year 2019-20]]+Table469[[#This Row],[Revised Fiscal Year 2018-19]]</f>
        <v>8111078</v>
      </c>
    </row>
    <row r="22" spans="1:16" s="8" customFormat="1" ht="30" x14ac:dyDescent="0.2">
      <c r="A22" s="13" t="s">
        <v>63</v>
      </c>
      <c r="B22" s="13" t="s">
        <v>119</v>
      </c>
      <c r="C22" s="20" t="s">
        <v>65</v>
      </c>
      <c r="D22" s="20" t="s">
        <v>55</v>
      </c>
      <c r="E22" s="20" t="s">
        <v>99</v>
      </c>
      <c r="F22" s="49">
        <v>16500</v>
      </c>
      <c r="G22" s="19">
        <v>0</v>
      </c>
      <c r="H22" s="19">
        <v>0</v>
      </c>
      <c r="I22" s="19">
        <f>SUM(Table469[[#This Row],[Fiscal Year 2018-19 (7/1/18 to 6/30/19)]:[Fiscal Year 2018-19 Amend 6]])</f>
        <v>0</v>
      </c>
      <c r="J22" s="19">
        <v>176396</v>
      </c>
      <c r="K22" s="19">
        <v>0</v>
      </c>
      <c r="L22" s="19">
        <f>SUM(Table469[[#This Row],[Fiscal Year 2019–20 (7/1/19 to 6/30/20)]:[Fiscal Year 2019-20 Amend 6]])</f>
        <v>176396</v>
      </c>
      <c r="M22" s="19">
        <v>96432</v>
      </c>
      <c r="N22" s="19">
        <v>0</v>
      </c>
      <c r="O22" s="19">
        <f>SUM(Table469[[#This Row],[Fiscal Year 2020–21 (7/1/20 to 12/31/20)]:[Fiscal Year 2020-21  Amend 6]])</f>
        <v>96432</v>
      </c>
      <c r="P22" s="19">
        <f>+Table469[[#This Row],[Revised Fiscal Year 2020-21]]+Table469[[#This Row],[Revised Fiscal Year 2019-20]]+Table469[[#This Row],[Revised Fiscal Year 2018-19]]</f>
        <v>272828</v>
      </c>
    </row>
    <row r="23" spans="1:16" s="8" customFormat="1" ht="30" x14ac:dyDescent="0.2">
      <c r="A23" s="13" t="s">
        <v>63</v>
      </c>
      <c r="B23" s="13" t="s">
        <v>128</v>
      </c>
      <c r="C23" s="20" t="s">
        <v>65</v>
      </c>
      <c r="D23" s="20" t="s">
        <v>55</v>
      </c>
      <c r="E23" s="20" t="s">
        <v>62</v>
      </c>
      <c r="F23" s="49">
        <v>22500</v>
      </c>
      <c r="G23" s="19">
        <v>0</v>
      </c>
      <c r="H23" s="19">
        <v>0</v>
      </c>
      <c r="I23" s="19">
        <f>SUM(Table469[[#This Row],[Fiscal Year 2018-19 (7/1/18 to 6/30/19)]:[Fiscal Year 2018-19 Amend 6]])</f>
        <v>0</v>
      </c>
      <c r="J23" s="19">
        <v>987507</v>
      </c>
      <c r="K23" s="19">
        <v>0</v>
      </c>
      <c r="L23" s="19">
        <f>SUM(Table469[[#This Row],[Fiscal Year 2019–20 (7/1/19 to 6/30/20)]:[Fiscal Year 2019-20 Amend 6]])</f>
        <v>987507</v>
      </c>
      <c r="M23" s="19">
        <v>122527</v>
      </c>
      <c r="N23" s="19">
        <v>0</v>
      </c>
      <c r="O23" s="19">
        <f>SUM(Table469[[#This Row],[Fiscal Year 2020–21 (7/1/20 to 12/31/20)]:[Fiscal Year 2020-21  Amend 6]])</f>
        <v>122527</v>
      </c>
      <c r="P23" s="19">
        <f>+Table469[[#This Row],[Revised Fiscal Year 2020-21]]+Table469[[#This Row],[Revised Fiscal Year 2019-20]]+Table469[[#This Row],[Revised Fiscal Year 2018-19]]</f>
        <v>1110034</v>
      </c>
    </row>
    <row r="24" spans="1:16" s="8" customFormat="1" ht="15.75" x14ac:dyDescent="0.25">
      <c r="A24" s="18" t="s">
        <v>29</v>
      </c>
      <c r="B24" s="38" t="s">
        <v>145</v>
      </c>
      <c r="C24" s="39" t="s">
        <v>48</v>
      </c>
      <c r="D24" s="39" t="s">
        <v>48</v>
      </c>
      <c r="E24" s="39" t="s">
        <v>48</v>
      </c>
      <c r="F24" s="50">
        <f>F18+F20+F21+F22+F23</f>
        <v>4850000</v>
      </c>
      <c r="G24" s="37">
        <f t="shared" ref="G24:I24" si="0">SUBTOTAL(109,G9:G23)</f>
        <v>0</v>
      </c>
      <c r="H24" s="37">
        <f t="shared" si="0"/>
        <v>0</v>
      </c>
      <c r="I24" s="37">
        <f t="shared" si="0"/>
        <v>0</v>
      </c>
      <c r="J24" s="37">
        <f>SUBTOTAL(109,J9:J23)</f>
        <v>75641829</v>
      </c>
      <c r="K24" s="37">
        <f t="shared" ref="K24:P24" si="1">SUBTOTAL(109,K9:K23)</f>
        <v>-373397</v>
      </c>
      <c r="L24" s="37">
        <f t="shared" si="1"/>
        <v>75268432</v>
      </c>
      <c r="M24" s="37">
        <f t="shared" si="1"/>
        <v>2369536</v>
      </c>
      <c r="N24" s="37">
        <f t="shared" si="1"/>
        <v>0</v>
      </c>
      <c r="O24" s="37">
        <f t="shared" si="1"/>
        <v>2369536</v>
      </c>
      <c r="P24" s="37">
        <f t="shared" si="1"/>
        <v>77637968</v>
      </c>
    </row>
    <row r="25" spans="1:16" s="8" customFormat="1" ht="35.450000000000003" customHeight="1" x14ac:dyDescent="0.2">
      <c r="A25" s="8" t="s">
        <v>46</v>
      </c>
      <c r="B25" s="13" t="s">
        <v>146</v>
      </c>
      <c r="C25" s="20">
        <v>1</v>
      </c>
      <c r="D25" s="20" t="s">
        <v>48</v>
      </c>
      <c r="E25" s="20" t="s">
        <v>48</v>
      </c>
      <c r="F25" s="20" t="s">
        <v>48</v>
      </c>
      <c r="G25" s="19">
        <v>0</v>
      </c>
      <c r="H25" s="19">
        <v>36887</v>
      </c>
      <c r="I25" s="19">
        <f>SUM(Table469[[#This Row],[Fiscal Year 2018-19 (7/1/18 to 6/30/19)]:[Fiscal Year 2018-19 Amend 6]])</f>
        <v>36887</v>
      </c>
      <c r="J25" s="19">
        <v>0</v>
      </c>
      <c r="K25" s="19">
        <v>2897602</v>
      </c>
      <c r="L25" s="19">
        <f>SUM(Table469[[#This Row],[Fiscal Year 2019–20 (7/1/19 to 6/30/20)]:[Fiscal Year 2019-20 Amend 6]])</f>
        <v>2897602</v>
      </c>
      <c r="M25" s="19">
        <v>0</v>
      </c>
      <c r="N25" s="19">
        <v>136972</v>
      </c>
      <c r="O25" s="19">
        <f>SUM(Table469[[#This Row],[Fiscal Year 2020–21 (7/1/20 to 12/31/20)]:[Fiscal Year 2020-21  Amend 6]])</f>
        <v>136972</v>
      </c>
      <c r="P25" s="19">
        <f>+Table469[[#This Row],[Revised Fiscal Year 2020-21]]+Table469[[#This Row],[Revised Fiscal Year 2019-20]]+Table469[[#This Row],[Revised Fiscal Year 2018-19]]</f>
        <v>3071461</v>
      </c>
    </row>
    <row r="26" spans="1:16" s="8" customFormat="1" ht="29.25" customHeight="1" x14ac:dyDescent="0.2">
      <c r="A26" s="8" t="s">
        <v>46</v>
      </c>
      <c r="B26" s="13" t="s">
        <v>147</v>
      </c>
      <c r="C26" s="20">
        <v>2</v>
      </c>
      <c r="D26" s="20" t="s">
        <v>48</v>
      </c>
      <c r="E26" s="20" t="s">
        <v>48</v>
      </c>
      <c r="F26" s="20" t="s">
        <v>48</v>
      </c>
      <c r="G26" s="19">
        <v>0</v>
      </c>
      <c r="H26" s="19">
        <v>53172</v>
      </c>
      <c r="I26" s="19">
        <f>SUM(Table469[[#This Row],[Fiscal Year 2018-19 (7/1/18 to 6/30/19)]:[Fiscal Year 2018-19 Amend 6]])</f>
        <v>53172</v>
      </c>
      <c r="J26" s="19">
        <v>0</v>
      </c>
      <c r="K26" s="19">
        <v>3270947</v>
      </c>
      <c r="L26" s="19">
        <f>SUM(Table469[[#This Row],[Fiscal Year 2019–20 (7/1/19 to 6/30/20)]:[Fiscal Year 2019-20 Amend 6]])</f>
        <v>3270947</v>
      </c>
      <c r="M26" s="19">
        <v>0</v>
      </c>
      <c r="N26" s="19">
        <v>379465</v>
      </c>
      <c r="O26" s="19">
        <f>SUM(Table469[[#This Row],[Fiscal Year 2020–21 (7/1/20 to 12/31/20)]:[Fiscal Year 2020-21  Amend 6]])</f>
        <v>379465</v>
      </c>
      <c r="P26" s="19">
        <f>+Table469[[#This Row],[Revised Fiscal Year 2020-21]]+Table469[[#This Row],[Revised Fiscal Year 2019-20]]+Table469[[#This Row],[Revised Fiscal Year 2018-19]]</f>
        <v>3703584</v>
      </c>
    </row>
    <row r="27" spans="1:16" s="8" customFormat="1" ht="27.6" customHeight="1" x14ac:dyDescent="0.2">
      <c r="A27" s="8" t="s">
        <v>46</v>
      </c>
      <c r="B27" s="13" t="s">
        <v>148</v>
      </c>
      <c r="C27" s="20">
        <v>3</v>
      </c>
      <c r="D27" s="20" t="s">
        <v>48</v>
      </c>
      <c r="E27" s="20" t="s">
        <v>48</v>
      </c>
      <c r="F27" s="20" t="s">
        <v>48</v>
      </c>
      <c r="G27" s="19">
        <v>0</v>
      </c>
      <c r="H27" s="19">
        <v>0</v>
      </c>
      <c r="I27" s="19">
        <f>SUM(Table469[[#This Row],[Fiscal Year 2018-19 (7/1/18 to 6/30/19)]:[Fiscal Year 2018-19 Amend 6]])</f>
        <v>0</v>
      </c>
      <c r="J27" s="19">
        <v>0</v>
      </c>
      <c r="K27" s="19">
        <v>7299992</v>
      </c>
      <c r="L27" s="19">
        <f>SUM(Table469[[#This Row],[Fiscal Year 2019–20 (7/1/19 to 6/30/20)]:[Fiscal Year 2019-20 Amend 6]])</f>
        <v>7299992</v>
      </c>
      <c r="M27" s="19">
        <v>0</v>
      </c>
      <c r="N27" s="19">
        <v>0</v>
      </c>
      <c r="O27" s="19">
        <f>SUM(Table469[[#This Row],[Fiscal Year 2020–21 (7/1/20 to 12/31/20)]:[Fiscal Year 2020-21  Amend 6]])</f>
        <v>0</v>
      </c>
      <c r="P27" s="19">
        <f>+Table469[[#This Row],[Revised Fiscal Year 2020-21]]+Table469[[#This Row],[Revised Fiscal Year 2019-20]]+Table469[[#This Row],[Revised Fiscal Year 2018-19]]</f>
        <v>7299992</v>
      </c>
    </row>
    <row r="28" spans="1:16" s="8" customFormat="1" ht="27.6" customHeight="1" x14ac:dyDescent="0.2">
      <c r="A28" s="8" t="s">
        <v>46</v>
      </c>
      <c r="B28" s="13" t="s">
        <v>149</v>
      </c>
      <c r="C28" s="20">
        <v>4</v>
      </c>
      <c r="D28" s="20" t="s">
        <v>48</v>
      </c>
      <c r="E28" s="20" t="s">
        <v>48</v>
      </c>
      <c r="F28" s="20" t="s">
        <v>48</v>
      </c>
      <c r="G28" s="19">
        <v>0</v>
      </c>
      <c r="H28" s="19">
        <v>0</v>
      </c>
      <c r="I28" s="19">
        <f>SUM(Table469[[#This Row],[Fiscal Year 2018-19 (7/1/18 to 6/30/19)]:[Fiscal Year 2018-19 Amend 6]])</f>
        <v>0</v>
      </c>
      <c r="J28" s="19">
        <v>0</v>
      </c>
      <c r="K28" s="19">
        <v>170797</v>
      </c>
      <c r="L28" s="19">
        <f>SUM(Table469[[#This Row],[Fiscal Year 2019–20 (7/1/19 to 6/30/20)]:[Fiscal Year 2019-20 Amend 6]])</f>
        <v>170797</v>
      </c>
      <c r="M28" s="19">
        <v>0</v>
      </c>
      <c r="N28" s="19">
        <v>0</v>
      </c>
      <c r="O28" s="19">
        <f>SUM(Table469[[#This Row],[Fiscal Year 2020–21 (7/1/20 to 12/31/20)]:[Fiscal Year 2020-21  Amend 6]])</f>
        <v>0</v>
      </c>
      <c r="P28" s="19">
        <f>+Table469[[#This Row],[Revised Fiscal Year 2020-21]]+Table469[[#This Row],[Revised Fiscal Year 2019-20]]+Table469[[#This Row],[Revised Fiscal Year 2018-19]]</f>
        <v>170797</v>
      </c>
    </row>
    <row r="29" spans="1:16" s="8" customFormat="1" ht="29.25" customHeight="1" x14ac:dyDescent="0.2">
      <c r="A29" s="8" t="s">
        <v>46</v>
      </c>
      <c r="B29" s="13" t="s">
        <v>150</v>
      </c>
      <c r="C29" s="20">
        <v>5</v>
      </c>
      <c r="D29" s="20" t="s">
        <v>48</v>
      </c>
      <c r="E29" s="20" t="s">
        <v>48</v>
      </c>
      <c r="F29" s="20" t="s">
        <v>48</v>
      </c>
      <c r="G29" s="19">
        <v>0</v>
      </c>
      <c r="H29" s="19">
        <v>0</v>
      </c>
      <c r="I29" s="19">
        <f>SUM(Table469[[#This Row],[Fiscal Year 2018-19 (7/1/18 to 6/30/19)]:[Fiscal Year 2018-19 Amend 6]])</f>
        <v>0</v>
      </c>
      <c r="J29" s="19">
        <v>0</v>
      </c>
      <c r="K29" s="19">
        <v>245434</v>
      </c>
      <c r="L29" s="19">
        <f>SUM(Table469[[#This Row],[Fiscal Year 2019–20 (7/1/19 to 6/30/20)]:[Fiscal Year 2019-20 Amend 6]])</f>
        <v>245434</v>
      </c>
      <c r="M29" s="19">
        <v>0</v>
      </c>
      <c r="N29" s="19">
        <v>75371</v>
      </c>
      <c r="O29" s="19">
        <f>SUM(Table469[[#This Row],[Fiscal Year 2020–21 (7/1/20 to 12/31/20)]:[Fiscal Year 2020-21  Amend 6]])</f>
        <v>75371</v>
      </c>
      <c r="P29" s="19">
        <f>+Table469[[#This Row],[Revised Fiscal Year 2020-21]]+Table469[[#This Row],[Revised Fiscal Year 2019-20]]+Table469[[#This Row],[Revised Fiscal Year 2018-19]]</f>
        <v>320805</v>
      </c>
    </row>
    <row r="30" spans="1:16" s="8" customFormat="1" ht="27.6" customHeight="1" x14ac:dyDescent="0.2">
      <c r="A30" s="13" t="s">
        <v>53</v>
      </c>
      <c r="B30" s="13" t="s">
        <v>153</v>
      </c>
      <c r="C30" s="20">
        <v>6</v>
      </c>
      <c r="D30" s="20" t="s">
        <v>55</v>
      </c>
      <c r="E30" s="20" t="s">
        <v>152</v>
      </c>
      <c r="F30" s="20" t="s">
        <v>48</v>
      </c>
      <c r="G30" s="19">
        <v>0</v>
      </c>
      <c r="H30" s="19">
        <v>1021333</v>
      </c>
      <c r="I30" s="19">
        <f>SUM(Table469[[#This Row],[Fiscal Year 2018-19 (7/1/18 to 6/30/19)]:[Fiscal Year 2018-19 Amend 6]])</f>
        <v>1021333</v>
      </c>
      <c r="J30" s="19">
        <v>0</v>
      </c>
      <c r="K30" s="19">
        <v>2311369</v>
      </c>
      <c r="L30" s="19">
        <f>SUM(Table469[[#This Row],[Fiscal Year 2019–20 (7/1/19 to 6/30/20)]:[Fiscal Year 2019-20 Amend 6]])</f>
        <v>2311369</v>
      </c>
      <c r="M30" s="19">
        <v>0</v>
      </c>
      <c r="N30" s="19">
        <v>1048530</v>
      </c>
      <c r="O30" s="19">
        <f>SUM(Table469[[#This Row],[Fiscal Year 2020–21 (7/1/20 to 12/31/20)]:[Fiscal Year 2020-21  Amend 6]])</f>
        <v>1048530</v>
      </c>
      <c r="P30" s="19">
        <f>+Table469[[#This Row],[Revised Fiscal Year 2020-21]]+Table469[[#This Row],[Revised Fiscal Year 2019-20]]+Table469[[#This Row],[Revised Fiscal Year 2018-19]]</f>
        <v>4381232</v>
      </c>
    </row>
    <row r="31" spans="1:16" s="8" customFormat="1" ht="27.6" customHeight="1" x14ac:dyDescent="0.2">
      <c r="A31" s="13" t="s">
        <v>53</v>
      </c>
      <c r="B31" s="13" t="s">
        <v>154</v>
      </c>
      <c r="C31" s="20">
        <v>6</v>
      </c>
      <c r="D31" s="20" t="s">
        <v>55</v>
      </c>
      <c r="E31" s="20" t="s">
        <v>152</v>
      </c>
      <c r="F31" s="20" t="s">
        <v>48</v>
      </c>
      <c r="G31" s="19">
        <v>0</v>
      </c>
      <c r="H31" s="19">
        <v>1493645</v>
      </c>
      <c r="I31" s="19">
        <f>SUM(Table469[[#This Row],[Fiscal Year 2018-19 (7/1/18 to 6/30/19)]:[Fiscal Year 2018-19 Amend 6]])</f>
        <v>1493645</v>
      </c>
      <c r="J31" s="19">
        <v>0</v>
      </c>
      <c r="K31" s="19">
        <v>694295</v>
      </c>
      <c r="L31" s="19">
        <f>SUM(Table469[[#This Row],[Fiscal Year 2019–20 (7/1/19 to 6/30/20)]:[Fiscal Year 2019-20 Amend 6]])</f>
        <v>694295</v>
      </c>
      <c r="M31" s="19">
        <v>0</v>
      </c>
      <c r="N31" s="19">
        <v>298607</v>
      </c>
      <c r="O31" s="19">
        <f>SUM(Table469[[#This Row],[Fiscal Year 2020–21 (7/1/20 to 12/31/20)]:[Fiscal Year 2020-21  Amend 6]])</f>
        <v>298607</v>
      </c>
      <c r="P31" s="19">
        <f>+Table469[[#This Row],[Revised Fiscal Year 2020-21]]+Table469[[#This Row],[Revised Fiscal Year 2019-20]]+Table469[[#This Row],[Revised Fiscal Year 2018-19]]</f>
        <v>2486547</v>
      </c>
    </row>
    <row r="32" spans="1:16" s="8" customFormat="1" ht="30" x14ac:dyDescent="0.2">
      <c r="A32" s="13" t="s">
        <v>63</v>
      </c>
      <c r="B32" s="13" t="s">
        <v>155</v>
      </c>
      <c r="C32" s="20" t="s">
        <v>65</v>
      </c>
      <c r="D32" s="20" t="s">
        <v>71</v>
      </c>
      <c r="E32" s="20" t="s">
        <v>152</v>
      </c>
      <c r="F32" s="49">
        <v>287000</v>
      </c>
      <c r="G32" s="19">
        <v>0</v>
      </c>
      <c r="H32" s="19">
        <v>598669</v>
      </c>
      <c r="I32" s="19">
        <f>SUM(Table469[[#This Row],[Fiscal Year 2018-19 (7/1/18 to 6/30/19)]:[Fiscal Year 2018-19 Amend 6]])</f>
        <v>598669</v>
      </c>
      <c r="J32" s="19">
        <v>0</v>
      </c>
      <c r="K32" s="19">
        <v>991968</v>
      </c>
      <c r="L32" s="19">
        <f>SUM(Table469[[#This Row],[Fiscal Year 2019–20 (7/1/19 to 6/30/20)]:[Fiscal Year 2019-20 Amend 6]])</f>
        <v>991968</v>
      </c>
      <c r="M32" s="19">
        <v>0</v>
      </c>
      <c r="N32" s="19">
        <v>110403</v>
      </c>
      <c r="O32" s="19">
        <f>SUM(Table469[[#This Row],[Fiscal Year 2020–21 (7/1/20 to 12/31/20)]:[Fiscal Year 2020-21  Amend 6]])</f>
        <v>110403</v>
      </c>
      <c r="P32" s="19">
        <f>+Table469[[#This Row],[Revised Fiscal Year 2020-21]]+Table469[[#This Row],[Revised Fiscal Year 2019-20]]+Table469[[#This Row],[Revised Fiscal Year 2018-19]]</f>
        <v>1701040</v>
      </c>
    </row>
    <row r="33" spans="1:16" s="8" customFormat="1" ht="30" x14ac:dyDescent="0.2">
      <c r="A33" s="13" t="s">
        <v>63</v>
      </c>
      <c r="B33" s="13" t="s">
        <v>153</v>
      </c>
      <c r="C33" s="20" t="s">
        <v>65</v>
      </c>
      <c r="D33" s="20" t="s">
        <v>55</v>
      </c>
      <c r="E33" s="20" t="s">
        <v>152</v>
      </c>
      <c r="F33" s="49">
        <v>1265000</v>
      </c>
      <c r="G33" s="19">
        <v>0</v>
      </c>
      <c r="H33" s="19">
        <v>26493</v>
      </c>
      <c r="I33" s="19">
        <f>SUM(Table469[[#This Row],[Fiscal Year 2018-19 (7/1/18 to 6/30/19)]:[Fiscal Year 2018-19 Amend 6]])</f>
        <v>26493</v>
      </c>
      <c r="J33" s="19">
        <v>0</v>
      </c>
      <c r="K33" s="19">
        <v>12472285</v>
      </c>
      <c r="L33" s="19">
        <f>SUM(Table469[[#This Row],[Fiscal Year 2019–20 (7/1/19 to 6/30/20)]:[Fiscal Year 2019-20 Amend 6]])</f>
        <v>12472285</v>
      </c>
      <c r="M33" s="19">
        <v>0</v>
      </c>
      <c r="N33" s="19">
        <v>550871</v>
      </c>
      <c r="O33" s="19">
        <f>SUM(Table469[[#This Row],[Fiscal Year 2020–21 (7/1/20 to 12/31/20)]:[Fiscal Year 2020-21  Amend 6]])</f>
        <v>550871</v>
      </c>
      <c r="P33" s="19">
        <f>+Table469[[#This Row],[Revised Fiscal Year 2020-21]]+Table469[[#This Row],[Revised Fiscal Year 2019-20]]+Table469[[#This Row],[Revised Fiscal Year 2018-19]]</f>
        <v>13049649</v>
      </c>
    </row>
    <row r="34" spans="1:16" s="8" customFormat="1" ht="30" x14ac:dyDescent="0.2">
      <c r="A34" s="13" t="s">
        <v>63</v>
      </c>
      <c r="B34" s="13" t="s">
        <v>185</v>
      </c>
      <c r="C34" s="20" t="s">
        <v>65</v>
      </c>
      <c r="D34" s="20" t="s">
        <v>55</v>
      </c>
      <c r="E34" s="20" t="s">
        <v>152</v>
      </c>
      <c r="F34" s="49">
        <v>16750</v>
      </c>
      <c r="G34" s="19">
        <v>0</v>
      </c>
      <c r="H34" s="19">
        <v>0</v>
      </c>
      <c r="I34" s="19">
        <f>SUM(Table469[[#This Row],[Fiscal Year 2018-19 (7/1/18 to 6/30/19)]:[Fiscal Year 2018-19 Amend 6]])</f>
        <v>0</v>
      </c>
      <c r="J34" s="19">
        <v>0</v>
      </c>
      <c r="K34" s="19">
        <v>196239</v>
      </c>
      <c r="L34" s="19">
        <f>SUM(Table469[[#This Row],[Fiscal Year 2019–20 (7/1/19 to 6/30/20)]:[Fiscal Year 2019-20 Amend 6]])</f>
        <v>196239</v>
      </c>
      <c r="M34" s="19">
        <v>0</v>
      </c>
      <c r="N34" s="19">
        <v>0</v>
      </c>
      <c r="O34" s="19">
        <f>SUM(Table469[[#This Row],[Fiscal Year 2020–21 (7/1/20 to 12/31/20)]:[Fiscal Year 2020-21  Amend 6]])</f>
        <v>0</v>
      </c>
      <c r="P34" s="19">
        <f>+Table469[[#This Row],[Revised Fiscal Year 2020-21]]+Table469[[#This Row],[Revised Fiscal Year 2019-20]]+Table469[[#This Row],[Revised Fiscal Year 2018-19]]</f>
        <v>196239</v>
      </c>
    </row>
    <row r="35" spans="1:16" ht="20.45" customHeight="1" x14ac:dyDescent="0.25">
      <c r="A35" s="18" t="s">
        <v>34</v>
      </c>
      <c r="B35" s="38" t="s">
        <v>155</v>
      </c>
      <c r="C35" s="39" t="s">
        <v>48</v>
      </c>
      <c r="D35" s="39" t="s">
        <v>48</v>
      </c>
      <c r="E35" s="39" t="s">
        <v>48</v>
      </c>
      <c r="F35" s="50">
        <f>F32+F34+F33</f>
        <v>1568750</v>
      </c>
      <c r="G35" s="37">
        <f t="shared" ref="G35:P35" si="2">SUBTOTAL(109,G25:G34)</f>
        <v>0</v>
      </c>
      <c r="H35" s="37">
        <f t="shared" si="2"/>
        <v>3230199</v>
      </c>
      <c r="I35" s="37">
        <f t="shared" si="2"/>
        <v>3230199</v>
      </c>
      <c r="J35" s="37">
        <f t="shared" si="2"/>
        <v>0</v>
      </c>
      <c r="K35" s="37">
        <f t="shared" si="2"/>
        <v>30550928</v>
      </c>
      <c r="L35" s="37">
        <f t="shared" si="2"/>
        <v>30550928</v>
      </c>
      <c r="M35" s="37">
        <f t="shared" si="2"/>
        <v>0</v>
      </c>
      <c r="N35" s="37">
        <f t="shared" si="2"/>
        <v>2600219</v>
      </c>
      <c r="O35" s="37">
        <f t="shared" si="2"/>
        <v>2600219</v>
      </c>
      <c r="P35" s="37">
        <f t="shared" si="2"/>
        <v>36381346</v>
      </c>
    </row>
    <row r="36" spans="1:16" ht="31.5" x14ac:dyDescent="0.25">
      <c r="A36" s="13" t="s">
        <v>186</v>
      </c>
      <c r="B36" s="36" t="s">
        <v>48</v>
      </c>
      <c r="C36" s="54" t="s">
        <v>48</v>
      </c>
      <c r="D36" s="54" t="s">
        <v>48</v>
      </c>
      <c r="E36" s="54" t="s">
        <v>48</v>
      </c>
      <c r="F36" s="79">
        <f t="shared" ref="F36:P36" si="3">F24+F35</f>
        <v>6418750</v>
      </c>
      <c r="G36" s="80">
        <f t="shared" si="3"/>
        <v>0</v>
      </c>
      <c r="H36" s="80">
        <f t="shared" si="3"/>
        <v>3230199</v>
      </c>
      <c r="I36" s="80">
        <f t="shared" si="3"/>
        <v>3230199</v>
      </c>
      <c r="J36" s="81">
        <f t="shared" si="3"/>
        <v>75641829</v>
      </c>
      <c r="K36" s="81">
        <f t="shared" si="3"/>
        <v>30177531</v>
      </c>
      <c r="L36" s="81">
        <f t="shared" si="3"/>
        <v>105819360</v>
      </c>
      <c r="M36" s="81">
        <f t="shared" si="3"/>
        <v>2369536</v>
      </c>
      <c r="N36" s="81">
        <f t="shared" si="3"/>
        <v>2600219</v>
      </c>
      <c r="O36" s="81">
        <f t="shared" si="3"/>
        <v>4969755</v>
      </c>
      <c r="P36" s="81">
        <f t="shared" si="3"/>
        <v>114019314</v>
      </c>
    </row>
    <row r="37" spans="1:16" hidden="1" x14ac:dyDescent="0.2"/>
    <row r="38" spans="1:16" hidden="1" x14ac:dyDescent="0.2"/>
    <row r="39" spans="1:16" hidden="1" x14ac:dyDescent="0.2"/>
    <row r="40" spans="1:16" hidden="1" x14ac:dyDescent="0.2"/>
    <row r="41" spans="1:16" hidden="1" x14ac:dyDescent="0.2"/>
    <row r="42" spans="1:16" hidden="1" x14ac:dyDescent="0.2"/>
    <row r="43" spans="1:16" hidden="1" x14ac:dyDescent="0.2"/>
    <row r="44" spans="1:16" hidden="1" x14ac:dyDescent="0.2"/>
    <row r="45" spans="1:16" hidden="1" x14ac:dyDescent="0.2"/>
    <row r="46" spans="1:16" hidden="1" x14ac:dyDescent="0.2"/>
    <row r="47" spans="1:16" hidden="1" x14ac:dyDescent="0.2"/>
    <row r="48" spans="1:16"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sheetData>
  <pageMargins left="0.5" right="0.25" top="1" bottom="0.75" header="0.3" footer="0.3"/>
  <pageSetup scale="54"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C18 C20:C23 C33:C34 C32" twoDigitTextYear="1"/>
  </ignoredErrors>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O66"/>
  <sheetViews>
    <sheetView showGridLines="0" zoomScaleNormal="100" workbookViewId="0"/>
  </sheetViews>
  <sheetFormatPr defaultColWidth="0" defaultRowHeight="0" customHeight="1" zeroHeight="1" x14ac:dyDescent="0.2"/>
  <cols>
    <col min="1" max="1" width="51.140625" style="5" customWidth="1"/>
    <col min="2" max="2" width="11.85546875" style="5" bestFit="1" customWidth="1"/>
    <col min="3" max="5" width="12" style="1" bestFit="1" customWidth="1"/>
    <col min="6" max="6" width="13.7109375" style="1" bestFit="1" customWidth="1"/>
    <col min="7" max="7" width="15.140625" style="1" customWidth="1"/>
    <col min="8" max="8" width="12.7109375" style="2" bestFit="1" customWidth="1"/>
    <col min="9" max="9" width="16" style="3" bestFit="1" customWidth="1"/>
    <col min="10" max="10" width="17" style="3" bestFit="1" customWidth="1"/>
    <col min="11" max="11" width="19.42578125" style="4" bestFit="1" customWidth="1"/>
    <col min="12" max="12" width="12.7109375" style="3" hidden="1" customWidth="1"/>
    <col min="13" max="13" width="0" style="5" hidden="1" customWidth="1"/>
    <col min="14" max="14" width="12.7109375" style="5" hidden="1" customWidth="1"/>
    <col min="15" max="16384" width="8.85546875" style="5" hidden="1"/>
  </cols>
  <sheetData>
    <row r="1" spans="1:15" ht="23.25" x14ac:dyDescent="0.35">
      <c r="A1" s="91" t="s">
        <v>187</v>
      </c>
      <c r="B1" s="1"/>
      <c r="O1" s="85"/>
    </row>
    <row r="2" spans="1:15" s="99" customFormat="1" ht="15.75" x14ac:dyDescent="0.25">
      <c r="A2" s="92" t="s">
        <v>213</v>
      </c>
      <c r="B2" s="95"/>
      <c r="C2" s="95"/>
      <c r="D2" s="95"/>
      <c r="E2" s="95"/>
      <c r="F2" s="95"/>
      <c r="G2" s="95"/>
      <c r="H2" s="96"/>
      <c r="I2" s="97"/>
      <c r="J2" s="97"/>
      <c r="K2" s="98"/>
      <c r="L2" s="97"/>
      <c r="O2" s="94"/>
    </row>
    <row r="3" spans="1:15" ht="15" x14ac:dyDescent="0.2">
      <c r="A3" s="8" t="s">
        <v>1</v>
      </c>
      <c r="B3" s="1"/>
    </row>
    <row r="4" spans="1:15" ht="14.45" customHeight="1" x14ac:dyDescent="0.2">
      <c r="A4" s="59" t="s">
        <v>2</v>
      </c>
      <c r="B4" s="1"/>
    </row>
    <row r="5" spans="1:15" ht="15" x14ac:dyDescent="0.2">
      <c r="A5" s="8" t="s">
        <v>3</v>
      </c>
      <c r="B5" s="1"/>
    </row>
    <row r="6" spans="1:15" ht="15" x14ac:dyDescent="0.2">
      <c r="A6" s="12" t="s">
        <v>4</v>
      </c>
      <c r="B6" s="1"/>
    </row>
    <row r="7" spans="1:15" ht="20.45" customHeight="1" x14ac:dyDescent="0.2">
      <c r="A7" s="21" t="s">
        <v>37</v>
      </c>
    </row>
    <row r="8" spans="1:15" ht="78.75" x14ac:dyDescent="0.25">
      <c r="A8" s="8" t="s">
        <v>39</v>
      </c>
      <c r="B8" s="14" t="s">
        <v>80</v>
      </c>
      <c r="C8" s="14" t="s">
        <v>81</v>
      </c>
      <c r="D8" s="14" t="s">
        <v>82</v>
      </c>
      <c r="E8" s="14" t="s">
        <v>83</v>
      </c>
      <c r="F8" s="14" t="s">
        <v>205</v>
      </c>
      <c r="G8" s="64" t="s">
        <v>84</v>
      </c>
      <c r="H8" s="14" t="s">
        <v>85</v>
      </c>
      <c r="I8" s="14" t="s">
        <v>86</v>
      </c>
      <c r="J8" s="65" t="s">
        <v>87</v>
      </c>
      <c r="K8" s="14" t="s">
        <v>88</v>
      </c>
      <c r="L8" s="5"/>
    </row>
    <row r="9" spans="1:15" s="29" customFormat="1" ht="30" x14ac:dyDescent="0.25">
      <c r="A9" s="63" t="s">
        <v>89</v>
      </c>
      <c r="B9" s="22">
        <v>1</v>
      </c>
      <c r="C9" s="24" t="s">
        <v>48</v>
      </c>
      <c r="D9" s="24" t="s">
        <v>48</v>
      </c>
      <c r="E9" s="24" t="s">
        <v>48</v>
      </c>
      <c r="F9" s="24" t="s">
        <v>48</v>
      </c>
      <c r="G9" s="25">
        <v>4158397</v>
      </c>
      <c r="H9" s="26">
        <v>0</v>
      </c>
      <c r="I9" s="28">
        <f>ROUND(+H9/$F$37,2)</f>
        <v>0</v>
      </c>
      <c r="J9" s="27">
        <f>+Table1310[[#This Row],[Column F: 
Fixed Costs]]+Table1310[[#This Row],[Column G: 
Per Pupil Costs]]</f>
        <v>4158397</v>
      </c>
      <c r="K9" s="28">
        <f>ROUND(+J9/$F$37,2)</f>
        <v>0.86</v>
      </c>
    </row>
    <row r="10" spans="1:15" s="29" customFormat="1" ht="45" x14ac:dyDescent="0.25">
      <c r="A10" s="63" t="s">
        <v>90</v>
      </c>
      <c r="B10" s="22">
        <v>2</v>
      </c>
      <c r="C10" s="24" t="s">
        <v>48</v>
      </c>
      <c r="D10" s="24" t="s">
        <v>48</v>
      </c>
      <c r="E10" s="24" t="s">
        <v>48</v>
      </c>
      <c r="F10" s="24" t="s">
        <v>48</v>
      </c>
      <c r="G10" s="25">
        <v>4101575</v>
      </c>
      <c r="H10" s="26">
        <v>0</v>
      </c>
      <c r="I10" s="28">
        <f t="shared" ref="I10:K13" si="0">ROUND(+H10/$F$37,2)</f>
        <v>0</v>
      </c>
      <c r="J10" s="27">
        <f>+Table1310[[#This Row],[Column F: 
Fixed Costs]]+Table1310[[#This Row],[Column G: 
Per Pupil Costs]]</f>
        <v>4101575</v>
      </c>
      <c r="K10" s="28">
        <f t="shared" si="0"/>
        <v>0.85</v>
      </c>
    </row>
    <row r="11" spans="1:15" s="29" customFormat="1" ht="30" x14ac:dyDescent="0.25">
      <c r="A11" s="63" t="s">
        <v>91</v>
      </c>
      <c r="B11" s="22">
        <v>3</v>
      </c>
      <c r="C11" s="24" t="s">
        <v>48</v>
      </c>
      <c r="D11" s="24" t="s">
        <v>48</v>
      </c>
      <c r="E11" s="24" t="s">
        <v>48</v>
      </c>
      <c r="F11" s="24" t="s">
        <v>48</v>
      </c>
      <c r="G11" s="25">
        <v>3287648</v>
      </c>
      <c r="H11" s="26">
        <v>0</v>
      </c>
      <c r="I11" s="28">
        <f t="shared" si="0"/>
        <v>0</v>
      </c>
      <c r="J11" s="27">
        <f>+Table1310[[#This Row],[Column F: 
Fixed Costs]]+Table1310[[#This Row],[Column G: 
Per Pupil Costs]]</f>
        <v>3287648</v>
      </c>
      <c r="K11" s="28">
        <f t="shared" si="0"/>
        <v>0.68</v>
      </c>
    </row>
    <row r="12" spans="1:15" s="29" customFormat="1" ht="30" x14ac:dyDescent="0.25">
      <c r="A12" s="63" t="s">
        <v>92</v>
      </c>
      <c r="B12" s="22">
        <v>4</v>
      </c>
      <c r="C12" s="24" t="s">
        <v>48</v>
      </c>
      <c r="D12" s="24" t="s">
        <v>48</v>
      </c>
      <c r="E12" s="24" t="s">
        <v>48</v>
      </c>
      <c r="F12" s="24" t="s">
        <v>48</v>
      </c>
      <c r="G12" s="25">
        <v>132070</v>
      </c>
      <c r="H12" s="26">
        <v>0</v>
      </c>
      <c r="I12" s="28">
        <f t="shared" si="0"/>
        <v>0</v>
      </c>
      <c r="J12" s="27">
        <f>+Table1310[[#This Row],[Column F: 
Fixed Costs]]+Table1310[[#This Row],[Column G: 
Per Pupil Costs]]</f>
        <v>132070</v>
      </c>
      <c r="K12" s="28">
        <f t="shared" si="0"/>
        <v>0.03</v>
      </c>
    </row>
    <row r="13" spans="1:15" s="29" customFormat="1" ht="30" x14ac:dyDescent="0.25">
      <c r="A13" s="63" t="s">
        <v>93</v>
      </c>
      <c r="B13" s="22">
        <v>5</v>
      </c>
      <c r="C13" s="24" t="s">
        <v>48</v>
      </c>
      <c r="D13" s="24" t="s">
        <v>48</v>
      </c>
      <c r="E13" s="24" t="s">
        <v>48</v>
      </c>
      <c r="F13" s="24" t="s">
        <v>48</v>
      </c>
      <c r="G13" s="25">
        <v>720779</v>
      </c>
      <c r="H13" s="26">
        <v>0</v>
      </c>
      <c r="I13" s="28">
        <f t="shared" si="0"/>
        <v>0</v>
      </c>
      <c r="J13" s="27">
        <f>+Table1310[[#This Row],[Column F: 
Fixed Costs]]+Table1310[[#This Row],[Column G: 
Per Pupil Costs]]</f>
        <v>720779</v>
      </c>
      <c r="K13" s="28">
        <f t="shared" si="0"/>
        <v>0.15</v>
      </c>
    </row>
    <row r="14" spans="1:15" s="29" customFormat="1" ht="30" x14ac:dyDescent="0.25">
      <c r="A14" s="63" t="s">
        <v>94</v>
      </c>
      <c r="B14" s="22">
        <v>6</v>
      </c>
      <c r="C14" s="24" t="s">
        <v>48</v>
      </c>
      <c r="D14" s="24" t="s">
        <v>95</v>
      </c>
      <c r="E14" s="24" t="s">
        <v>56</v>
      </c>
      <c r="F14" s="24" t="s">
        <v>48</v>
      </c>
      <c r="G14" s="25">
        <v>1589228</v>
      </c>
      <c r="H14" s="26">
        <v>0</v>
      </c>
      <c r="I14" s="32">
        <f>IFERROR(+Table1310[[#This Row],[Column G: 
Per Pupil Costs]]/Table1310[[#This Row],[Column E: 
Estimated Number of Test Takers*]],0)</f>
        <v>0</v>
      </c>
      <c r="J14" s="27">
        <f>+Table1310[[#This Row],[Column F: 
Fixed Costs]]+Table1310[[#This Row],[Column G: 
Per Pupil Costs]]</f>
        <v>1589228</v>
      </c>
      <c r="K14" s="30" t="s">
        <v>48</v>
      </c>
    </row>
    <row r="15" spans="1:15" s="29" customFormat="1" ht="15.75" x14ac:dyDescent="0.25">
      <c r="A15" s="66" t="s">
        <v>97</v>
      </c>
      <c r="B15" s="22">
        <v>6</v>
      </c>
      <c r="C15" s="24" t="s">
        <v>48</v>
      </c>
      <c r="D15" s="24" t="s">
        <v>98</v>
      </c>
      <c r="E15" s="24" t="s">
        <v>99</v>
      </c>
      <c r="F15" s="24" t="s">
        <v>48</v>
      </c>
      <c r="G15" s="25">
        <v>1934806</v>
      </c>
      <c r="H15" s="26">
        <v>0</v>
      </c>
      <c r="I15" s="32">
        <f>IFERROR(+Table1310[[#This Row],[Column G: 
Per Pupil Costs]]/Table1310[[#This Row],[Column E: 
Estimated Number of Test Takers*]],0)</f>
        <v>0</v>
      </c>
      <c r="J15" s="27">
        <f>+Table1310[[#This Row],[Column F: 
Fixed Costs]]+Table1310[[#This Row],[Column G: 
Per Pupil Costs]]</f>
        <v>1934806</v>
      </c>
      <c r="K15" s="30" t="s">
        <v>48</v>
      </c>
    </row>
    <row r="16" spans="1:15" s="29" customFormat="1" ht="15.75" x14ac:dyDescent="0.25">
      <c r="A16" s="63" t="s">
        <v>100</v>
      </c>
      <c r="B16" s="22">
        <v>6</v>
      </c>
      <c r="C16" s="24" t="s">
        <v>48</v>
      </c>
      <c r="D16" s="24" t="s">
        <v>98</v>
      </c>
      <c r="E16" s="24" t="s">
        <v>99</v>
      </c>
      <c r="F16" s="24" t="s">
        <v>48</v>
      </c>
      <c r="G16" s="25">
        <v>753750</v>
      </c>
      <c r="H16" s="26">
        <v>0</v>
      </c>
      <c r="I16" s="32">
        <f>IFERROR(+Table1310[[#This Row],[Column G: 
Per Pupil Costs]]/Table1310[[#This Row],[Column E: 
Estimated Number of Test Takers*]],0)</f>
        <v>0</v>
      </c>
      <c r="J16" s="27">
        <f>+Table1310[[#This Row],[Column F: 
Fixed Costs]]+Table1310[[#This Row],[Column G: 
Per Pupil Costs]]</f>
        <v>753750</v>
      </c>
      <c r="K16" s="30" t="s">
        <v>48</v>
      </c>
    </row>
    <row r="17" spans="1:11" s="29" customFormat="1" ht="15.75" x14ac:dyDescent="0.25">
      <c r="A17" s="63" t="s">
        <v>101</v>
      </c>
      <c r="B17" s="22">
        <v>6</v>
      </c>
      <c r="C17" s="24" t="s">
        <v>48</v>
      </c>
      <c r="D17" s="24" t="s">
        <v>102</v>
      </c>
      <c r="E17" s="24" t="s">
        <v>62</v>
      </c>
      <c r="F17" s="24" t="s">
        <v>48</v>
      </c>
      <c r="G17" s="25">
        <v>1317244</v>
      </c>
      <c r="H17" s="26">
        <v>0</v>
      </c>
      <c r="I17" s="32">
        <f>IFERROR(+Table1310[[#This Row],[Column G: 
Per Pupil Costs]]/Table1310[[#This Row],[Column E: 
Estimated Number of Test Takers*]],0)</f>
        <v>0</v>
      </c>
      <c r="J17" s="27">
        <f>+Table1310[[#This Row],[Column F: 
Fixed Costs]]+Table1310[[#This Row],[Column G: 
Per Pupil Costs]]</f>
        <v>1317244</v>
      </c>
      <c r="K17" s="30" t="s">
        <v>48</v>
      </c>
    </row>
    <row r="18" spans="1:11" s="29" customFormat="1" ht="30" x14ac:dyDescent="0.25">
      <c r="A18" s="63" t="s">
        <v>103</v>
      </c>
      <c r="B18" s="22">
        <v>7</v>
      </c>
      <c r="C18" s="22" t="s">
        <v>55</v>
      </c>
      <c r="D18" s="24" t="s">
        <v>95</v>
      </c>
      <c r="E18" s="24" t="s">
        <v>104</v>
      </c>
      <c r="F18" s="31">
        <v>3300000</v>
      </c>
      <c r="G18" s="25">
        <v>26034261</v>
      </c>
      <c r="H18" s="26">
        <v>0</v>
      </c>
      <c r="I18" s="32">
        <f>IFERROR(+Table1310[[#This Row],[Column G: 
Per Pupil Costs]]/Table1310[[#This Row],[Column E: 
Estimated Number of Test Takers*]],0)</f>
        <v>0</v>
      </c>
      <c r="J18" s="27">
        <f>+Table1310[[#This Row],[Column F: 
Fixed Costs]]+Table1310[[#This Row],[Column G: 
Per Pupil Costs]]</f>
        <v>26034261</v>
      </c>
      <c r="K18" s="32">
        <f>ROUND(+J18/F18,2)</f>
        <v>7.89</v>
      </c>
    </row>
    <row r="19" spans="1:11" s="29" customFormat="1" ht="30" x14ac:dyDescent="0.25">
      <c r="A19" s="63" t="s">
        <v>105</v>
      </c>
      <c r="B19" s="22">
        <v>8</v>
      </c>
      <c r="C19" s="22" t="s">
        <v>55</v>
      </c>
      <c r="D19" s="24" t="s">
        <v>95</v>
      </c>
      <c r="E19" s="24" t="s">
        <v>104</v>
      </c>
      <c r="F19" s="31">
        <v>3300000</v>
      </c>
      <c r="G19" s="25">
        <v>17747893</v>
      </c>
      <c r="H19" s="26">
        <v>934100</v>
      </c>
      <c r="I19" s="32">
        <f>ROUND(Table1310[[#This Row],[Column G: 
Per Pupil Costs]]/Table1310[[#This Row],[Column E: 
Estimated Number of Test Takers*]],2)</f>
        <v>0.28000000000000003</v>
      </c>
      <c r="J19" s="27">
        <f>+Table1310[[#This Row],[Column F: 
Fixed Costs]]+Table1310[[#This Row],[Column G: 
Per Pupil Costs]]</f>
        <v>18681993</v>
      </c>
      <c r="K19" s="32">
        <f t="shared" ref="K19:K20" si="1">ROUND(+J19/F19,2)</f>
        <v>5.66</v>
      </c>
    </row>
    <row r="20" spans="1:11" s="29" customFormat="1" ht="30" x14ac:dyDescent="0.25">
      <c r="A20" s="63" t="s">
        <v>106</v>
      </c>
      <c r="B20" s="22">
        <v>9</v>
      </c>
      <c r="C20" s="22" t="s">
        <v>55</v>
      </c>
      <c r="D20" s="24" t="s">
        <v>95</v>
      </c>
      <c r="E20" s="24" t="s">
        <v>104</v>
      </c>
      <c r="F20" s="31">
        <v>3300000</v>
      </c>
      <c r="G20" s="25">
        <v>2987532</v>
      </c>
      <c r="H20" s="26">
        <v>0</v>
      </c>
      <c r="I20" s="32">
        <f>IFERROR(+Table1310[[#This Row],[Column G: 
Per Pupil Costs]]/Table1310[[#This Row],[Column E: 
Estimated Number of Test Takers*]],0)</f>
        <v>0</v>
      </c>
      <c r="J20" s="27">
        <f>+Table1310[[#This Row],[Column F: 
Fixed Costs]]+Table1310[[#This Row],[Column G: 
Per Pupil Costs]]</f>
        <v>2987532</v>
      </c>
      <c r="K20" s="32">
        <f t="shared" si="1"/>
        <v>0.91</v>
      </c>
    </row>
    <row r="21" spans="1:11" s="29" customFormat="1" ht="15.75" x14ac:dyDescent="0.25">
      <c r="A21" s="63" t="s">
        <v>107</v>
      </c>
      <c r="B21" s="22">
        <v>2</v>
      </c>
      <c r="C21" s="22" t="s">
        <v>55</v>
      </c>
      <c r="D21" s="24" t="s">
        <v>95</v>
      </c>
      <c r="E21" s="24" t="s">
        <v>69</v>
      </c>
      <c r="F21" s="24" t="s">
        <v>48</v>
      </c>
      <c r="G21" s="25">
        <v>1524842</v>
      </c>
      <c r="H21" s="26">
        <v>0</v>
      </c>
      <c r="I21" s="32">
        <f>IFERROR(+Table1310[[#This Row],[Column G: 
Per Pupil Costs]]/Table1310[[#This Row],[Column E: 
Estimated Number of Test Takers*]],0)</f>
        <v>0</v>
      </c>
      <c r="J21" s="27">
        <f>+Table1310[[#This Row],[Column F: 
Fixed Costs]]+Table1310[[#This Row],[Column G: 
Per Pupil Costs]]</f>
        <v>1524842</v>
      </c>
      <c r="K21" s="26" t="s">
        <v>48</v>
      </c>
    </row>
    <row r="22" spans="1:11" s="29" customFormat="1" ht="30" x14ac:dyDescent="0.25">
      <c r="A22" s="63" t="s">
        <v>108</v>
      </c>
      <c r="B22" s="22">
        <v>7</v>
      </c>
      <c r="C22" s="22" t="s">
        <v>55</v>
      </c>
      <c r="D22" s="24" t="s">
        <v>95</v>
      </c>
      <c r="E22" s="24" t="s">
        <v>69</v>
      </c>
      <c r="F22" s="24" t="s">
        <v>48</v>
      </c>
      <c r="G22" s="25">
        <v>0</v>
      </c>
      <c r="H22" s="26">
        <v>0</v>
      </c>
      <c r="I22" s="32">
        <f>IFERROR(+Table1310[[#This Row],[Column G: 
Per Pupil Costs]]/Table1310[[#This Row],[Column E: 
Estimated Number of Test Takers*]],0)</f>
        <v>0</v>
      </c>
      <c r="J22" s="27">
        <f>+Table1310[[#This Row],[Column F: 
Fixed Costs]]+Table1310[[#This Row],[Column G: 
Per Pupil Costs]]</f>
        <v>0</v>
      </c>
      <c r="K22" s="26" t="s">
        <v>48</v>
      </c>
    </row>
    <row r="23" spans="1:11" s="29" customFormat="1" ht="15.75" x14ac:dyDescent="0.25">
      <c r="A23" s="63" t="s">
        <v>109</v>
      </c>
      <c r="B23" s="22">
        <v>8</v>
      </c>
      <c r="C23" s="22" t="s">
        <v>55</v>
      </c>
      <c r="D23" s="24" t="s">
        <v>95</v>
      </c>
      <c r="E23" s="24" t="s">
        <v>69</v>
      </c>
      <c r="F23" s="24" t="s">
        <v>48</v>
      </c>
      <c r="G23" s="25">
        <v>0</v>
      </c>
      <c r="H23" s="26">
        <v>0</v>
      </c>
      <c r="I23" s="32">
        <f>IFERROR(+Table1310[[#This Row],[Column G: 
Per Pupil Costs]]/Table1310[[#This Row],[Column E: 
Estimated Number of Test Takers*]],0)</f>
        <v>0</v>
      </c>
      <c r="J23" s="27">
        <f>+Table1310[[#This Row],[Column F: 
Fixed Costs]]+Table1310[[#This Row],[Column G: 
Per Pupil Costs]]</f>
        <v>0</v>
      </c>
      <c r="K23" s="26" t="s">
        <v>48</v>
      </c>
    </row>
    <row r="24" spans="1:11" s="29" customFormat="1" ht="30" x14ac:dyDescent="0.25">
      <c r="A24" s="63" t="s">
        <v>110</v>
      </c>
      <c r="B24" s="22">
        <v>9</v>
      </c>
      <c r="C24" s="22" t="s">
        <v>55</v>
      </c>
      <c r="D24" s="24" t="s">
        <v>95</v>
      </c>
      <c r="E24" s="24" t="s">
        <v>69</v>
      </c>
      <c r="F24" s="24" t="s">
        <v>48</v>
      </c>
      <c r="G24" s="25">
        <v>0</v>
      </c>
      <c r="H24" s="26">
        <v>0</v>
      </c>
      <c r="I24" s="32">
        <f>IFERROR(+Table1310[[#This Row],[Column G: 
Per Pupil Costs]]/Table1310[[#This Row],[Column E: 
Estimated Number of Test Takers*]],0)</f>
        <v>0</v>
      </c>
      <c r="J24" s="27">
        <f>+Table1310[[#This Row],[Column F: 
Fixed Costs]]+Table1310[[#This Row],[Column G: 
Per Pupil Costs]]</f>
        <v>0</v>
      </c>
      <c r="K24" s="26" t="s">
        <v>48</v>
      </c>
    </row>
    <row r="25" spans="1:11" s="29" customFormat="1" ht="30" x14ac:dyDescent="0.25">
      <c r="A25" s="63" t="s">
        <v>111</v>
      </c>
      <c r="B25" s="22">
        <v>7</v>
      </c>
      <c r="C25" s="22" t="s">
        <v>55</v>
      </c>
      <c r="D25" s="24" t="s">
        <v>95</v>
      </c>
      <c r="E25" s="24" t="s">
        <v>104</v>
      </c>
      <c r="F25" s="31">
        <v>39000</v>
      </c>
      <c r="G25" s="25">
        <v>702842</v>
      </c>
      <c r="H25" s="26">
        <v>0</v>
      </c>
      <c r="I25" s="32">
        <f>IFERROR(+Table1310[[#This Row],[Column G: 
Per Pupil Costs]]/Table1310[[#This Row],[Column E: 
Estimated Number of Test Takers*]],0)</f>
        <v>0</v>
      </c>
      <c r="J25" s="27">
        <f>+Table1310[[#This Row],[Column F: 
Fixed Costs]]+Table1310[[#This Row],[Column G: 
Per Pupil Costs]]</f>
        <v>702842</v>
      </c>
      <c r="K25" s="32">
        <f>ROUND(+J25/F25,2)</f>
        <v>18.02</v>
      </c>
    </row>
    <row r="26" spans="1:11" s="29" customFormat="1" ht="15.75" x14ac:dyDescent="0.25">
      <c r="A26" s="63" t="s">
        <v>112</v>
      </c>
      <c r="B26" s="22">
        <v>8</v>
      </c>
      <c r="C26" s="22" t="s">
        <v>55</v>
      </c>
      <c r="D26" s="24" t="s">
        <v>95</v>
      </c>
      <c r="E26" s="24" t="s">
        <v>104</v>
      </c>
      <c r="F26" s="31">
        <v>39000</v>
      </c>
      <c r="G26" s="25">
        <v>76464</v>
      </c>
      <c r="H26" s="26">
        <v>0</v>
      </c>
      <c r="I26" s="32">
        <f>IFERROR(+Table1310[[#This Row],[Column G: 
Per Pupil Costs]]/Table1310[[#This Row],[Column E: 
Estimated Number of Test Takers*]],0)</f>
        <v>0</v>
      </c>
      <c r="J26" s="27">
        <f>+Table1310[[#This Row],[Column F: 
Fixed Costs]]+Table1310[[#This Row],[Column G: 
Per Pupil Costs]]</f>
        <v>76464</v>
      </c>
      <c r="K26" s="32">
        <f t="shared" ref="K26:K37" si="2">ROUND(+J26/F26,2)</f>
        <v>1.96</v>
      </c>
    </row>
    <row r="27" spans="1:11" s="29" customFormat="1" ht="15.75" x14ac:dyDescent="0.25">
      <c r="A27" s="63" t="s">
        <v>113</v>
      </c>
      <c r="B27" s="22">
        <v>9</v>
      </c>
      <c r="C27" s="22" t="s">
        <v>55</v>
      </c>
      <c r="D27" s="24" t="s">
        <v>95</v>
      </c>
      <c r="E27" s="24" t="s">
        <v>104</v>
      </c>
      <c r="F27" s="31">
        <v>39000</v>
      </c>
      <c r="G27" s="25">
        <v>140597</v>
      </c>
      <c r="H27" s="26">
        <v>0</v>
      </c>
      <c r="I27" s="32">
        <f>IFERROR(+Table1310[[#This Row],[Column G: 
Per Pupil Costs]]/Table1310[[#This Row],[Column E: 
Estimated Number of Test Takers*]],0)</f>
        <v>0</v>
      </c>
      <c r="J27" s="27">
        <f>+Table1310[[#This Row],[Column F: 
Fixed Costs]]+Table1310[[#This Row],[Column G: 
Per Pupil Costs]]</f>
        <v>140597</v>
      </c>
      <c r="K27" s="32">
        <f t="shared" si="2"/>
        <v>3.61</v>
      </c>
    </row>
    <row r="28" spans="1:11" s="29" customFormat="1" ht="15.75" x14ac:dyDescent="0.25">
      <c r="A28" s="63" t="s">
        <v>158</v>
      </c>
      <c r="B28" s="22">
        <v>7</v>
      </c>
      <c r="C28" s="22" t="s">
        <v>55</v>
      </c>
      <c r="D28" s="24" t="s">
        <v>98</v>
      </c>
      <c r="E28" s="24" t="s">
        <v>99</v>
      </c>
      <c r="F28" s="31">
        <v>1472000</v>
      </c>
      <c r="G28" s="25">
        <v>5352880</v>
      </c>
      <c r="H28" s="26">
        <v>0</v>
      </c>
      <c r="I28" s="32">
        <f>IFERROR(+Table1310[[#This Row],[Column G: 
Per Pupil Costs]]/Table1310[[#This Row],[Column E: 
Estimated Number of Test Takers*]],0)</f>
        <v>0</v>
      </c>
      <c r="J28" s="27">
        <f>+Table1310[[#This Row],[Column F: 
Fixed Costs]]+Table1310[[#This Row],[Column G: 
Per Pupil Costs]]</f>
        <v>5352880</v>
      </c>
      <c r="K28" s="32">
        <f t="shared" si="2"/>
        <v>3.64</v>
      </c>
    </row>
    <row r="29" spans="1:11" s="29" customFormat="1" ht="15.75" x14ac:dyDescent="0.25">
      <c r="A29" s="66" t="s">
        <v>159</v>
      </c>
      <c r="B29" s="22">
        <v>8</v>
      </c>
      <c r="C29" s="22" t="s">
        <v>55</v>
      </c>
      <c r="D29" s="24" t="s">
        <v>98</v>
      </c>
      <c r="E29" s="24" t="s">
        <v>99</v>
      </c>
      <c r="F29" s="31">
        <v>1472000</v>
      </c>
      <c r="G29" s="25">
        <v>1107319</v>
      </c>
      <c r="H29" s="26">
        <v>206080.00000000003</v>
      </c>
      <c r="I29" s="32">
        <f>ROUND(IFERROR(+Table1310[[#This Row],[Column G: 
Per Pupil Costs]]/Table1310[[#This Row],[Column E: 
Estimated Number of Test Takers*]],0),2)</f>
        <v>0.14000000000000001</v>
      </c>
      <c r="J29" s="27">
        <f>+Table1310[[#This Row],[Column F: 
Fixed Costs]]+Table1310[[#This Row],[Column G: 
Per Pupil Costs]]</f>
        <v>1313399</v>
      </c>
      <c r="K29" s="32">
        <f t="shared" si="2"/>
        <v>0.89</v>
      </c>
    </row>
    <row r="30" spans="1:11" s="29" customFormat="1" ht="15.75" x14ac:dyDescent="0.25">
      <c r="A30" s="66" t="s">
        <v>131</v>
      </c>
      <c r="B30" s="22">
        <v>9</v>
      </c>
      <c r="C30" s="22" t="s">
        <v>55</v>
      </c>
      <c r="D30" s="24" t="s">
        <v>98</v>
      </c>
      <c r="E30" s="24" t="s">
        <v>99</v>
      </c>
      <c r="F30" s="31">
        <v>1472000</v>
      </c>
      <c r="G30" s="25">
        <v>1444799</v>
      </c>
      <c r="H30" s="26">
        <v>0</v>
      </c>
      <c r="I30" s="32">
        <f>IFERROR(+Table1310[[#This Row],[Column G: 
Per Pupil Costs]]/Table1310[[#This Row],[Column E: 
Estimated Number of Test Takers*]],0)</f>
        <v>0</v>
      </c>
      <c r="J30" s="27">
        <f>+Table1310[[#This Row],[Column F: 
Fixed Costs]]+Table1310[[#This Row],[Column G: 
Per Pupil Costs]]</f>
        <v>1444799</v>
      </c>
      <c r="K30" s="32">
        <f t="shared" si="2"/>
        <v>0.98</v>
      </c>
    </row>
    <row r="31" spans="1:11" s="29" customFormat="1" ht="15.75" x14ac:dyDescent="0.25">
      <c r="A31" s="66" t="s">
        <v>160</v>
      </c>
      <c r="B31" s="22">
        <v>7</v>
      </c>
      <c r="C31" s="22" t="s">
        <v>55</v>
      </c>
      <c r="D31" s="24" t="s">
        <v>98</v>
      </c>
      <c r="E31" s="24" t="s">
        <v>99</v>
      </c>
      <c r="F31" s="31">
        <v>16500</v>
      </c>
      <c r="G31" s="25">
        <v>18079</v>
      </c>
      <c r="H31" s="26">
        <v>0</v>
      </c>
      <c r="I31" s="32">
        <f>IFERROR(+Table1310[[#This Row],[Column G: 
Per Pupil Costs]]/Table1310[[#This Row],[Column E: 
Estimated Number of Test Takers*]],0)</f>
        <v>0</v>
      </c>
      <c r="J31" s="27">
        <f>+Table1310[[#This Row],[Column F: 
Fixed Costs]]+Table1310[[#This Row],[Column G: 
Per Pupil Costs]]</f>
        <v>18079</v>
      </c>
      <c r="K31" s="32">
        <f t="shared" si="2"/>
        <v>1.1000000000000001</v>
      </c>
    </row>
    <row r="32" spans="1:11" s="29" customFormat="1" ht="15.75" x14ac:dyDescent="0.25">
      <c r="A32" s="63" t="s">
        <v>161</v>
      </c>
      <c r="B32" s="22">
        <v>8</v>
      </c>
      <c r="C32" s="22" t="s">
        <v>55</v>
      </c>
      <c r="D32" s="24" t="s">
        <v>98</v>
      </c>
      <c r="E32" s="24" t="s">
        <v>99</v>
      </c>
      <c r="F32" s="31">
        <v>16500</v>
      </c>
      <c r="G32" s="25">
        <v>144735</v>
      </c>
      <c r="H32" s="26">
        <v>0</v>
      </c>
      <c r="I32" s="32">
        <f>IFERROR(+Table1310[[#This Row],[Column G: 
Per Pupil Costs]]/Table1310[[#This Row],[Column E: 
Estimated Number of Test Takers*]],0)</f>
        <v>0</v>
      </c>
      <c r="J32" s="27">
        <f>+Table1310[[#This Row],[Column F: 
Fixed Costs]]+Table1310[[#This Row],[Column G: 
Per Pupil Costs]]</f>
        <v>144735</v>
      </c>
      <c r="K32" s="32">
        <f t="shared" si="2"/>
        <v>8.77</v>
      </c>
    </row>
    <row r="33" spans="1:11" s="29" customFormat="1" ht="15.75" x14ac:dyDescent="0.25">
      <c r="A33" s="63" t="s">
        <v>162</v>
      </c>
      <c r="B33" s="22">
        <v>9</v>
      </c>
      <c r="C33" s="22" t="s">
        <v>55</v>
      </c>
      <c r="D33" s="24" t="s">
        <v>98</v>
      </c>
      <c r="E33" s="24" t="s">
        <v>99</v>
      </c>
      <c r="F33" s="31">
        <v>16500</v>
      </c>
      <c r="G33" s="25">
        <v>110014</v>
      </c>
      <c r="H33" s="26">
        <v>0</v>
      </c>
      <c r="I33" s="32">
        <f>IFERROR(+Table1310[[#This Row],[Column G: 
Per Pupil Costs]]/Table1310[[#This Row],[Column E: 
Estimated Number of Test Takers*]],0)</f>
        <v>0</v>
      </c>
      <c r="J33" s="27">
        <f>+Table1310[[#This Row],[Column F: 
Fixed Costs]]+Table1310[[#This Row],[Column G: 
Per Pupil Costs]]</f>
        <v>110014</v>
      </c>
      <c r="K33" s="32">
        <f t="shared" si="2"/>
        <v>6.67</v>
      </c>
    </row>
    <row r="34" spans="1:11" s="29" customFormat="1" ht="15.75" x14ac:dyDescent="0.25">
      <c r="A34" s="63" t="s">
        <v>163</v>
      </c>
      <c r="B34" s="22">
        <v>7</v>
      </c>
      <c r="C34" s="22" t="s">
        <v>55</v>
      </c>
      <c r="D34" s="24" t="s">
        <v>102</v>
      </c>
      <c r="E34" s="24" t="s">
        <v>62</v>
      </c>
      <c r="F34" s="31">
        <v>22500</v>
      </c>
      <c r="G34" s="25">
        <v>509943</v>
      </c>
      <c r="H34" s="26">
        <v>0</v>
      </c>
      <c r="I34" s="32">
        <f>IFERROR(+Table1310[[#This Row],[Column G: 
Per Pupil Costs]]/Table1310[[#This Row],[Column E: 
Estimated Number of Test Takers*]],0)</f>
        <v>0</v>
      </c>
      <c r="J34" s="27">
        <f>+Table1310[[#This Row],[Column F: 
Fixed Costs]]+Table1310[[#This Row],[Column G: 
Per Pupil Costs]]</f>
        <v>509943</v>
      </c>
      <c r="K34" s="32">
        <f t="shared" si="2"/>
        <v>22.66</v>
      </c>
    </row>
    <row r="35" spans="1:11" s="29" customFormat="1" ht="15.75" x14ac:dyDescent="0.25">
      <c r="A35" s="63" t="s">
        <v>164</v>
      </c>
      <c r="B35" s="22">
        <v>8</v>
      </c>
      <c r="C35" s="22" t="s">
        <v>55</v>
      </c>
      <c r="D35" s="24" t="s">
        <v>102</v>
      </c>
      <c r="E35" s="24" t="s">
        <v>62</v>
      </c>
      <c r="F35" s="31">
        <v>22500</v>
      </c>
      <c r="G35" s="25">
        <v>167947</v>
      </c>
      <c r="H35" s="26">
        <v>15075</v>
      </c>
      <c r="I35" s="32">
        <f>ROUND(IFERROR(+Table1310[[#This Row],[Column G: 
Per Pupil Costs]]/Table1310[[#This Row],[Column E: 
Estimated Number of Test Takers*]],0),2)</f>
        <v>0.67</v>
      </c>
      <c r="J35" s="27">
        <f>+Table1310[[#This Row],[Column F: 
Fixed Costs]]+Table1310[[#This Row],[Column G: 
Per Pupil Costs]]</f>
        <v>183022</v>
      </c>
      <c r="K35" s="32">
        <f t="shared" si="2"/>
        <v>8.1300000000000008</v>
      </c>
    </row>
    <row r="36" spans="1:11" s="29" customFormat="1" ht="15.75" x14ac:dyDescent="0.25">
      <c r="A36" s="63" t="s">
        <v>133</v>
      </c>
      <c r="B36" s="22">
        <v>9</v>
      </c>
      <c r="C36" s="22" t="s">
        <v>55</v>
      </c>
      <c r="D36" s="24" t="s">
        <v>102</v>
      </c>
      <c r="E36" s="34" t="s">
        <v>62</v>
      </c>
      <c r="F36" s="31">
        <v>22500</v>
      </c>
      <c r="G36" s="25">
        <v>417069</v>
      </c>
      <c r="H36" s="26">
        <v>0</v>
      </c>
      <c r="I36" s="32">
        <f>IFERROR(+Table1310[[#This Row],[Column G: 
Per Pupil Costs]]/Table1310[[#This Row],[Column E: 
Estimated Number of Test Takers*]],0)</f>
        <v>0</v>
      </c>
      <c r="J36" s="27">
        <f>+Table1310[[#This Row],[Column F: 
Fixed Costs]]+Table1310[[#This Row],[Column G: 
Per Pupil Costs]]</f>
        <v>417069</v>
      </c>
      <c r="K36" s="32">
        <f t="shared" si="2"/>
        <v>18.54</v>
      </c>
    </row>
    <row r="37" spans="1:11" s="29" customFormat="1" ht="15.75" x14ac:dyDescent="0.25">
      <c r="A37" s="71" t="s">
        <v>29</v>
      </c>
      <c r="B37" s="40" t="s">
        <v>48</v>
      </c>
      <c r="C37" s="40" t="s">
        <v>48</v>
      </c>
      <c r="D37" s="40" t="s">
        <v>48</v>
      </c>
      <c r="E37" s="41" t="s">
        <v>48</v>
      </c>
      <c r="F37" s="42">
        <f>F18+F25+F28+F31+F34</f>
        <v>4850000</v>
      </c>
      <c r="G37" s="43">
        <f>SUBTOTAL(109,G9:G36)</f>
        <v>76482713</v>
      </c>
      <c r="H37" s="43">
        <f>SUBTOTAL(109,H9:H36)</f>
        <v>1155255</v>
      </c>
      <c r="I37" s="47">
        <f>ROUND(Table1310[[#This Row],[Column G: 
Per Pupil Costs]]/Table1310[[#This Row],[Column E: 
Estimated Number of Test Takers*]],2)</f>
        <v>0.24</v>
      </c>
      <c r="J37" s="43">
        <f>SUBTOTAL(109,J9:J36)</f>
        <v>77637968</v>
      </c>
      <c r="K37" s="44">
        <f t="shared" si="2"/>
        <v>16.010000000000002</v>
      </c>
    </row>
    <row r="38" spans="1:11" s="29" customFormat="1" ht="30" x14ac:dyDescent="0.25">
      <c r="A38" s="63" t="s">
        <v>165</v>
      </c>
      <c r="B38" s="22">
        <v>1</v>
      </c>
      <c r="C38" s="24" t="s">
        <v>48</v>
      </c>
      <c r="D38" s="24" t="s">
        <v>48</v>
      </c>
      <c r="E38" s="24" t="s">
        <v>48</v>
      </c>
      <c r="F38" s="24" t="s">
        <v>48</v>
      </c>
      <c r="G38" s="26">
        <v>3071461</v>
      </c>
      <c r="H38" s="26">
        <v>0</v>
      </c>
      <c r="I38" s="28">
        <f>ROUND(+H38/$F$54,2)</f>
        <v>0</v>
      </c>
      <c r="J38" s="27">
        <f>+Table1310[[#This Row],[Column F: 
Fixed Costs]]+Table1310[[#This Row],[Column G: 
Per Pupil Costs]]</f>
        <v>3071461</v>
      </c>
      <c r="K38" s="28">
        <f>ROUND(+J38/$F$54,2)</f>
        <v>1.96</v>
      </c>
    </row>
    <row r="39" spans="1:11" s="29" customFormat="1" ht="30" x14ac:dyDescent="0.25">
      <c r="A39" s="63" t="s">
        <v>166</v>
      </c>
      <c r="B39" s="22">
        <v>2</v>
      </c>
      <c r="C39" s="24" t="s">
        <v>48</v>
      </c>
      <c r="D39" s="24" t="s">
        <v>48</v>
      </c>
      <c r="E39" s="24" t="s">
        <v>48</v>
      </c>
      <c r="F39" s="24" t="s">
        <v>48</v>
      </c>
      <c r="G39" s="26">
        <v>3703584</v>
      </c>
      <c r="H39" s="26">
        <v>0</v>
      </c>
      <c r="I39" s="28">
        <f>ROUND(+H39/$F$54,2)</f>
        <v>0</v>
      </c>
      <c r="J39" s="27">
        <f>+Table1310[[#This Row],[Column F: 
Fixed Costs]]+Table1310[[#This Row],[Column G: 
Per Pupil Costs]]</f>
        <v>3703584</v>
      </c>
      <c r="K39" s="28">
        <f>ROUND(+J39/$F$54,2)</f>
        <v>2.36</v>
      </c>
    </row>
    <row r="40" spans="1:11" s="29" customFormat="1" ht="30" x14ac:dyDescent="0.25">
      <c r="A40" s="63" t="s">
        <v>167</v>
      </c>
      <c r="B40" s="22">
        <v>3</v>
      </c>
      <c r="C40" s="24" t="s">
        <v>48</v>
      </c>
      <c r="D40" s="24" t="s">
        <v>48</v>
      </c>
      <c r="E40" s="24" t="s">
        <v>48</v>
      </c>
      <c r="F40" s="24" t="s">
        <v>48</v>
      </c>
      <c r="G40" s="26">
        <v>7299992</v>
      </c>
      <c r="H40" s="26">
        <v>0</v>
      </c>
      <c r="I40" s="28">
        <f>ROUND(+H40/$F$54,2)</f>
        <v>0</v>
      </c>
      <c r="J40" s="27">
        <f>+Table1310[[#This Row],[Column F: 
Fixed Costs]]+Table1310[[#This Row],[Column G: 
Per Pupil Costs]]</f>
        <v>7299992</v>
      </c>
      <c r="K40" s="28">
        <f>ROUND(+J40/$F$54,2)</f>
        <v>4.6500000000000004</v>
      </c>
    </row>
    <row r="41" spans="1:11" s="29" customFormat="1" ht="30" x14ac:dyDescent="0.25">
      <c r="A41" s="63" t="s">
        <v>168</v>
      </c>
      <c r="B41" s="22">
        <v>4</v>
      </c>
      <c r="C41" s="24" t="s">
        <v>48</v>
      </c>
      <c r="D41" s="24" t="s">
        <v>48</v>
      </c>
      <c r="E41" s="24" t="s">
        <v>48</v>
      </c>
      <c r="F41" s="24" t="s">
        <v>48</v>
      </c>
      <c r="G41" s="26">
        <v>170797</v>
      </c>
      <c r="H41" s="26">
        <v>0</v>
      </c>
      <c r="I41" s="28">
        <f>ROUND(+H41/$F$54,2)</f>
        <v>0</v>
      </c>
      <c r="J41" s="27">
        <f>+Table1310[[#This Row],[Column F: 
Fixed Costs]]+Table1310[[#This Row],[Column G: 
Per Pupil Costs]]</f>
        <v>170797</v>
      </c>
      <c r="K41" s="28">
        <f>ROUND(+J41/$F$54,2)</f>
        <v>0.11</v>
      </c>
    </row>
    <row r="42" spans="1:11" s="29" customFormat="1" ht="30" x14ac:dyDescent="0.25">
      <c r="A42" s="63" t="s">
        <v>169</v>
      </c>
      <c r="B42" s="22">
        <v>5</v>
      </c>
      <c r="C42" s="24" t="s">
        <v>48</v>
      </c>
      <c r="D42" s="24" t="s">
        <v>48</v>
      </c>
      <c r="E42" s="24" t="s">
        <v>48</v>
      </c>
      <c r="F42" s="24" t="s">
        <v>48</v>
      </c>
      <c r="G42" s="26">
        <v>320805</v>
      </c>
      <c r="H42" s="26">
        <v>0</v>
      </c>
      <c r="I42" s="28">
        <f>ROUND(+H42/$F$54,2)</f>
        <v>0</v>
      </c>
      <c r="J42" s="27">
        <f>+Table1310[[#This Row],[Column F: 
Fixed Costs]]+Table1310[[#This Row],[Column G: 
Per Pupil Costs]]</f>
        <v>320805</v>
      </c>
      <c r="K42" s="28">
        <f>ROUND(+J42/$F$54,2)</f>
        <v>0.2</v>
      </c>
    </row>
    <row r="43" spans="1:11" s="29" customFormat="1" ht="22.15" customHeight="1" x14ac:dyDescent="0.25">
      <c r="A43" s="63" t="s">
        <v>170</v>
      </c>
      <c r="B43" s="22">
        <v>6</v>
      </c>
      <c r="C43" s="24" t="s">
        <v>48</v>
      </c>
      <c r="D43" s="24" t="s">
        <v>171</v>
      </c>
      <c r="E43" s="34" t="s">
        <v>152</v>
      </c>
      <c r="F43" s="24" t="s">
        <v>48</v>
      </c>
      <c r="G43" s="26">
        <v>4381232</v>
      </c>
      <c r="H43" s="26">
        <v>0</v>
      </c>
      <c r="I43" s="32">
        <f>IFERROR(+Table1310[[#This Row],[Column G: 
Per Pupil Costs]]/Table1310[[#This Row],[Column E: 
Estimated Number of Test Takers*]],0)</f>
        <v>0</v>
      </c>
      <c r="J43" s="27">
        <f>+Table1310[[#This Row],[Column F: 
Fixed Costs]]+Table1310[[#This Row],[Column G: 
Per Pupil Costs]]</f>
        <v>4381232</v>
      </c>
      <c r="K43" s="30" t="s">
        <v>48</v>
      </c>
    </row>
    <row r="44" spans="1:11" s="29" customFormat="1" ht="22.15" customHeight="1" x14ac:dyDescent="0.25">
      <c r="A44" s="69" t="s">
        <v>173</v>
      </c>
      <c r="B44" s="22">
        <v>6</v>
      </c>
      <c r="C44" s="24" t="s">
        <v>48</v>
      </c>
      <c r="D44" s="24" t="s">
        <v>171</v>
      </c>
      <c r="E44" s="34" t="s">
        <v>152</v>
      </c>
      <c r="F44" s="24" t="s">
        <v>48</v>
      </c>
      <c r="G44" s="26">
        <v>2486547</v>
      </c>
      <c r="H44" s="26">
        <v>0</v>
      </c>
      <c r="I44" s="32">
        <f>IFERROR(+Table1310[[#This Row],[Column G: 
Per Pupil Costs]]/Table1310[[#This Row],[Column E: 
Estimated Number of Test Takers*]],0)</f>
        <v>0</v>
      </c>
      <c r="J44" s="27">
        <f>+Table1310[[#This Row],[Column F: 
Fixed Costs]]+Table1310[[#This Row],[Column G: 
Per Pupil Costs]]</f>
        <v>2486547</v>
      </c>
      <c r="K44" s="30" t="s">
        <v>48</v>
      </c>
    </row>
    <row r="45" spans="1:11" s="29" customFormat="1" ht="22.15" customHeight="1" x14ac:dyDescent="0.25">
      <c r="A45" s="29" t="s">
        <v>174</v>
      </c>
      <c r="B45" s="22">
        <v>7</v>
      </c>
      <c r="C45" s="22" t="s">
        <v>71</v>
      </c>
      <c r="D45" s="24" t="s">
        <v>171</v>
      </c>
      <c r="E45" s="34" t="s">
        <v>152</v>
      </c>
      <c r="F45" s="31">
        <v>287000</v>
      </c>
      <c r="G45" s="26">
        <v>692369</v>
      </c>
      <c r="H45" s="26">
        <v>0</v>
      </c>
      <c r="I45" s="32">
        <f>IFERROR(+Table1310[[#This Row],[Column G: 
Per Pupil Costs]]/Table1310[[#This Row],[Column E: 
Estimated Number of Test Takers*]],0)</f>
        <v>0</v>
      </c>
      <c r="J45" s="27">
        <f>+Table1310[[#This Row],[Column F: 
Fixed Costs]]+Table1310[[#This Row],[Column G: 
Per Pupil Costs]]</f>
        <v>692369</v>
      </c>
      <c r="K45" s="32">
        <f t="shared" ref="K45:K55" si="3">ROUND(+J45/F45,2)</f>
        <v>2.41</v>
      </c>
    </row>
    <row r="46" spans="1:11" s="29" customFormat="1" ht="22.15" customHeight="1" x14ac:dyDescent="0.2">
      <c r="A46" s="8" t="s">
        <v>175</v>
      </c>
      <c r="B46" s="22">
        <v>8</v>
      </c>
      <c r="C46" s="22" t="s">
        <v>71</v>
      </c>
      <c r="D46" s="24" t="s">
        <v>171</v>
      </c>
      <c r="E46" s="34" t="s">
        <v>152</v>
      </c>
      <c r="F46" s="31">
        <v>287000</v>
      </c>
      <c r="G46" s="26">
        <v>880939</v>
      </c>
      <c r="H46" s="26">
        <v>46365</v>
      </c>
      <c r="I46" s="32">
        <f>ROUND(IFERROR(+Table1310[[#This Row],[Column G: 
Per Pupil Costs]]/Table1310[[#This Row],[Column E: 
Estimated Number of Test Takers*]],0),2)</f>
        <v>0.16</v>
      </c>
      <c r="J46" s="27">
        <f>+Table1310[[#This Row],[Column F: 
Fixed Costs]]+Table1310[[#This Row],[Column G: 
Per Pupil Costs]]</f>
        <v>927304</v>
      </c>
      <c r="K46" s="32">
        <f t="shared" si="3"/>
        <v>3.23</v>
      </c>
    </row>
    <row r="47" spans="1:11" s="29" customFormat="1" ht="22.15" customHeight="1" x14ac:dyDescent="0.2">
      <c r="A47" s="8" t="s">
        <v>176</v>
      </c>
      <c r="B47" s="22">
        <v>9</v>
      </c>
      <c r="C47" s="22" t="s">
        <v>71</v>
      </c>
      <c r="D47" s="24" t="s">
        <v>171</v>
      </c>
      <c r="E47" s="34" t="s">
        <v>152</v>
      </c>
      <c r="F47" s="31">
        <v>287000</v>
      </c>
      <c r="G47" s="26">
        <v>81367</v>
      </c>
      <c r="H47" s="26">
        <v>0</v>
      </c>
      <c r="I47" s="32">
        <f>IFERROR(+Table1310[[#This Row],[Column G: 
Per Pupil Costs]]/Table1310[[#This Row],[Column E: 
Estimated Number of Test Takers*]],0)</f>
        <v>0</v>
      </c>
      <c r="J47" s="27">
        <f>+Table1310[[#This Row],[Column F: 
Fixed Costs]]+Table1310[[#This Row],[Column G: 
Per Pupil Costs]]</f>
        <v>81367</v>
      </c>
      <c r="K47" s="32">
        <f t="shared" si="3"/>
        <v>0.28000000000000003</v>
      </c>
    </row>
    <row r="48" spans="1:11" s="29" customFormat="1" ht="22.15" customHeight="1" x14ac:dyDescent="0.25">
      <c r="A48" s="29" t="s">
        <v>177</v>
      </c>
      <c r="B48" s="22">
        <v>7</v>
      </c>
      <c r="C48" s="22" t="s">
        <v>55</v>
      </c>
      <c r="D48" s="24" t="s">
        <v>171</v>
      </c>
      <c r="E48" s="34" t="s">
        <v>152</v>
      </c>
      <c r="F48" s="31">
        <v>1265000</v>
      </c>
      <c r="G48" s="25">
        <v>5968617</v>
      </c>
      <c r="H48" s="26">
        <v>0</v>
      </c>
      <c r="I48" s="32">
        <f>IFERROR(+Table1310[[#This Row],[Column G: 
Per Pupil Costs]]/Table1310[[#This Row],[Column E: 
Estimated Number of Test Takers*]],0)</f>
        <v>0</v>
      </c>
      <c r="J48" s="27">
        <f>+Table1310[[#This Row],[Column F: 
Fixed Costs]]+Table1310[[#This Row],[Column G: 
Per Pupil Costs]]</f>
        <v>5968617</v>
      </c>
      <c r="K48" s="32">
        <f t="shared" ref="K48:K50" si="4">ROUND(+J48/F48,2)</f>
        <v>4.72</v>
      </c>
    </row>
    <row r="49" spans="1:14" s="29" customFormat="1" ht="22.15" customHeight="1" x14ac:dyDescent="0.2">
      <c r="A49" s="8" t="s">
        <v>178</v>
      </c>
      <c r="B49" s="22">
        <v>8</v>
      </c>
      <c r="C49" s="22" t="s">
        <v>55</v>
      </c>
      <c r="D49" s="24" t="s">
        <v>171</v>
      </c>
      <c r="E49" s="34" t="s">
        <v>152</v>
      </c>
      <c r="F49" s="31">
        <v>1265000</v>
      </c>
      <c r="G49" s="25">
        <v>5246282</v>
      </c>
      <c r="H49" s="26">
        <v>276120</v>
      </c>
      <c r="I49" s="32">
        <f>ROUND(IFERROR(+Table1310[[#This Row],[Column G: 
Per Pupil Costs]]/Table1310[[#This Row],[Column E: 
Estimated Number of Test Takers*]],0),2)</f>
        <v>0.22</v>
      </c>
      <c r="J49" s="27">
        <f>+Table1310[[#This Row],[Column F: 
Fixed Costs]]+Table1310[[#This Row],[Column G: 
Per Pupil Costs]]</f>
        <v>5522402</v>
      </c>
      <c r="K49" s="32">
        <f t="shared" si="4"/>
        <v>4.37</v>
      </c>
    </row>
    <row r="50" spans="1:14" s="29" customFormat="1" ht="22.15" customHeight="1" x14ac:dyDescent="0.2">
      <c r="A50" s="8" t="s">
        <v>179</v>
      </c>
      <c r="B50" s="22">
        <v>9</v>
      </c>
      <c r="C50" s="22" t="s">
        <v>55</v>
      </c>
      <c r="D50" s="24" t="s">
        <v>171</v>
      </c>
      <c r="E50" s="34" t="s">
        <v>152</v>
      </c>
      <c r="F50" s="31">
        <v>1265000</v>
      </c>
      <c r="G50" s="25">
        <v>1558630</v>
      </c>
      <c r="H50" s="26">
        <v>0</v>
      </c>
      <c r="I50" s="32">
        <f>IFERROR(+Table1310[[#This Row],[Column G: 
Per Pupil Costs]]/Table1310[[#This Row],[Column E: 
Estimated Number of Test Takers*]],0)</f>
        <v>0</v>
      </c>
      <c r="J50" s="27">
        <f>+Table1310[[#This Row],[Column F: 
Fixed Costs]]+Table1310[[#This Row],[Column G: 
Per Pupil Costs]]</f>
        <v>1558630</v>
      </c>
      <c r="K50" s="32">
        <f t="shared" si="4"/>
        <v>1.23</v>
      </c>
    </row>
    <row r="51" spans="1:14" s="29" customFormat="1" ht="22.15" customHeight="1" x14ac:dyDescent="0.2">
      <c r="A51" s="8" t="s">
        <v>188</v>
      </c>
      <c r="B51" s="22">
        <v>7</v>
      </c>
      <c r="C51" s="22" t="s">
        <v>55</v>
      </c>
      <c r="D51" s="24" t="s">
        <v>171</v>
      </c>
      <c r="E51" s="34" t="s">
        <v>152</v>
      </c>
      <c r="F51" s="31">
        <v>16750</v>
      </c>
      <c r="G51" s="26">
        <v>168869</v>
      </c>
      <c r="H51" s="26">
        <v>0</v>
      </c>
      <c r="I51" s="32">
        <f>IFERROR(+Table1310[[#This Row],[Column G: 
Per Pupil Costs]]/Table1310[[#This Row],[Column E: 
Estimated Number of Test Takers*]],0)</f>
        <v>0</v>
      </c>
      <c r="J51" s="27">
        <f>+Table1310[[#This Row],[Column F: 
Fixed Costs]]+Table1310[[#This Row],[Column G: 
Per Pupil Costs]]</f>
        <v>168869</v>
      </c>
      <c r="K51" s="32">
        <f t="shared" si="3"/>
        <v>10.08</v>
      </c>
    </row>
    <row r="52" spans="1:14" s="29" customFormat="1" ht="22.15" customHeight="1" x14ac:dyDescent="0.2">
      <c r="A52" s="8" t="s">
        <v>189</v>
      </c>
      <c r="B52" s="22">
        <v>8</v>
      </c>
      <c r="C52" s="22" t="s">
        <v>55</v>
      </c>
      <c r="D52" s="24" t="s">
        <v>171</v>
      </c>
      <c r="E52" s="34" t="s">
        <v>152</v>
      </c>
      <c r="F52" s="31">
        <v>16750</v>
      </c>
      <c r="G52" s="26">
        <v>26002</v>
      </c>
      <c r="H52" s="26">
        <v>1368</v>
      </c>
      <c r="I52" s="32">
        <f>ROUND(IFERROR(+Table1310[[#This Row],[Column G: 
Per Pupil Costs]]/Table1310[[#This Row],[Column E: 
Estimated Number of Test Takers*]],0),2)</f>
        <v>0.08</v>
      </c>
      <c r="J52" s="27">
        <f>+Table1310[[#This Row],[Column F: 
Fixed Costs]]+Table1310[[#This Row],[Column G: 
Per Pupil Costs]]</f>
        <v>27370</v>
      </c>
      <c r="K52" s="32">
        <f t="shared" si="3"/>
        <v>1.63</v>
      </c>
    </row>
    <row r="53" spans="1:14" s="29" customFormat="1" ht="22.15" customHeight="1" x14ac:dyDescent="0.2">
      <c r="A53" s="8" t="s">
        <v>190</v>
      </c>
      <c r="B53" s="22">
        <v>9</v>
      </c>
      <c r="C53" s="22" t="s">
        <v>55</v>
      </c>
      <c r="D53" s="24" t="s">
        <v>171</v>
      </c>
      <c r="E53" s="34" t="s">
        <v>152</v>
      </c>
      <c r="F53" s="31">
        <v>16750</v>
      </c>
      <c r="G53" s="26">
        <v>0</v>
      </c>
      <c r="H53" s="26">
        <v>0</v>
      </c>
      <c r="I53" s="32">
        <f>IFERROR(+Table1310[[#This Row],[Column G: 
Per Pupil Costs]]/Table1310[[#This Row],[Column E: 
Estimated Number of Test Takers*]],0)</f>
        <v>0</v>
      </c>
      <c r="J53" s="27">
        <f>+Table1310[[#This Row],[Column F: 
Fixed Costs]]+Table1310[[#This Row],[Column G: 
Per Pupil Costs]]</f>
        <v>0</v>
      </c>
      <c r="K53" s="32">
        <f t="shared" si="3"/>
        <v>0</v>
      </c>
    </row>
    <row r="54" spans="1:14" ht="22.15" customHeight="1" x14ac:dyDescent="0.2">
      <c r="A54" s="8" t="s">
        <v>34</v>
      </c>
      <c r="B54" s="40" t="s">
        <v>48</v>
      </c>
      <c r="C54" s="40" t="s">
        <v>48</v>
      </c>
      <c r="D54" s="45" t="s">
        <v>48</v>
      </c>
      <c r="E54" s="46" t="s">
        <v>48</v>
      </c>
      <c r="F54" s="42">
        <f>F45+F51+F48</f>
        <v>1568750</v>
      </c>
      <c r="G54" s="33">
        <f>SUBTOTAL(109,G38:G53)</f>
        <v>36057493</v>
      </c>
      <c r="H54" s="33">
        <f>SUBTOTAL(109,H38:H53)</f>
        <v>323853</v>
      </c>
      <c r="I54" s="44">
        <f>ROUND(Table1310[[#This Row],[Column G: 
Per Pupil Costs]]/Table1310[[#This Row],[Column E: 
Estimated Number of Test Takers*]],2)</f>
        <v>0.21</v>
      </c>
      <c r="J54" s="33">
        <f>SUBTOTAL(109,J38:J53)</f>
        <v>36381346</v>
      </c>
      <c r="K54" s="44">
        <f t="shared" si="3"/>
        <v>23.19</v>
      </c>
    </row>
    <row r="55" spans="1:14" s="29" customFormat="1" ht="24.6" customHeight="1" x14ac:dyDescent="0.2">
      <c r="A55" s="8" t="s">
        <v>186</v>
      </c>
      <c r="B55" s="22" t="s">
        <v>48</v>
      </c>
      <c r="C55" s="22" t="s">
        <v>48</v>
      </c>
      <c r="D55" s="22" t="s">
        <v>48</v>
      </c>
      <c r="E55" s="22" t="s">
        <v>48</v>
      </c>
      <c r="F55" s="42">
        <f>F37+F54</f>
        <v>6418750</v>
      </c>
      <c r="G55" s="26">
        <f>G37+G54</f>
        <v>112540206</v>
      </c>
      <c r="H55" s="26">
        <f>H37+H54</f>
        <v>1479108</v>
      </c>
      <c r="I55" s="32">
        <f>ROUND(Table1310[[#Totals],[Column G: 
Per Pupil Costs]]/Table1310[[#Totals],[Column E: 
Estimated Number of Test Takers*]],2)</f>
        <v>0.23</v>
      </c>
      <c r="J55" s="26">
        <f>J37+J54</f>
        <v>114019314</v>
      </c>
      <c r="K55" s="44">
        <f t="shared" si="3"/>
        <v>17.760000000000002</v>
      </c>
    </row>
    <row r="56" spans="1:14" s="6" customFormat="1" ht="15.75" x14ac:dyDescent="0.2">
      <c r="A56" s="29" t="s">
        <v>206</v>
      </c>
      <c r="B56" s="23"/>
      <c r="C56" s="23"/>
      <c r="D56" s="23"/>
      <c r="E56" s="23"/>
      <c r="F56" s="35"/>
      <c r="G56" s="25"/>
      <c r="H56" s="26"/>
      <c r="I56" s="32"/>
      <c r="J56" s="33"/>
      <c r="K56" s="32"/>
      <c r="M56" s="8"/>
      <c r="N56" s="8"/>
    </row>
    <row r="57" spans="1:14" s="6" customFormat="1" ht="15.75" x14ac:dyDescent="0.25">
      <c r="A57" s="8" t="s">
        <v>207</v>
      </c>
      <c r="B57" s="8"/>
      <c r="C57" s="20"/>
      <c r="D57" s="20"/>
      <c r="E57" s="20"/>
      <c r="F57" s="20"/>
      <c r="G57" s="20"/>
      <c r="H57" s="19"/>
      <c r="K57" s="7"/>
      <c r="M57" s="8"/>
      <c r="N57" s="8"/>
    </row>
    <row r="58" spans="1:14" s="6" customFormat="1" ht="15.75" x14ac:dyDescent="0.25">
      <c r="A58" s="5"/>
      <c r="B58" s="8"/>
      <c r="C58" s="20"/>
      <c r="D58" s="20"/>
      <c r="E58" s="20"/>
      <c r="F58" s="20"/>
      <c r="G58" s="20"/>
      <c r="H58" s="19"/>
      <c r="K58" s="7"/>
      <c r="M58" s="8"/>
      <c r="N58" s="8"/>
    </row>
    <row r="59" spans="1:14" s="3" customFormat="1" ht="15.75" x14ac:dyDescent="0.25">
      <c r="A59" s="5"/>
      <c r="B59" s="8"/>
      <c r="C59" s="20"/>
      <c r="D59" s="20"/>
      <c r="E59" s="20"/>
      <c r="F59" s="20"/>
      <c r="G59" s="20"/>
      <c r="H59" s="19"/>
      <c r="I59" s="6"/>
      <c r="J59" s="6"/>
      <c r="K59" s="7"/>
      <c r="M59" s="5"/>
      <c r="N59" s="5"/>
    </row>
    <row r="60" spans="1:14" ht="13.15" customHeight="1" x14ac:dyDescent="0.2"/>
    <row r="61" spans="1:14" ht="13.15" customHeight="1" x14ac:dyDescent="0.2"/>
    <row r="62" spans="1:14" ht="13.15" customHeight="1" x14ac:dyDescent="0.2"/>
    <row r="63" spans="1:14" ht="13.15" customHeight="1" x14ac:dyDescent="0.2"/>
    <row r="64" spans="1:14" ht="13.15" customHeight="1" x14ac:dyDescent="0.2"/>
    <row r="65" ht="13.15" customHeight="1" x14ac:dyDescent="0.2"/>
    <row r="66" ht="13.15" customHeight="1" x14ac:dyDescent="0.2"/>
  </sheetData>
  <pageMargins left="0.5" right="0.25" top="1" bottom="0.75" header="0.3" footer="0.3"/>
  <pageSetup scale="68"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E18:E27" twoDigitTextYear="1"/>
    <ignoredError sqref="J9:J36 J54 J53 J52 J50:J51 J49 J47:J48 J46 J38:J45 J37 I38:I45 I47:I48 I50:I51 I53 I37 I54 I52 I49 I46 I36 I30:I34 I20:I28 I9:I19 I29 I35" formula="1"/>
  </ignoredError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57"/>
  <sheetViews>
    <sheetView showGridLines="0" zoomScaleNormal="100" workbookViewId="0"/>
  </sheetViews>
  <sheetFormatPr defaultColWidth="0" defaultRowHeight="13.9" customHeight="1" zeroHeight="1" x14ac:dyDescent="0.2"/>
  <cols>
    <col min="1" max="1" width="39.28515625" style="9" customWidth="1"/>
    <col min="2" max="2" width="44.28515625" style="9" customWidth="1"/>
    <col min="3" max="3" width="9.85546875" style="9" bestFit="1" customWidth="1"/>
    <col min="4" max="4" width="12.140625" style="9" customWidth="1"/>
    <col min="5" max="5" width="9" style="9" bestFit="1" customWidth="1"/>
    <col min="6" max="6" width="13.7109375" style="10" bestFit="1" customWidth="1"/>
    <col min="7" max="7" width="14.85546875" style="9" customWidth="1"/>
    <col min="8" max="9" width="14.7109375" style="9" customWidth="1"/>
    <col min="10" max="10" width="15.140625" style="9" customWidth="1"/>
    <col min="11" max="11" width="14.7109375" style="9" hidden="1" customWidth="1"/>
    <col min="12" max="12" width="0" style="9" hidden="1" customWidth="1"/>
    <col min="13" max="13" width="14.7109375" style="9" hidden="1" customWidth="1"/>
    <col min="14" max="14" width="0" style="9" hidden="1" customWidth="1"/>
    <col min="15" max="15" width="14.7109375" style="9" hidden="1" customWidth="1"/>
    <col min="16" max="16" width="0" style="9" hidden="1" customWidth="1"/>
    <col min="17" max="17" width="14.7109375" style="9" hidden="1" customWidth="1"/>
    <col min="18" max="16384" width="8.85546875" style="9" hidden="1"/>
  </cols>
  <sheetData>
    <row r="1" spans="1:15" ht="23.25" x14ac:dyDescent="0.35">
      <c r="A1" s="91" t="s">
        <v>191</v>
      </c>
      <c r="B1"/>
      <c r="C1" s="5"/>
      <c r="D1" s="5"/>
      <c r="E1" s="5"/>
      <c r="F1" s="1"/>
      <c r="G1" s="5"/>
      <c r="H1" s="5"/>
      <c r="I1" s="5"/>
      <c r="O1" s="86"/>
    </row>
    <row r="2" spans="1:15" ht="15.75" x14ac:dyDescent="0.25">
      <c r="A2" s="92" t="s">
        <v>213</v>
      </c>
      <c r="B2"/>
      <c r="C2" s="5"/>
      <c r="D2" s="5"/>
      <c r="E2" s="5"/>
      <c r="F2" s="1"/>
      <c r="G2" s="5"/>
      <c r="H2" s="5"/>
      <c r="I2" s="5"/>
      <c r="O2" s="86"/>
    </row>
    <row r="3" spans="1:15" ht="15.75" x14ac:dyDescent="0.25">
      <c r="A3" s="8" t="s">
        <v>1</v>
      </c>
      <c r="B3"/>
      <c r="C3" s="5"/>
      <c r="D3" s="5"/>
      <c r="E3" s="5"/>
      <c r="F3" s="1"/>
      <c r="G3" s="5"/>
      <c r="H3" s="5"/>
      <c r="I3" s="5"/>
    </row>
    <row r="4" spans="1:15" ht="15.75" x14ac:dyDescent="0.25">
      <c r="A4" s="59" t="s">
        <v>2</v>
      </c>
      <c r="B4"/>
      <c r="C4" s="5"/>
      <c r="D4" s="5"/>
      <c r="E4" s="5"/>
      <c r="F4" s="1"/>
      <c r="G4" s="5"/>
      <c r="H4" s="5"/>
      <c r="I4" s="5"/>
    </row>
    <row r="5" spans="1:15" ht="15.75" x14ac:dyDescent="0.25">
      <c r="A5" s="8" t="s">
        <v>3</v>
      </c>
      <c r="B5"/>
      <c r="C5" s="5"/>
      <c r="D5" s="5"/>
      <c r="E5" s="5"/>
      <c r="F5" s="1"/>
      <c r="G5" s="5"/>
      <c r="H5" s="5"/>
      <c r="I5" s="5"/>
    </row>
    <row r="6" spans="1:15" ht="15.75" x14ac:dyDescent="0.25">
      <c r="A6" s="12" t="s">
        <v>4</v>
      </c>
      <c r="B6"/>
      <c r="C6" s="5"/>
      <c r="D6" s="5"/>
      <c r="E6" s="5"/>
      <c r="F6" s="1"/>
      <c r="G6" s="5"/>
      <c r="H6" s="5"/>
      <c r="I6" s="5"/>
    </row>
    <row r="7" spans="1:15" ht="20.45" customHeight="1" x14ac:dyDescent="0.25">
      <c r="A7" s="8" t="s">
        <v>37</v>
      </c>
      <c r="B7"/>
      <c r="C7" s="5"/>
      <c r="D7" s="5"/>
      <c r="E7" s="5"/>
      <c r="F7" s="1"/>
      <c r="G7" s="5"/>
      <c r="H7" s="5"/>
      <c r="I7" s="5"/>
    </row>
    <row r="8" spans="1:15" s="16" customFormat="1" ht="61.9" customHeight="1" x14ac:dyDescent="0.25">
      <c r="A8" s="15" t="s">
        <v>38</v>
      </c>
      <c r="B8" s="48" t="s">
        <v>39</v>
      </c>
      <c r="C8" s="48" t="s">
        <v>40</v>
      </c>
      <c r="D8" s="48" t="s">
        <v>41</v>
      </c>
      <c r="E8" s="48" t="s">
        <v>42</v>
      </c>
      <c r="F8" s="48" t="s">
        <v>43</v>
      </c>
      <c r="G8" s="48" t="s">
        <v>182</v>
      </c>
      <c r="H8" s="48" t="s">
        <v>192</v>
      </c>
      <c r="I8" s="48" t="s">
        <v>193</v>
      </c>
      <c r="J8" s="48" t="s">
        <v>21</v>
      </c>
    </row>
    <row r="9" spans="1:15" s="8" customFormat="1" ht="30" x14ac:dyDescent="0.2">
      <c r="A9" s="13" t="s">
        <v>46</v>
      </c>
      <c r="B9" s="13" t="s">
        <v>47</v>
      </c>
      <c r="C9" s="20">
        <v>1</v>
      </c>
      <c r="D9" s="20" t="s">
        <v>48</v>
      </c>
      <c r="E9" s="20" t="s">
        <v>48</v>
      </c>
      <c r="F9" s="20" t="s">
        <v>48</v>
      </c>
      <c r="G9" s="19">
        <v>0</v>
      </c>
      <c r="H9" s="19">
        <v>4071442</v>
      </c>
      <c r="I9" s="19">
        <v>369597</v>
      </c>
      <c r="J9" s="19">
        <f>+Table4699[[#This Row],[Fiscal Year 2019–20 (7/1/19 to 6/30/20)]]+Table4699[[#This Row],[Fiscal Year 2020–21 (7/1/20 to 6/30/21)]]+Table4699[[#This Row],[Fiscal Year 2021–22 (7/1/21 to 12/31/21)]]</f>
        <v>4441039</v>
      </c>
    </row>
    <row r="10" spans="1:15" s="8" customFormat="1" ht="30.6" customHeight="1" x14ac:dyDescent="0.2">
      <c r="A10" s="13" t="s">
        <v>46</v>
      </c>
      <c r="B10" s="13" t="s">
        <v>49</v>
      </c>
      <c r="C10" s="20">
        <v>2</v>
      </c>
      <c r="D10" s="20" t="s">
        <v>48</v>
      </c>
      <c r="E10" s="20" t="s">
        <v>48</v>
      </c>
      <c r="F10" s="20" t="s">
        <v>48</v>
      </c>
      <c r="G10" s="19">
        <v>0</v>
      </c>
      <c r="H10" s="19">
        <v>3996481</v>
      </c>
      <c r="I10" s="19">
        <v>191974</v>
      </c>
      <c r="J10" s="19">
        <f>+Table4699[[#This Row],[Fiscal Year 2019–20 (7/1/19 to 6/30/20)]]+Table4699[[#This Row],[Fiscal Year 2020–21 (7/1/20 to 6/30/21)]]+Table4699[[#This Row],[Fiscal Year 2021–22 (7/1/21 to 12/31/21)]]</f>
        <v>4188455</v>
      </c>
    </row>
    <row r="11" spans="1:15" s="8" customFormat="1" ht="21" customHeight="1" x14ac:dyDescent="0.2">
      <c r="A11" s="13" t="s">
        <v>46</v>
      </c>
      <c r="B11" s="13" t="s">
        <v>50</v>
      </c>
      <c r="C11" s="20">
        <v>3</v>
      </c>
      <c r="D11" s="20" t="s">
        <v>48</v>
      </c>
      <c r="E11" s="20" t="s">
        <v>48</v>
      </c>
      <c r="F11" s="20" t="s">
        <v>48</v>
      </c>
      <c r="G11" s="19">
        <v>0</v>
      </c>
      <c r="H11" s="19">
        <v>3172162</v>
      </c>
      <c r="I11" s="19">
        <v>175000</v>
      </c>
      <c r="J11" s="19">
        <f>+Table4699[[#This Row],[Fiscal Year 2019–20 (7/1/19 to 6/30/20)]]+Table4699[[#This Row],[Fiscal Year 2020–21 (7/1/20 to 6/30/21)]]+Table4699[[#This Row],[Fiscal Year 2021–22 (7/1/21 to 12/31/21)]]</f>
        <v>3347162</v>
      </c>
    </row>
    <row r="12" spans="1:15" s="8" customFormat="1" ht="21" customHeight="1" x14ac:dyDescent="0.2">
      <c r="A12" s="13" t="s">
        <v>46</v>
      </c>
      <c r="B12" s="13" t="s">
        <v>51</v>
      </c>
      <c r="C12" s="20">
        <v>4</v>
      </c>
      <c r="D12" s="20" t="s">
        <v>48</v>
      </c>
      <c r="E12" s="20" t="s">
        <v>48</v>
      </c>
      <c r="F12" s="20" t="s">
        <v>48</v>
      </c>
      <c r="G12" s="19">
        <v>0</v>
      </c>
      <c r="H12" s="19">
        <v>135214</v>
      </c>
      <c r="I12" s="19">
        <v>2742</v>
      </c>
      <c r="J12" s="19">
        <f>+Table4699[[#This Row],[Fiscal Year 2019–20 (7/1/19 to 6/30/20)]]+Table4699[[#This Row],[Fiscal Year 2020–21 (7/1/20 to 6/30/21)]]+Table4699[[#This Row],[Fiscal Year 2021–22 (7/1/21 to 12/31/21)]]</f>
        <v>137956</v>
      </c>
    </row>
    <row r="13" spans="1:15" s="8" customFormat="1" ht="21" customHeight="1" x14ac:dyDescent="0.2">
      <c r="A13" s="13" t="s">
        <v>46</v>
      </c>
      <c r="B13" s="13" t="s">
        <v>52</v>
      </c>
      <c r="C13" s="20">
        <v>5</v>
      </c>
      <c r="D13" s="20" t="s">
        <v>48</v>
      </c>
      <c r="E13" s="20" t="s">
        <v>48</v>
      </c>
      <c r="F13" s="20" t="s">
        <v>48</v>
      </c>
      <c r="G13" s="19">
        <v>0</v>
      </c>
      <c r="H13" s="19">
        <v>624009</v>
      </c>
      <c r="I13" s="19">
        <v>112866</v>
      </c>
      <c r="J13" s="19">
        <f>+Table4699[[#This Row],[Fiscal Year 2019–20 (7/1/19 to 6/30/20)]]+Table4699[[#This Row],[Fiscal Year 2020–21 (7/1/20 to 6/30/21)]]+Table4699[[#This Row],[Fiscal Year 2021–22 (7/1/21 to 12/31/21)]]</f>
        <v>736875</v>
      </c>
    </row>
    <row r="14" spans="1:15" s="8" customFormat="1" ht="21" customHeight="1" x14ac:dyDescent="0.2">
      <c r="A14" s="13" t="s">
        <v>53</v>
      </c>
      <c r="B14" s="13" t="s">
        <v>127</v>
      </c>
      <c r="C14" s="20">
        <v>6</v>
      </c>
      <c r="D14" s="20" t="s">
        <v>55</v>
      </c>
      <c r="E14" s="20" t="s">
        <v>56</v>
      </c>
      <c r="F14" s="20" t="s">
        <v>48</v>
      </c>
      <c r="G14" s="19">
        <v>0</v>
      </c>
      <c r="H14" s="19">
        <v>1427061</v>
      </c>
      <c r="I14" s="19">
        <v>167133</v>
      </c>
      <c r="J14" s="19">
        <f>+Table4699[[#This Row],[Fiscal Year 2019–20 (7/1/19 to 6/30/20)]]+Table4699[[#This Row],[Fiscal Year 2020–21 (7/1/20 to 6/30/21)]]+Table4699[[#This Row],[Fiscal Year 2021–22 (7/1/21 to 12/31/21)]]</f>
        <v>1594194</v>
      </c>
    </row>
    <row r="15" spans="1:15" s="8" customFormat="1" ht="21" customHeight="1" x14ac:dyDescent="0.2">
      <c r="A15" s="13" t="s">
        <v>53</v>
      </c>
      <c r="B15" s="13" t="s">
        <v>58</v>
      </c>
      <c r="C15" s="20">
        <v>6</v>
      </c>
      <c r="D15" s="20" t="s">
        <v>55</v>
      </c>
      <c r="E15" s="20" t="s">
        <v>99</v>
      </c>
      <c r="F15" s="20" t="s">
        <v>48</v>
      </c>
      <c r="G15" s="19">
        <v>0</v>
      </c>
      <c r="H15" s="19">
        <v>1551352</v>
      </c>
      <c r="I15" s="19">
        <v>267405</v>
      </c>
      <c r="J15" s="19">
        <f>+Table4699[[#This Row],[Fiscal Year 2019–20 (7/1/19 to 6/30/20)]]+Table4699[[#This Row],[Fiscal Year 2020–21 (7/1/20 to 6/30/21)]]+Table4699[[#This Row],[Fiscal Year 2021–22 (7/1/21 to 12/31/21)]]</f>
        <v>1818757</v>
      </c>
    </row>
    <row r="16" spans="1:15" s="8" customFormat="1" ht="21" customHeight="1" x14ac:dyDescent="0.2">
      <c r="A16" s="13" t="s">
        <v>53</v>
      </c>
      <c r="B16" s="13" t="s">
        <v>60</v>
      </c>
      <c r="C16" s="20">
        <v>6</v>
      </c>
      <c r="D16" s="20" t="s">
        <v>55</v>
      </c>
      <c r="E16" s="20" t="s">
        <v>99</v>
      </c>
      <c r="F16" s="20" t="s">
        <v>48</v>
      </c>
      <c r="G16" s="19">
        <v>0</v>
      </c>
      <c r="H16" s="19">
        <v>620146</v>
      </c>
      <c r="I16" s="19">
        <v>150766</v>
      </c>
      <c r="J16" s="19">
        <f>+Table4699[[#This Row],[Fiscal Year 2019–20 (7/1/19 to 6/30/20)]]+Table4699[[#This Row],[Fiscal Year 2020–21 (7/1/20 to 6/30/21)]]+Table4699[[#This Row],[Fiscal Year 2021–22 (7/1/21 to 12/31/21)]]</f>
        <v>770912</v>
      </c>
    </row>
    <row r="17" spans="1:10" s="8" customFormat="1" ht="21" customHeight="1" x14ac:dyDescent="0.2">
      <c r="A17" s="13" t="s">
        <v>53</v>
      </c>
      <c r="B17" s="13" t="s">
        <v>61</v>
      </c>
      <c r="C17" s="20">
        <v>6</v>
      </c>
      <c r="D17" s="20" t="s">
        <v>55</v>
      </c>
      <c r="E17" s="20" t="s">
        <v>62</v>
      </c>
      <c r="F17" s="20" t="s">
        <v>48</v>
      </c>
      <c r="G17" s="19">
        <v>0</v>
      </c>
      <c r="H17" s="19">
        <v>1101391</v>
      </c>
      <c r="I17" s="19">
        <v>221334</v>
      </c>
      <c r="J17" s="19">
        <f>+Table4699[[#This Row],[Fiscal Year 2019–20 (7/1/19 to 6/30/20)]]+Table4699[[#This Row],[Fiscal Year 2020–21 (7/1/20 to 6/30/21)]]+Table4699[[#This Row],[Fiscal Year 2021–22 (7/1/21 to 12/31/21)]]</f>
        <v>1322725</v>
      </c>
    </row>
    <row r="18" spans="1:10" s="8" customFormat="1" ht="30" x14ac:dyDescent="0.2">
      <c r="A18" s="13" t="s">
        <v>63</v>
      </c>
      <c r="B18" s="13" t="s">
        <v>64</v>
      </c>
      <c r="C18" s="20" t="s">
        <v>65</v>
      </c>
      <c r="D18" s="20" t="s">
        <v>55</v>
      </c>
      <c r="E18" s="20" t="s">
        <v>56</v>
      </c>
      <c r="F18" s="49">
        <v>3300000</v>
      </c>
      <c r="G18" s="19">
        <v>0</v>
      </c>
      <c r="H18" s="19">
        <v>46432970</v>
      </c>
      <c r="I18" s="19">
        <v>740900</v>
      </c>
      <c r="J18" s="19">
        <f>+Table4699[[#This Row],[Fiscal Year 2019–20 (7/1/19 to 6/30/20)]]+Table4699[[#This Row],[Fiscal Year 2020–21 (7/1/20 to 6/30/21)]]+Table4699[[#This Row],[Fiscal Year 2021–22 (7/1/21 to 12/31/21)]]</f>
        <v>47173870</v>
      </c>
    </row>
    <row r="19" spans="1:10" s="8" customFormat="1" ht="30" x14ac:dyDescent="0.2">
      <c r="A19" s="13" t="s">
        <v>66</v>
      </c>
      <c r="B19" s="13" t="s">
        <v>67</v>
      </c>
      <c r="C19" s="20" t="s">
        <v>68</v>
      </c>
      <c r="D19" s="20" t="s">
        <v>55</v>
      </c>
      <c r="E19" s="20" t="s">
        <v>69</v>
      </c>
      <c r="F19" s="20" t="s">
        <v>48</v>
      </c>
      <c r="G19" s="19">
        <v>0</v>
      </c>
      <c r="H19" s="19">
        <v>1526559</v>
      </c>
      <c r="I19" s="19">
        <v>0</v>
      </c>
      <c r="J19" s="19">
        <f>+Table4699[[#This Row],[Fiscal Year 2019–20 (7/1/19 to 6/30/20)]]+Table4699[[#This Row],[Fiscal Year 2020–21 (7/1/20 to 6/30/21)]]+Table4699[[#This Row],[Fiscal Year 2021–22 (7/1/21 to 12/31/21)]]</f>
        <v>1526559</v>
      </c>
    </row>
    <row r="20" spans="1:10" s="8" customFormat="1" ht="30" x14ac:dyDescent="0.2">
      <c r="A20" s="13" t="s">
        <v>63</v>
      </c>
      <c r="B20" s="13" t="s">
        <v>117</v>
      </c>
      <c r="C20" s="20" t="s">
        <v>65</v>
      </c>
      <c r="D20" s="20" t="s">
        <v>55</v>
      </c>
      <c r="E20" s="20" t="s">
        <v>56</v>
      </c>
      <c r="F20" s="49">
        <v>39000</v>
      </c>
      <c r="G20" s="19">
        <v>0</v>
      </c>
      <c r="H20" s="19">
        <v>906522</v>
      </c>
      <c r="I20" s="19">
        <v>16459</v>
      </c>
      <c r="J20" s="19">
        <f>+Table4699[[#This Row],[Fiscal Year 2019–20 (7/1/19 to 6/30/20)]]+Table4699[[#This Row],[Fiscal Year 2020–21 (7/1/20 to 6/30/21)]]+Table4699[[#This Row],[Fiscal Year 2021–22 (7/1/21 to 12/31/21)]]</f>
        <v>922981</v>
      </c>
    </row>
    <row r="21" spans="1:10" s="8" customFormat="1" ht="30" x14ac:dyDescent="0.2">
      <c r="A21" s="13" t="s">
        <v>63</v>
      </c>
      <c r="B21" s="13" t="s">
        <v>118</v>
      </c>
      <c r="C21" s="20" t="s">
        <v>65</v>
      </c>
      <c r="D21" s="20" t="s">
        <v>55</v>
      </c>
      <c r="E21" s="20" t="s">
        <v>99</v>
      </c>
      <c r="F21" s="49">
        <v>1472000</v>
      </c>
      <c r="G21" s="19">
        <v>0</v>
      </c>
      <c r="H21" s="19">
        <v>7436423</v>
      </c>
      <c r="I21" s="19">
        <v>213979</v>
      </c>
      <c r="J21" s="19">
        <f>+Table4699[[#This Row],[Fiscal Year 2019–20 (7/1/19 to 6/30/20)]]+Table4699[[#This Row],[Fiscal Year 2020–21 (7/1/20 to 6/30/21)]]+Table4699[[#This Row],[Fiscal Year 2021–22 (7/1/21 to 12/31/21)]]</f>
        <v>7650402</v>
      </c>
    </row>
    <row r="22" spans="1:10" s="8" customFormat="1" ht="30" x14ac:dyDescent="0.2">
      <c r="A22" s="13" t="s">
        <v>63</v>
      </c>
      <c r="B22" s="13" t="s">
        <v>119</v>
      </c>
      <c r="C22" s="20" t="s">
        <v>65</v>
      </c>
      <c r="D22" s="20" t="s">
        <v>55</v>
      </c>
      <c r="E22" s="20" t="s">
        <v>99</v>
      </c>
      <c r="F22" s="49">
        <v>16500</v>
      </c>
      <c r="G22" s="19">
        <v>0</v>
      </c>
      <c r="H22" s="19">
        <v>267952</v>
      </c>
      <c r="I22" s="19">
        <v>5612</v>
      </c>
      <c r="J22" s="19">
        <f>+Table4699[[#This Row],[Fiscal Year 2019–20 (7/1/19 to 6/30/20)]]+Table4699[[#This Row],[Fiscal Year 2020–21 (7/1/20 to 6/30/21)]]+Table4699[[#This Row],[Fiscal Year 2021–22 (7/1/21 to 12/31/21)]]</f>
        <v>273564</v>
      </c>
    </row>
    <row r="23" spans="1:10" s="8" customFormat="1" ht="30" x14ac:dyDescent="0.2">
      <c r="A23" s="13" t="s">
        <v>63</v>
      </c>
      <c r="B23" s="13" t="s">
        <v>128</v>
      </c>
      <c r="C23" s="20" t="s">
        <v>65</v>
      </c>
      <c r="D23" s="20" t="s">
        <v>55</v>
      </c>
      <c r="E23" s="20" t="s">
        <v>62</v>
      </c>
      <c r="F23" s="49">
        <v>22500</v>
      </c>
      <c r="G23" s="19">
        <v>0</v>
      </c>
      <c r="H23" s="19">
        <v>1048103</v>
      </c>
      <c r="I23" s="19">
        <v>15315</v>
      </c>
      <c r="J23" s="19">
        <f>+Table4699[[#This Row],[Fiscal Year 2019–20 (7/1/19 to 6/30/20)]]+Table4699[[#This Row],[Fiscal Year 2020–21 (7/1/20 to 6/30/21)]]+Table4699[[#This Row],[Fiscal Year 2021–22 (7/1/21 to 12/31/21)]]</f>
        <v>1063418</v>
      </c>
    </row>
    <row r="24" spans="1:10" s="8" customFormat="1" ht="15.75" x14ac:dyDescent="0.25">
      <c r="A24" s="18" t="s">
        <v>29</v>
      </c>
      <c r="B24" s="38" t="s">
        <v>145</v>
      </c>
      <c r="C24" s="39" t="s">
        <v>48</v>
      </c>
      <c r="D24" s="39" t="s">
        <v>48</v>
      </c>
      <c r="E24" s="39" t="s">
        <v>48</v>
      </c>
      <c r="F24" s="50">
        <f>F18+F20+F21+F22+F23</f>
        <v>4850000</v>
      </c>
      <c r="G24" s="37">
        <f>SUBTOTAL(109,G9:G23)</f>
        <v>0</v>
      </c>
      <c r="H24" s="37">
        <f t="shared" ref="H24:I24" si="0">SUBTOTAL(109,H9:H23)</f>
        <v>74317787</v>
      </c>
      <c r="I24" s="37">
        <f t="shared" si="0"/>
        <v>2651082</v>
      </c>
      <c r="J24" s="37">
        <f>J9+J10+J11+J12+J13+J14+J15+J16+J17+J18+J19+J20+J21+J22+J23</f>
        <v>76968869</v>
      </c>
    </row>
    <row r="25" spans="1:10" s="8" customFormat="1" ht="33" customHeight="1" x14ac:dyDescent="0.2">
      <c r="A25" s="8" t="s">
        <v>46</v>
      </c>
      <c r="B25" s="13" t="s">
        <v>146</v>
      </c>
      <c r="C25" s="20">
        <v>1</v>
      </c>
      <c r="D25" s="20" t="s">
        <v>48</v>
      </c>
      <c r="E25" s="20" t="s">
        <v>48</v>
      </c>
      <c r="F25" s="20" t="s">
        <v>48</v>
      </c>
      <c r="G25" s="19">
        <v>0</v>
      </c>
      <c r="H25" s="19">
        <v>1862412</v>
      </c>
      <c r="I25" s="19">
        <v>1205206</v>
      </c>
      <c r="J25" s="19">
        <f>+Table4699[[#This Row],[Fiscal Year 2019–20 (7/1/19 to 6/30/20)]]+Table4699[[#This Row],[Fiscal Year 2020–21 (7/1/20 to 6/30/21)]]+Table4699[[#This Row],[Fiscal Year 2021–22 (7/1/21 to 12/31/21)]]</f>
        <v>3067618</v>
      </c>
    </row>
    <row r="26" spans="1:10" s="8" customFormat="1" ht="18" customHeight="1" x14ac:dyDescent="0.2">
      <c r="A26" s="8" t="s">
        <v>46</v>
      </c>
      <c r="B26" s="13" t="s">
        <v>147</v>
      </c>
      <c r="C26" s="20">
        <v>2</v>
      </c>
      <c r="D26" s="20" t="s">
        <v>48</v>
      </c>
      <c r="E26" s="20" t="s">
        <v>48</v>
      </c>
      <c r="F26" s="20" t="s">
        <v>48</v>
      </c>
      <c r="G26" s="19">
        <v>0</v>
      </c>
      <c r="H26" s="19">
        <v>3327929</v>
      </c>
      <c r="I26" s="19">
        <v>184445</v>
      </c>
      <c r="J26" s="19">
        <f>+Table4699[[#This Row],[Fiscal Year 2019–20 (7/1/19 to 6/30/20)]]+Table4699[[#This Row],[Fiscal Year 2020–21 (7/1/20 to 6/30/21)]]+Table4699[[#This Row],[Fiscal Year 2021–22 (7/1/21 to 12/31/21)]]</f>
        <v>3512374</v>
      </c>
    </row>
    <row r="27" spans="1:10" s="8" customFormat="1" ht="18" customHeight="1" x14ac:dyDescent="0.2">
      <c r="A27" s="8" t="s">
        <v>46</v>
      </c>
      <c r="B27" s="13" t="s">
        <v>148</v>
      </c>
      <c r="C27" s="20">
        <v>3</v>
      </c>
      <c r="D27" s="20" t="s">
        <v>48</v>
      </c>
      <c r="E27" s="20" t="s">
        <v>48</v>
      </c>
      <c r="F27" s="20" t="s">
        <v>48</v>
      </c>
      <c r="G27" s="19">
        <v>0</v>
      </c>
      <c r="H27" s="19">
        <v>2234959</v>
      </c>
      <c r="I27" s="19">
        <v>175000</v>
      </c>
      <c r="J27" s="19">
        <f>+Table4699[[#This Row],[Fiscal Year 2019–20 (7/1/19 to 6/30/20)]]+Table4699[[#This Row],[Fiscal Year 2020–21 (7/1/20 to 6/30/21)]]+Table4699[[#This Row],[Fiscal Year 2021–22 (7/1/21 to 12/31/21)]]</f>
        <v>2409959</v>
      </c>
    </row>
    <row r="28" spans="1:10" s="8" customFormat="1" ht="18" customHeight="1" x14ac:dyDescent="0.2">
      <c r="A28" s="8" t="s">
        <v>46</v>
      </c>
      <c r="B28" s="13" t="s">
        <v>149</v>
      </c>
      <c r="C28" s="20">
        <v>4</v>
      </c>
      <c r="D28" s="20" t="s">
        <v>48</v>
      </c>
      <c r="E28" s="20" t="s">
        <v>48</v>
      </c>
      <c r="F28" s="20" t="s">
        <v>48</v>
      </c>
      <c r="G28" s="19">
        <v>0</v>
      </c>
      <c r="H28" s="19">
        <v>164074</v>
      </c>
      <c r="I28" s="19">
        <v>3351</v>
      </c>
      <c r="J28" s="19">
        <f>+Table4699[[#This Row],[Fiscal Year 2019–20 (7/1/19 to 6/30/20)]]+Table4699[[#This Row],[Fiscal Year 2020–21 (7/1/20 to 6/30/21)]]+Table4699[[#This Row],[Fiscal Year 2021–22 (7/1/21 to 12/31/21)]]</f>
        <v>167425</v>
      </c>
    </row>
    <row r="29" spans="1:10" s="8" customFormat="1" ht="24.6" customHeight="1" x14ac:dyDescent="0.2">
      <c r="A29" s="8" t="s">
        <v>46</v>
      </c>
      <c r="B29" s="13" t="s">
        <v>150</v>
      </c>
      <c r="C29" s="20">
        <v>5</v>
      </c>
      <c r="D29" s="20" t="s">
        <v>48</v>
      </c>
      <c r="E29" s="20" t="s">
        <v>48</v>
      </c>
      <c r="F29" s="20" t="s">
        <v>48</v>
      </c>
      <c r="G29" s="19">
        <v>0</v>
      </c>
      <c r="H29" s="19">
        <v>269317</v>
      </c>
      <c r="I29" s="19">
        <v>60774</v>
      </c>
      <c r="J29" s="19">
        <f>+Table4699[[#This Row],[Fiscal Year 2019–20 (7/1/19 to 6/30/20)]]+Table4699[[#This Row],[Fiscal Year 2020–21 (7/1/20 to 6/30/21)]]+Table4699[[#This Row],[Fiscal Year 2021–22 (7/1/21 to 12/31/21)]]</f>
        <v>330091</v>
      </c>
    </row>
    <row r="30" spans="1:10" s="8" customFormat="1" ht="15" x14ac:dyDescent="0.2">
      <c r="A30" s="8" t="s">
        <v>53</v>
      </c>
      <c r="B30" s="13" t="s">
        <v>151</v>
      </c>
      <c r="C30" s="20">
        <v>6</v>
      </c>
      <c r="D30" s="20" t="s">
        <v>55</v>
      </c>
      <c r="E30" s="20" t="s">
        <v>152</v>
      </c>
      <c r="F30" s="20" t="s">
        <v>48</v>
      </c>
      <c r="G30" s="19">
        <v>975102</v>
      </c>
      <c r="H30" s="19">
        <v>879886</v>
      </c>
      <c r="I30" s="19">
        <v>279044</v>
      </c>
      <c r="J30" s="19">
        <f>+Table4699[[#This Row],[Fiscal Year 2019–20 (7/1/19 to 6/30/20)]]+Table4699[[#This Row],[Fiscal Year 2020–21 (7/1/20 to 6/30/21)]]+Table4699[[#This Row],[Fiscal Year 2021–22 (7/1/21 to 12/31/21)]]</f>
        <v>2134032</v>
      </c>
    </row>
    <row r="31" spans="1:10" s="8" customFormat="1" ht="15" x14ac:dyDescent="0.2">
      <c r="A31" s="8" t="s">
        <v>53</v>
      </c>
      <c r="B31" s="13" t="s">
        <v>154</v>
      </c>
      <c r="C31" s="20">
        <v>6</v>
      </c>
      <c r="D31" s="20" t="s">
        <v>55</v>
      </c>
      <c r="E31" s="20" t="s">
        <v>152</v>
      </c>
      <c r="F31" s="20" t="s">
        <v>48</v>
      </c>
      <c r="G31" s="19">
        <v>938591</v>
      </c>
      <c r="H31" s="19">
        <v>282408</v>
      </c>
      <c r="I31" s="19">
        <v>164240</v>
      </c>
      <c r="J31" s="19">
        <f>+Table4699[[#This Row],[Fiscal Year 2019–20 (7/1/19 to 6/30/20)]]+Table4699[[#This Row],[Fiscal Year 2020–21 (7/1/20 to 6/30/21)]]+Table4699[[#This Row],[Fiscal Year 2021–22 (7/1/21 to 12/31/21)]]</f>
        <v>1385239</v>
      </c>
    </row>
    <row r="32" spans="1:10" s="8" customFormat="1" ht="30" x14ac:dyDescent="0.2">
      <c r="A32" s="62" t="s">
        <v>63</v>
      </c>
      <c r="B32" s="13" t="s">
        <v>155</v>
      </c>
      <c r="C32" s="20" t="s">
        <v>65</v>
      </c>
      <c r="D32" s="20" t="s">
        <v>55</v>
      </c>
      <c r="E32" s="20" t="s">
        <v>152</v>
      </c>
      <c r="F32" s="49">
        <v>1552000</v>
      </c>
      <c r="G32" s="19">
        <v>420901</v>
      </c>
      <c r="H32" s="19">
        <v>10331133</v>
      </c>
      <c r="I32" s="19">
        <v>101694</v>
      </c>
      <c r="J32" s="19">
        <f>+Table4699[[#This Row],[Fiscal Year 2019–20 (7/1/19 to 6/30/20)]]+Table4699[[#This Row],[Fiscal Year 2020–21 (7/1/20 to 6/30/21)]]+Table4699[[#This Row],[Fiscal Year 2021–22 (7/1/21 to 12/31/21)]]</f>
        <v>10853728</v>
      </c>
    </row>
    <row r="33" spans="1:10" s="8" customFormat="1" ht="30" x14ac:dyDescent="0.2">
      <c r="A33" s="13" t="s">
        <v>63</v>
      </c>
      <c r="B33" s="13" t="s">
        <v>185</v>
      </c>
      <c r="C33" s="20" t="s">
        <v>65</v>
      </c>
      <c r="D33" s="20" t="s">
        <v>55</v>
      </c>
      <c r="E33" s="20" t="s">
        <v>152</v>
      </c>
      <c r="F33" s="49">
        <v>16750</v>
      </c>
      <c r="G33" s="19">
        <v>0</v>
      </c>
      <c r="H33" s="19">
        <v>254310</v>
      </c>
      <c r="I33" s="19">
        <v>0</v>
      </c>
      <c r="J33" s="19">
        <f>+Table4699[[#This Row],[Fiscal Year 2019–20 (7/1/19 to 6/30/20)]]+Table4699[[#This Row],[Fiscal Year 2020–21 (7/1/20 to 6/30/21)]]+Table4699[[#This Row],[Fiscal Year 2021–22 (7/1/21 to 12/31/21)]]</f>
        <v>254310</v>
      </c>
    </row>
    <row r="34" spans="1:10" ht="20.45" customHeight="1" x14ac:dyDescent="0.25">
      <c r="A34" s="18" t="s">
        <v>34</v>
      </c>
      <c r="B34" s="38" t="s">
        <v>155</v>
      </c>
      <c r="C34" s="39" t="s">
        <v>48</v>
      </c>
      <c r="D34" s="39" t="s">
        <v>48</v>
      </c>
      <c r="E34" s="39" t="s">
        <v>48</v>
      </c>
      <c r="F34" s="50">
        <f>F32+F33</f>
        <v>1568750</v>
      </c>
      <c r="G34" s="37">
        <f>SUBTOTAL(109,G25:G33)</f>
        <v>2334594</v>
      </c>
      <c r="H34" s="37">
        <f t="shared" ref="H34:J34" si="1">SUBTOTAL(109,H25:H33)</f>
        <v>19606428</v>
      </c>
      <c r="I34" s="37">
        <f t="shared" si="1"/>
        <v>2173754</v>
      </c>
      <c r="J34" s="37">
        <f t="shared" si="1"/>
        <v>24114776</v>
      </c>
    </row>
    <row r="35" spans="1:10" ht="31.5" x14ac:dyDescent="0.25">
      <c r="A35" s="13" t="s">
        <v>194</v>
      </c>
      <c r="B35" s="36" t="s">
        <v>48</v>
      </c>
      <c r="C35" s="54" t="s">
        <v>48</v>
      </c>
      <c r="D35" s="54" t="s">
        <v>48</v>
      </c>
      <c r="E35" s="54" t="s">
        <v>48</v>
      </c>
      <c r="F35" s="82">
        <f>F24+F34</f>
        <v>6418750</v>
      </c>
      <c r="G35" s="80">
        <f>G24+G34</f>
        <v>2334594</v>
      </c>
      <c r="H35" s="81">
        <f>H24+H34</f>
        <v>93924215</v>
      </c>
      <c r="I35" s="81">
        <f>I24+I34</f>
        <v>4824836</v>
      </c>
      <c r="J35" s="81">
        <f>J24+J34</f>
        <v>101083645</v>
      </c>
    </row>
    <row r="36" spans="1:10" ht="12.75" hidden="1" x14ac:dyDescent="0.2"/>
    <row r="37" spans="1:10" ht="12.75" hidden="1" x14ac:dyDescent="0.2"/>
    <row r="38" spans="1:10" ht="12.75" hidden="1" x14ac:dyDescent="0.2"/>
    <row r="39" spans="1:10" ht="12.75" hidden="1" x14ac:dyDescent="0.2"/>
    <row r="40" spans="1:10" ht="12.75" hidden="1" x14ac:dyDescent="0.2"/>
    <row r="41" spans="1:10" ht="12.75" hidden="1" x14ac:dyDescent="0.2"/>
    <row r="42" spans="1:10" ht="12.75" hidden="1" x14ac:dyDescent="0.2"/>
    <row r="43" spans="1:10" ht="12.75" hidden="1" x14ac:dyDescent="0.2"/>
    <row r="44" spans="1:10" ht="12.75" hidden="1" x14ac:dyDescent="0.2"/>
    <row r="45" spans="1:10" ht="12.75" hidden="1" x14ac:dyDescent="0.2"/>
    <row r="46" spans="1:10" ht="12.75" hidden="1" x14ac:dyDescent="0.2"/>
    <row r="47" spans="1:10" ht="12.75" hidden="1" x14ac:dyDescent="0.2"/>
    <row r="48" spans="1:10" ht="12.75" hidden="1" x14ac:dyDescent="0.2"/>
    <row r="49" ht="12.75" hidden="1" x14ac:dyDescent="0.2"/>
    <row r="50" ht="12.75" hidden="1" x14ac:dyDescent="0.2"/>
    <row r="51" ht="12.75" hidden="1" x14ac:dyDescent="0.2"/>
    <row r="52" ht="12.75" hidden="1" x14ac:dyDescent="0.2"/>
    <row r="53" ht="12.75" hidden="1" x14ac:dyDescent="0.2"/>
    <row r="54" ht="12.75" hidden="1" x14ac:dyDescent="0.2"/>
    <row r="55" ht="12.75" hidden="1" x14ac:dyDescent="0.2"/>
    <row r="56" ht="12.75" hidden="1" x14ac:dyDescent="0.2"/>
    <row r="57" ht="13.9" hidden="1" customHeight="1" x14ac:dyDescent="0.2"/>
  </sheetData>
  <pageMargins left="0.5" right="0.25" top="1" bottom="0.75" header="0.3" footer="0.3"/>
  <pageSetup scale="70"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C18:C33" twoDigitTextYear="1"/>
    <ignoredError sqref="J24" formula="1"/>
  </ignoredError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O63"/>
  <sheetViews>
    <sheetView showGridLines="0" zoomScaleNormal="100" workbookViewId="0">
      <pane xSplit="2" ySplit="8" topLeftCell="C39" activePane="bottomRight" state="frozen"/>
      <selection activeCell="L3" sqref="L3"/>
      <selection pane="topRight" activeCell="L3" sqref="L3"/>
      <selection pane="bottomLeft" activeCell="L3" sqref="L3"/>
      <selection pane="bottomRight"/>
    </sheetView>
  </sheetViews>
  <sheetFormatPr defaultColWidth="0" defaultRowHeight="0" customHeight="1" zeroHeight="1" x14ac:dyDescent="0.2"/>
  <cols>
    <col min="1" max="1" width="51.140625" style="5" customWidth="1"/>
    <col min="2" max="2" width="11.85546875" style="5" bestFit="1" customWidth="1"/>
    <col min="3" max="5" width="12" style="1" bestFit="1" customWidth="1"/>
    <col min="6" max="6" width="13.7109375" style="1" bestFit="1" customWidth="1"/>
    <col min="7" max="7" width="14.7109375" style="1" bestFit="1" customWidth="1"/>
    <col min="8" max="8" width="12.85546875" style="2" customWidth="1"/>
    <col min="9" max="9" width="16" style="3" bestFit="1" customWidth="1"/>
    <col min="10" max="10" width="17" style="3" bestFit="1" customWidth="1"/>
    <col min="11" max="11" width="19.42578125" style="4" bestFit="1" customWidth="1"/>
    <col min="12" max="12" width="12.7109375" style="3" hidden="1" customWidth="1"/>
    <col min="13" max="13" width="0" style="5" hidden="1" customWidth="1"/>
    <col min="14" max="14" width="12.7109375" style="5" hidden="1" customWidth="1"/>
    <col min="15" max="16384" width="8.85546875" style="5" hidden="1"/>
  </cols>
  <sheetData>
    <row r="1" spans="1:15" ht="23.25" x14ac:dyDescent="0.35">
      <c r="A1" s="91" t="s">
        <v>195</v>
      </c>
      <c r="B1" s="1"/>
      <c r="O1" s="85"/>
    </row>
    <row r="2" spans="1:15" ht="15.75" x14ac:dyDescent="0.25">
      <c r="A2" s="92" t="s">
        <v>213</v>
      </c>
      <c r="B2" s="1"/>
      <c r="O2" s="85"/>
    </row>
    <row r="3" spans="1:15" ht="15" x14ac:dyDescent="0.2">
      <c r="A3" s="8" t="s">
        <v>1</v>
      </c>
      <c r="B3" s="1"/>
    </row>
    <row r="4" spans="1:15" ht="14.45" customHeight="1" x14ac:dyDescent="0.2">
      <c r="A4" s="59" t="s">
        <v>2</v>
      </c>
      <c r="B4" s="1"/>
    </row>
    <row r="5" spans="1:15" ht="15" x14ac:dyDescent="0.2">
      <c r="A5" s="8" t="s">
        <v>3</v>
      </c>
      <c r="B5" s="1"/>
    </row>
    <row r="6" spans="1:15" ht="15" x14ac:dyDescent="0.2">
      <c r="A6" s="12" t="s">
        <v>4</v>
      </c>
      <c r="B6" s="1"/>
    </row>
    <row r="7" spans="1:15" ht="20.45" customHeight="1" x14ac:dyDescent="0.2">
      <c r="A7" s="21" t="s">
        <v>37</v>
      </c>
    </row>
    <row r="8" spans="1:15" ht="78.75" x14ac:dyDescent="0.25">
      <c r="A8" s="8" t="s">
        <v>39</v>
      </c>
      <c r="B8" s="14" t="s">
        <v>80</v>
      </c>
      <c r="C8" s="14" t="s">
        <v>81</v>
      </c>
      <c r="D8" s="14" t="s">
        <v>82</v>
      </c>
      <c r="E8" s="14" t="s">
        <v>83</v>
      </c>
      <c r="F8" s="14" t="s">
        <v>205</v>
      </c>
      <c r="G8" s="64" t="s">
        <v>84</v>
      </c>
      <c r="H8" s="14" t="s">
        <v>85</v>
      </c>
      <c r="I8" s="14" t="s">
        <v>86</v>
      </c>
      <c r="J8" s="65" t="s">
        <v>87</v>
      </c>
      <c r="K8" s="14" t="s">
        <v>88</v>
      </c>
      <c r="L8" s="5"/>
    </row>
    <row r="9" spans="1:15" s="29" customFormat="1" ht="30" x14ac:dyDescent="0.25">
      <c r="A9" s="63" t="s">
        <v>89</v>
      </c>
      <c r="B9" s="22">
        <v>1</v>
      </c>
      <c r="C9" s="24" t="s">
        <v>48</v>
      </c>
      <c r="D9" s="24" t="s">
        <v>48</v>
      </c>
      <c r="E9" s="24" t="s">
        <v>48</v>
      </c>
      <c r="F9" s="24" t="s">
        <v>48</v>
      </c>
      <c r="G9" s="25">
        <v>4441039</v>
      </c>
      <c r="H9" s="26">
        <v>0</v>
      </c>
      <c r="I9" s="28">
        <f>ROUND(+H9/$F$37,2)</f>
        <v>0</v>
      </c>
      <c r="J9" s="27">
        <f>+Table131013[[#This Row],[Column F: 
Fixed Costs]]+Table131013[[#This Row],[Column G: 
Per Pupil Costs]]</f>
        <v>4441039</v>
      </c>
      <c r="K9" s="28">
        <f>ROUND(+J9/$F$37,2)</f>
        <v>0.92</v>
      </c>
    </row>
    <row r="10" spans="1:15" s="29" customFormat="1" ht="45" x14ac:dyDescent="0.25">
      <c r="A10" s="63" t="s">
        <v>90</v>
      </c>
      <c r="B10" s="22">
        <v>2</v>
      </c>
      <c r="C10" s="24" t="s">
        <v>48</v>
      </c>
      <c r="D10" s="24" t="s">
        <v>48</v>
      </c>
      <c r="E10" s="24" t="s">
        <v>48</v>
      </c>
      <c r="F10" s="24" t="s">
        <v>48</v>
      </c>
      <c r="G10" s="25">
        <v>4188455</v>
      </c>
      <c r="H10" s="26">
        <v>0</v>
      </c>
      <c r="I10" s="28">
        <f t="shared" ref="I10:K13" si="0">ROUND(+H10/$F$37,2)</f>
        <v>0</v>
      </c>
      <c r="J10" s="27">
        <f>+Table131013[[#This Row],[Column F: 
Fixed Costs]]+Table131013[[#This Row],[Column G: 
Per Pupil Costs]]</f>
        <v>4188455</v>
      </c>
      <c r="K10" s="28">
        <f t="shared" si="0"/>
        <v>0.86</v>
      </c>
    </row>
    <row r="11" spans="1:15" s="29" customFormat="1" ht="30" x14ac:dyDescent="0.25">
      <c r="A11" s="63" t="s">
        <v>91</v>
      </c>
      <c r="B11" s="22">
        <v>3</v>
      </c>
      <c r="C11" s="24" t="s">
        <v>48</v>
      </c>
      <c r="D11" s="24" t="s">
        <v>48</v>
      </c>
      <c r="E11" s="24" t="s">
        <v>48</v>
      </c>
      <c r="F11" s="24" t="s">
        <v>48</v>
      </c>
      <c r="G11" s="25">
        <v>3347162</v>
      </c>
      <c r="H11" s="26">
        <v>0</v>
      </c>
      <c r="I11" s="28">
        <f t="shared" si="0"/>
        <v>0</v>
      </c>
      <c r="J11" s="27">
        <f>+Table131013[[#This Row],[Column F: 
Fixed Costs]]+Table131013[[#This Row],[Column G: 
Per Pupil Costs]]</f>
        <v>3347162</v>
      </c>
      <c r="K11" s="28">
        <f t="shared" si="0"/>
        <v>0.69</v>
      </c>
    </row>
    <row r="12" spans="1:15" s="29" customFormat="1" ht="30" x14ac:dyDescent="0.25">
      <c r="A12" s="63" t="s">
        <v>92</v>
      </c>
      <c r="B12" s="22">
        <v>4</v>
      </c>
      <c r="C12" s="24" t="s">
        <v>48</v>
      </c>
      <c r="D12" s="24" t="s">
        <v>48</v>
      </c>
      <c r="E12" s="24" t="s">
        <v>48</v>
      </c>
      <c r="F12" s="24" t="s">
        <v>48</v>
      </c>
      <c r="G12" s="25">
        <v>137956</v>
      </c>
      <c r="H12" s="26">
        <v>0</v>
      </c>
      <c r="I12" s="28">
        <f t="shared" si="0"/>
        <v>0</v>
      </c>
      <c r="J12" s="27">
        <f>+Table131013[[#This Row],[Column F: 
Fixed Costs]]+Table131013[[#This Row],[Column G: 
Per Pupil Costs]]</f>
        <v>137956</v>
      </c>
      <c r="K12" s="28">
        <f t="shared" si="0"/>
        <v>0.03</v>
      </c>
    </row>
    <row r="13" spans="1:15" s="29" customFormat="1" ht="30" x14ac:dyDescent="0.25">
      <c r="A13" s="63" t="s">
        <v>93</v>
      </c>
      <c r="B13" s="22">
        <v>5</v>
      </c>
      <c r="C13" s="24" t="s">
        <v>48</v>
      </c>
      <c r="D13" s="24" t="s">
        <v>48</v>
      </c>
      <c r="E13" s="24" t="s">
        <v>48</v>
      </c>
      <c r="F13" s="24" t="s">
        <v>48</v>
      </c>
      <c r="G13" s="25">
        <v>736875</v>
      </c>
      <c r="H13" s="26">
        <v>0</v>
      </c>
      <c r="I13" s="28">
        <f t="shared" si="0"/>
        <v>0</v>
      </c>
      <c r="J13" s="27">
        <f>+Table131013[[#This Row],[Column F: 
Fixed Costs]]+Table131013[[#This Row],[Column G: 
Per Pupil Costs]]</f>
        <v>736875</v>
      </c>
      <c r="K13" s="28">
        <f t="shared" si="0"/>
        <v>0.15</v>
      </c>
    </row>
    <row r="14" spans="1:15" s="29" customFormat="1" ht="30" x14ac:dyDescent="0.25">
      <c r="A14" s="63" t="s">
        <v>94</v>
      </c>
      <c r="B14" s="22">
        <v>6</v>
      </c>
      <c r="C14" s="24" t="s">
        <v>48</v>
      </c>
      <c r="D14" s="24" t="s">
        <v>95</v>
      </c>
      <c r="E14" s="24" t="s">
        <v>56</v>
      </c>
      <c r="F14" s="24" t="s">
        <v>48</v>
      </c>
      <c r="G14" s="25">
        <v>1594194</v>
      </c>
      <c r="H14" s="26">
        <v>0</v>
      </c>
      <c r="I14" s="32">
        <f>IFERROR(+Table131013[[#This Row],[Column G: 
Per Pupil Costs]]/Table131013[[#This Row],[Column E: 
Estimated Number of Test Takers*]],0)</f>
        <v>0</v>
      </c>
      <c r="J14" s="27">
        <f>+Table131013[[#This Row],[Column F: 
Fixed Costs]]+Table131013[[#This Row],[Column G: 
Per Pupil Costs]]</f>
        <v>1594194</v>
      </c>
      <c r="K14" s="30" t="s">
        <v>48</v>
      </c>
    </row>
    <row r="15" spans="1:15" s="29" customFormat="1" ht="15.75" x14ac:dyDescent="0.25">
      <c r="A15" s="66" t="s">
        <v>97</v>
      </c>
      <c r="B15" s="22">
        <v>6</v>
      </c>
      <c r="C15" s="24" t="s">
        <v>48</v>
      </c>
      <c r="D15" s="24" t="s">
        <v>98</v>
      </c>
      <c r="E15" s="24" t="s">
        <v>99</v>
      </c>
      <c r="F15" s="24" t="s">
        <v>48</v>
      </c>
      <c r="G15" s="25">
        <v>1818757</v>
      </c>
      <c r="H15" s="26">
        <v>0</v>
      </c>
      <c r="I15" s="32">
        <f>IFERROR(+Table131013[[#This Row],[Column G: 
Per Pupil Costs]]/Table131013[[#This Row],[Column E: 
Estimated Number of Test Takers*]],0)</f>
        <v>0</v>
      </c>
      <c r="J15" s="27">
        <f>+Table131013[[#This Row],[Column F: 
Fixed Costs]]+Table131013[[#This Row],[Column G: 
Per Pupil Costs]]</f>
        <v>1818757</v>
      </c>
      <c r="K15" s="30" t="s">
        <v>48</v>
      </c>
    </row>
    <row r="16" spans="1:15" s="29" customFormat="1" ht="15.75" x14ac:dyDescent="0.25">
      <c r="A16" s="63" t="s">
        <v>196</v>
      </c>
      <c r="B16" s="22">
        <v>6</v>
      </c>
      <c r="C16" s="24" t="s">
        <v>48</v>
      </c>
      <c r="D16" s="24" t="s">
        <v>98</v>
      </c>
      <c r="E16" s="24" t="s">
        <v>99</v>
      </c>
      <c r="F16" s="24" t="s">
        <v>48</v>
      </c>
      <c r="G16" s="25">
        <v>770912</v>
      </c>
      <c r="H16" s="26">
        <v>0</v>
      </c>
      <c r="I16" s="32">
        <f>IFERROR(+Table131013[[#This Row],[Column G: 
Per Pupil Costs]]/Table131013[[#This Row],[Column E: 
Estimated Number of Test Takers*]],0)</f>
        <v>0</v>
      </c>
      <c r="J16" s="27">
        <f>+Table131013[[#This Row],[Column F: 
Fixed Costs]]+Table131013[[#This Row],[Column G: 
Per Pupil Costs]]</f>
        <v>770912</v>
      </c>
      <c r="K16" s="30" t="s">
        <v>48</v>
      </c>
    </row>
    <row r="17" spans="1:11" s="29" customFormat="1" ht="15.75" x14ac:dyDescent="0.25">
      <c r="A17" s="63" t="s">
        <v>101</v>
      </c>
      <c r="B17" s="22">
        <v>6</v>
      </c>
      <c r="C17" s="24" t="s">
        <v>48</v>
      </c>
      <c r="D17" s="24" t="s">
        <v>102</v>
      </c>
      <c r="E17" s="24" t="s">
        <v>62</v>
      </c>
      <c r="F17" s="24" t="s">
        <v>48</v>
      </c>
      <c r="G17" s="25">
        <v>1322725</v>
      </c>
      <c r="H17" s="26">
        <v>0</v>
      </c>
      <c r="I17" s="32">
        <f>IFERROR(+Table131013[[#This Row],[Column G: 
Per Pupil Costs]]/Table131013[[#This Row],[Column E: 
Estimated Number of Test Takers*]],0)</f>
        <v>0</v>
      </c>
      <c r="J17" s="27">
        <f>+Table131013[[#This Row],[Column F: 
Fixed Costs]]+Table131013[[#This Row],[Column G: 
Per Pupil Costs]]</f>
        <v>1322725</v>
      </c>
      <c r="K17" s="30" t="s">
        <v>48</v>
      </c>
    </row>
    <row r="18" spans="1:11" s="29" customFormat="1" ht="30" x14ac:dyDescent="0.25">
      <c r="A18" s="63" t="s">
        <v>103</v>
      </c>
      <c r="B18" s="22">
        <v>7</v>
      </c>
      <c r="C18" s="22" t="s">
        <v>55</v>
      </c>
      <c r="D18" s="24" t="s">
        <v>95</v>
      </c>
      <c r="E18" s="24" t="s">
        <v>104</v>
      </c>
      <c r="F18" s="31">
        <v>3300000</v>
      </c>
      <c r="G18" s="25">
        <v>24946622</v>
      </c>
      <c r="H18" s="26">
        <v>0</v>
      </c>
      <c r="I18" s="32">
        <f>IFERROR(+Table131013[[#This Row],[Column G: 
Per Pupil Costs]]/Table131013[[#This Row],[Column E: 
Estimated Number of Test Takers*]],0)</f>
        <v>0</v>
      </c>
      <c r="J18" s="27">
        <f>+Table131013[[#This Row],[Column F: 
Fixed Costs]]+Table131013[[#This Row],[Column G: 
Per Pupil Costs]]</f>
        <v>24946622</v>
      </c>
      <c r="K18" s="32">
        <f>ROUND(+J18/F18,2)</f>
        <v>7.56</v>
      </c>
    </row>
    <row r="19" spans="1:11" s="29" customFormat="1" ht="30" x14ac:dyDescent="0.25">
      <c r="A19" s="63" t="s">
        <v>105</v>
      </c>
      <c r="B19" s="22">
        <v>8</v>
      </c>
      <c r="C19" s="22" t="s">
        <v>55</v>
      </c>
      <c r="D19" s="24" t="s">
        <v>95</v>
      </c>
      <c r="E19" s="24" t="s">
        <v>104</v>
      </c>
      <c r="F19" s="31">
        <v>3300000</v>
      </c>
      <c r="G19" s="25">
        <v>17056376</v>
      </c>
      <c r="H19" s="26">
        <v>897704</v>
      </c>
      <c r="I19" s="32">
        <f>ROUND(Table131013[[#This Row],[Column G: 
Per Pupil Costs]]/Table131013[[#This Row],[Column E: 
Estimated Number of Test Takers*]],2)</f>
        <v>0.27</v>
      </c>
      <c r="J19" s="27">
        <f>+Table131013[[#This Row],[Column F: 
Fixed Costs]]+Table131013[[#This Row],[Column G: 
Per Pupil Costs]]</f>
        <v>17954080</v>
      </c>
      <c r="K19" s="32">
        <f t="shared" ref="K19:K20" si="1">ROUND(+J19/F19,2)</f>
        <v>5.44</v>
      </c>
    </row>
    <row r="20" spans="1:11" s="29" customFormat="1" ht="30" x14ac:dyDescent="0.25">
      <c r="A20" s="63" t="s">
        <v>106</v>
      </c>
      <c r="B20" s="22">
        <v>9</v>
      </c>
      <c r="C20" s="22" t="s">
        <v>55</v>
      </c>
      <c r="D20" s="24" t="s">
        <v>95</v>
      </c>
      <c r="E20" s="24" t="s">
        <v>104</v>
      </c>
      <c r="F20" s="31">
        <v>3300000</v>
      </c>
      <c r="G20" s="25">
        <v>3788268</v>
      </c>
      <c r="H20" s="26">
        <v>0</v>
      </c>
      <c r="I20" s="32">
        <f>IFERROR(+Table131013[[#This Row],[Column G: 
Per Pupil Costs]]/Table131013[[#This Row],[Column E: 
Estimated Number of Test Takers*]],0)</f>
        <v>0</v>
      </c>
      <c r="J20" s="27">
        <f>+Table131013[[#This Row],[Column F: 
Fixed Costs]]+Table131013[[#This Row],[Column G: 
Per Pupil Costs]]</f>
        <v>3788268</v>
      </c>
      <c r="K20" s="32">
        <f t="shared" si="1"/>
        <v>1.1499999999999999</v>
      </c>
    </row>
    <row r="21" spans="1:11" s="29" customFormat="1" ht="15.75" x14ac:dyDescent="0.25">
      <c r="A21" s="63" t="s">
        <v>107</v>
      </c>
      <c r="B21" s="22">
        <v>2</v>
      </c>
      <c r="C21" s="22" t="s">
        <v>55</v>
      </c>
      <c r="D21" s="24" t="s">
        <v>95</v>
      </c>
      <c r="E21" s="24" t="s">
        <v>69</v>
      </c>
      <c r="F21" s="24" t="s">
        <v>48</v>
      </c>
      <c r="G21" s="25">
        <v>1526559</v>
      </c>
      <c r="H21" s="26">
        <v>0</v>
      </c>
      <c r="I21" s="32">
        <f>IFERROR(+Table131013[[#This Row],[Column G: 
Per Pupil Costs]]/Table131013[[#This Row],[Column E: 
Estimated Number of Test Takers*]],0)</f>
        <v>0</v>
      </c>
      <c r="J21" s="27">
        <f>+Table131013[[#This Row],[Column F: 
Fixed Costs]]+Table131013[[#This Row],[Column G: 
Per Pupil Costs]]</f>
        <v>1526559</v>
      </c>
      <c r="K21" s="26" t="s">
        <v>48</v>
      </c>
    </row>
    <row r="22" spans="1:11" s="29" customFormat="1" ht="30" x14ac:dyDescent="0.25">
      <c r="A22" s="63" t="s">
        <v>108</v>
      </c>
      <c r="B22" s="22">
        <v>7</v>
      </c>
      <c r="C22" s="22" t="s">
        <v>55</v>
      </c>
      <c r="D22" s="24" t="s">
        <v>95</v>
      </c>
      <c r="E22" s="24" t="s">
        <v>69</v>
      </c>
      <c r="F22" s="24" t="s">
        <v>48</v>
      </c>
      <c r="G22" s="25">
        <v>0</v>
      </c>
      <c r="H22" s="26">
        <v>0</v>
      </c>
      <c r="I22" s="32">
        <f>IFERROR(+Table131013[[#This Row],[Column G: 
Per Pupil Costs]]/Table131013[[#This Row],[Column E: 
Estimated Number of Test Takers*]],0)</f>
        <v>0</v>
      </c>
      <c r="J22" s="27">
        <f>+Table131013[[#This Row],[Column F: 
Fixed Costs]]+Table131013[[#This Row],[Column G: 
Per Pupil Costs]]</f>
        <v>0</v>
      </c>
      <c r="K22" s="26" t="s">
        <v>48</v>
      </c>
    </row>
    <row r="23" spans="1:11" s="29" customFormat="1" ht="15.75" x14ac:dyDescent="0.25">
      <c r="A23" s="63" t="s">
        <v>109</v>
      </c>
      <c r="B23" s="22">
        <v>8</v>
      </c>
      <c r="C23" s="22" t="s">
        <v>55</v>
      </c>
      <c r="D23" s="24" t="s">
        <v>95</v>
      </c>
      <c r="E23" s="24" t="s">
        <v>69</v>
      </c>
      <c r="F23" s="24" t="s">
        <v>48</v>
      </c>
      <c r="G23" s="25">
        <v>0</v>
      </c>
      <c r="H23" s="26">
        <v>0</v>
      </c>
      <c r="I23" s="32">
        <f>IFERROR(+Table131013[[#This Row],[Column G: 
Per Pupil Costs]]/Table131013[[#This Row],[Column E: 
Estimated Number of Test Takers*]],0)</f>
        <v>0</v>
      </c>
      <c r="J23" s="27">
        <f>+Table131013[[#This Row],[Column F: 
Fixed Costs]]+Table131013[[#This Row],[Column G: 
Per Pupil Costs]]</f>
        <v>0</v>
      </c>
      <c r="K23" s="26" t="s">
        <v>48</v>
      </c>
    </row>
    <row r="24" spans="1:11" s="29" customFormat="1" ht="30" x14ac:dyDescent="0.25">
      <c r="A24" s="63" t="s">
        <v>110</v>
      </c>
      <c r="B24" s="22">
        <v>9</v>
      </c>
      <c r="C24" s="22" t="s">
        <v>55</v>
      </c>
      <c r="D24" s="24" t="s">
        <v>95</v>
      </c>
      <c r="E24" s="24" t="s">
        <v>69</v>
      </c>
      <c r="F24" s="24" t="s">
        <v>48</v>
      </c>
      <c r="G24" s="25">
        <v>0</v>
      </c>
      <c r="H24" s="26">
        <v>0</v>
      </c>
      <c r="I24" s="32">
        <f>IFERROR(+Table131013[[#This Row],[Column G: 
Per Pupil Costs]]/Table131013[[#This Row],[Column E: 
Estimated Number of Test Takers*]],0)</f>
        <v>0</v>
      </c>
      <c r="J24" s="27">
        <f>+Table131013[[#This Row],[Column F: 
Fixed Costs]]+Table131013[[#This Row],[Column G: 
Per Pupil Costs]]</f>
        <v>0</v>
      </c>
      <c r="K24" s="26" t="s">
        <v>48</v>
      </c>
    </row>
    <row r="25" spans="1:11" s="29" customFormat="1" ht="30" x14ac:dyDescent="0.25">
      <c r="A25" s="63" t="s">
        <v>111</v>
      </c>
      <c r="B25" s="22">
        <v>7</v>
      </c>
      <c r="C25" s="22" t="s">
        <v>55</v>
      </c>
      <c r="D25" s="24" t="s">
        <v>95</v>
      </c>
      <c r="E25" s="24" t="s">
        <v>104</v>
      </c>
      <c r="F25" s="31">
        <v>39000</v>
      </c>
      <c r="G25" s="25">
        <v>701828</v>
      </c>
      <c r="H25" s="26">
        <v>0</v>
      </c>
      <c r="I25" s="32">
        <f>IFERROR(+Table131013[[#This Row],[Column G: 
Per Pupil Costs]]/Table131013[[#This Row],[Column E: 
Estimated Number of Test Takers*]],0)</f>
        <v>0</v>
      </c>
      <c r="J25" s="27">
        <f>+Table131013[[#This Row],[Column F: 
Fixed Costs]]+Table131013[[#This Row],[Column G: 
Per Pupil Costs]]</f>
        <v>701828</v>
      </c>
      <c r="K25" s="32">
        <f>ROUND(+J25/F25,2)</f>
        <v>18</v>
      </c>
    </row>
    <row r="26" spans="1:11" s="29" customFormat="1" ht="15.75" x14ac:dyDescent="0.25">
      <c r="A26" s="63" t="s">
        <v>112</v>
      </c>
      <c r="B26" s="22">
        <v>8</v>
      </c>
      <c r="C26" s="22" t="s">
        <v>55</v>
      </c>
      <c r="D26" s="24" t="s">
        <v>95</v>
      </c>
      <c r="E26" s="24" t="s">
        <v>104</v>
      </c>
      <c r="F26" s="31">
        <v>39000</v>
      </c>
      <c r="G26" s="25">
        <v>76010</v>
      </c>
      <c r="H26" s="26">
        <v>0</v>
      </c>
      <c r="I26" s="32">
        <f>IFERROR(+Table131013[[#This Row],[Column G: 
Per Pupil Costs]]/Table131013[[#This Row],[Column E: 
Estimated Number of Test Takers*]],0)</f>
        <v>0</v>
      </c>
      <c r="J26" s="27">
        <f>+Table131013[[#This Row],[Column F: 
Fixed Costs]]+Table131013[[#This Row],[Column G: 
Per Pupil Costs]]</f>
        <v>76010</v>
      </c>
      <c r="K26" s="32">
        <f t="shared" ref="K26:K37" si="2">ROUND(+J26/F26,2)</f>
        <v>1.95</v>
      </c>
    </row>
    <row r="27" spans="1:11" s="29" customFormat="1" ht="15.75" x14ac:dyDescent="0.25">
      <c r="A27" s="63" t="s">
        <v>113</v>
      </c>
      <c r="B27" s="22">
        <v>9</v>
      </c>
      <c r="C27" s="22" t="s">
        <v>55</v>
      </c>
      <c r="D27" s="24" t="s">
        <v>95</v>
      </c>
      <c r="E27" s="24" t="s">
        <v>104</v>
      </c>
      <c r="F27" s="31">
        <v>39000</v>
      </c>
      <c r="G27" s="25">
        <v>140143</v>
      </c>
      <c r="H27" s="26">
        <v>0</v>
      </c>
      <c r="I27" s="32">
        <f>IFERROR(+Table131013[[#This Row],[Column G: 
Per Pupil Costs]]/Table131013[[#This Row],[Column E: 
Estimated Number of Test Takers*]],0)</f>
        <v>0</v>
      </c>
      <c r="J27" s="27">
        <f>+Table131013[[#This Row],[Column F: 
Fixed Costs]]+Table131013[[#This Row],[Column G: 
Per Pupil Costs]]</f>
        <v>140143</v>
      </c>
      <c r="K27" s="32">
        <f t="shared" si="2"/>
        <v>3.59</v>
      </c>
    </row>
    <row r="28" spans="1:11" s="29" customFormat="1" ht="15.75" x14ac:dyDescent="0.25">
      <c r="A28" s="63" t="s">
        <v>158</v>
      </c>
      <c r="B28" s="22">
        <v>7</v>
      </c>
      <c r="C28" s="22" t="s">
        <v>55</v>
      </c>
      <c r="D28" s="24" t="s">
        <v>98</v>
      </c>
      <c r="E28" s="24" t="s">
        <v>99</v>
      </c>
      <c r="F28" s="31">
        <v>1472000</v>
      </c>
      <c r="G28" s="25">
        <v>5347354</v>
      </c>
      <c r="H28" s="26">
        <v>0</v>
      </c>
      <c r="I28" s="32">
        <f>IFERROR(+Table131013[[#This Row],[Column G: 
Per Pupil Costs]]/Table131013[[#This Row],[Column E: 
Estimated Number of Test Takers*]],0)</f>
        <v>0</v>
      </c>
      <c r="J28" s="27">
        <f>+Table131013[[#This Row],[Column F: 
Fixed Costs]]+Table131013[[#This Row],[Column G: 
Per Pupil Costs]]</f>
        <v>5347354</v>
      </c>
      <c r="K28" s="32">
        <f t="shared" si="2"/>
        <v>3.63</v>
      </c>
    </row>
    <row r="29" spans="1:11" s="29" customFormat="1" ht="15.75" x14ac:dyDescent="0.25">
      <c r="A29" s="66" t="s">
        <v>159</v>
      </c>
      <c r="B29" s="22">
        <v>8</v>
      </c>
      <c r="C29" s="22" t="s">
        <v>55</v>
      </c>
      <c r="D29" s="24" t="s">
        <v>98</v>
      </c>
      <c r="E29" s="24" t="s">
        <v>99</v>
      </c>
      <c r="F29" s="31">
        <v>1472000</v>
      </c>
      <c r="G29" s="25">
        <v>1106557</v>
      </c>
      <c r="H29" s="26">
        <v>210773</v>
      </c>
      <c r="I29" s="32">
        <f>ROUND(IFERROR(+Table131013[[#This Row],[Column G: 
Per Pupil Costs]]/Table131013[[#This Row],[Column E: 
Estimated Number of Test Takers*]],0),2)</f>
        <v>0.14000000000000001</v>
      </c>
      <c r="J29" s="27">
        <f>+Table131013[[#This Row],[Column F: 
Fixed Costs]]+Table131013[[#This Row],[Column G: 
Per Pupil Costs]]</f>
        <v>1317330</v>
      </c>
      <c r="K29" s="32">
        <f t="shared" si="2"/>
        <v>0.89</v>
      </c>
    </row>
    <row r="30" spans="1:11" s="29" customFormat="1" ht="15.75" x14ac:dyDescent="0.25">
      <c r="A30" s="66" t="s">
        <v>131</v>
      </c>
      <c r="B30" s="22">
        <v>9</v>
      </c>
      <c r="C30" s="22" t="s">
        <v>55</v>
      </c>
      <c r="D30" s="24" t="s">
        <v>98</v>
      </c>
      <c r="E30" s="24" t="s">
        <v>99</v>
      </c>
      <c r="F30" s="31">
        <v>1472000</v>
      </c>
      <c r="G30" s="25">
        <v>1430718</v>
      </c>
      <c r="H30" s="26">
        <v>0</v>
      </c>
      <c r="I30" s="32">
        <f>IFERROR(+Table131013[[#This Row],[Column G: 
Per Pupil Costs]]/Table131013[[#This Row],[Column E: 
Estimated Number of Test Takers*]],0)</f>
        <v>0</v>
      </c>
      <c r="J30" s="27">
        <f>+Table131013[[#This Row],[Column F: 
Fixed Costs]]+Table131013[[#This Row],[Column G: 
Per Pupil Costs]]</f>
        <v>1430718</v>
      </c>
      <c r="K30" s="32">
        <f t="shared" si="2"/>
        <v>0.97</v>
      </c>
    </row>
    <row r="31" spans="1:11" s="29" customFormat="1" ht="15.75" x14ac:dyDescent="0.25">
      <c r="A31" s="66" t="s">
        <v>160</v>
      </c>
      <c r="B31" s="22">
        <v>7</v>
      </c>
      <c r="C31" s="22" t="s">
        <v>55</v>
      </c>
      <c r="D31" s="24" t="s">
        <v>98</v>
      </c>
      <c r="E31" s="24" t="s">
        <v>99</v>
      </c>
      <c r="F31" s="31">
        <v>16500</v>
      </c>
      <c r="G31" s="25">
        <v>18024</v>
      </c>
      <c r="H31" s="26">
        <v>0</v>
      </c>
      <c r="I31" s="32">
        <f>IFERROR(+Table131013[[#This Row],[Column G: 
Per Pupil Costs]]/Table131013[[#This Row],[Column E: 
Estimated Number of Test Takers*]],0)</f>
        <v>0</v>
      </c>
      <c r="J31" s="27">
        <f>+Table131013[[#This Row],[Column F: 
Fixed Costs]]+Table131013[[#This Row],[Column G: 
Per Pupil Costs]]</f>
        <v>18024</v>
      </c>
      <c r="K31" s="32">
        <f t="shared" si="2"/>
        <v>1.0900000000000001</v>
      </c>
    </row>
    <row r="32" spans="1:11" s="29" customFormat="1" ht="15.75" x14ac:dyDescent="0.25">
      <c r="A32" s="63" t="s">
        <v>161</v>
      </c>
      <c r="B32" s="22">
        <v>8</v>
      </c>
      <c r="C32" s="22" t="s">
        <v>55</v>
      </c>
      <c r="D32" s="24" t="s">
        <v>98</v>
      </c>
      <c r="E32" s="24" t="s">
        <v>99</v>
      </c>
      <c r="F32" s="31">
        <v>16500</v>
      </c>
      <c r="G32" s="25">
        <v>144405</v>
      </c>
      <c r="H32" s="26">
        <v>0</v>
      </c>
      <c r="I32" s="32">
        <f>IFERROR(+Table131013[[#This Row],[Column G: 
Per Pupil Costs]]/Table131013[[#This Row],[Column E: 
Estimated Number of Test Takers*]],0)</f>
        <v>0</v>
      </c>
      <c r="J32" s="27">
        <f>+Table131013[[#This Row],[Column F: 
Fixed Costs]]+Table131013[[#This Row],[Column G: 
Per Pupil Costs]]</f>
        <v>144405</v>
      </c>
      <c r="K32" s="32">
        <f t="shared" si="2"/>
        <v>8.75</v>
      </c>
    </row>
    <row r="33" spans="1:11" s="29" customFormat="1" ht="15.75" x14ac:dyDescent="0.25">
      <c r="A33" s="63" t="s">
        <v>162</v>
      </c>
      <c r="B33" s="22">
        <v>9</v>
      </c>
      <c r="C33" s="22" t="s">
        <v>55</v>
      </c>
      <c r="D33" s="24" t="s">
        <v>98</v>
      </c>
      <c r="E33" s="24" t="s">
        <v>99</v>
      </c>
      <c r="F33" s="31">
        <v>16500</v>
      </c>
      <c r="G33" s="25">
        <v>110035</v>
      </c>
      <c r="H33" s="26">
        <v>0</v>
      </c>
      <c r="I33" s="32">
        <f>IFERROR(+Table131013[[#This Row],[Column G: 
Per Pupil Costs]]/Table131013[[#This Row],[Column E: 
Estimated Number of Test Takers*]],0)</f>
        <v>0</v>
      </c>
      <c r="J33" s="27">
        <f>+Table131013[[#This Row],[Column F: 
Fixed Costs]]+Table131013[[#This Row],[Column G: 
Per Pupil Costs]]</f>
        <v>110035</v>
      </c>
      <c r="K33" s="32">
        <f t="shared" si="2"/>
        <v>6.67</v>
      </c>
    </row>
    <row r="34" spans="1:11" s="29" customFormat="1" ht="15.75" x14ac:dyDescent="0.25">
      <c r="A34" s="63" t="s">
        <v>163</v>
      </c>
      <c r="B34" s="22">
        <v>7</v>
      </c>
      <c r="C34" s="22" t="s">
        <v>55</v>
      </c>
      <c r="D34" s="24" t="s">
        <v>102</v>
      </c>
      <c r="E34" s="24" t="s">
        <v>62</v>
      </c>
      <c r="F34" s="31">
        <v>22500</v>
      </c>
      <c r="G34" s="25">
        <v>509675</v>
      </c>
      <c r="H34" s="26">
        <v>0</v>
      </c>
      <c r="I34" s="32">
        <f>IFERROR(+Table131013[[#This Row],[Column G: 
Per Pupil Costs]]/Table131013[[#This Row],[Column E: 
Estimated Number of Test Takers*]],0)</f>
        <v>0</v>
      </c>
      <c r="J34" s="27">
        <f>+Table131013[[#This Row],[Column F: 
Fixed Costs]]+Table131013[[#This Row],[Column G: 
Per Pupil Costs]]</f>
        <v>509675</v>
      </c>
      <c r="K34" s="32">
        <f t="shared" si="2"/>
        <v>22.65</v>
      </c>
    </row>
    <row r="35" spans="1:11" s="29" customFormat="1" ht="15.75" x14ac:dyDescent="0.25">
      <c r="A35" s="63" t="s">
        <v>164</v>
      </c>
      <c r="B35" s="22">
        <v>8</v>
      </c>
      <c r="C35" s="22" t="s">
        <v>55</v>
      </c>
      <c r="D35" s="24" t="s">
        <v>102</v>
      </c>
      <c r="E35" s="24" t="s">
        <v>62</v>
      </c>
      <c r="F35" s="31">
        <v>22500</v>
      </c>
      <c r="G35" s="25">
        <v>168269</v>
      </c>
      <c r="H35" s="26">
        <v>14632</v>
      </c>
      <c r="I35" s="32">
        <f>ROUND(IFERROR(+Table131013[[#This Row],[Column G: 
Per Pupil Costs]]/Table131013[[#This Row],[Column E: 
Estimated Number of Test Takers*]],0),2)</f>
        <v>0.65</v>
      </c>
      <c r="J35" s="27">
        <f>+Table131013[[#This Row],[Column F: 
Fixed Costs]]+Table131013[[#This Row],[Column G: 
Per Pupil Costs]]</f>
        <v>182901</v>
      </c>
      <c r="K35" s="32">
        <f t="shared" si="2"/>
        <v>8.1300000000000008</v>
      </c>
    </row>
    <row r="36" spans="1:11" s="29" customFormat="1" ht="15.75" x14ac:dyDescent="0.25">
      <c r="A36" s="63" t="s">
        <v>133</v>
      </c>
      <c r="B36" s="22">
        <v>9</v>
      </c>
      <c r="C36" s="22" t="s">
        <v>55</v>
      </c>
      <c r="D36" s="24" t="s">
        <v>102</v>
      </c>
      <c r="E36" s="34" t="s">
        <v>62</v>
      </c>
      <c r="F36" s="31">
        <v>22500</v>
      </c>
      <c r="G36" s="25">
        <v>416842</v>
      </c>
      <c r="H36" s="26">
        <v>0</v>
      </c>
      <c r="I36" s="32">
        <f>IFERROR(+Table131013[[#This Row],[Column G: 
Per Pupil Costs]]/Table131013[[#This Row],[Column E: 
Estimated Number of Test Takers*]],0)</f>
        <v>0</v>
      </c>
      <c r="J36" s="27">
        <f>+Table131013[[#This Row],[Column F: 
Fixed Costs]]+Table131013[[#This Row],[Column G: 
Per Pupil Costs]]</f>
        <v>416842</v>
      </c>
      <c r="K36" s="32">
        <f t="shared" si="2"/>
        <v>18.53</v>
      </c>
    </row>
    <row r="37" spans="1:11" s="29" customFormat="1" ht="15.75" x14ac:dyDescent="0.25">
      <c r="A37" s="71" t="s">
        <v>29</v>
      </c>
      <c r="B37" s="40" t="s">
        <v>48</v>
      </c>
      <c r="C37" s="40" t="s">
        <v>48</v>
      </c>
      <c r="D37" s="40" t="s">
        <v>48</v>
      </c>
      <c r="E37" s="41" t="s">
        <v>48</v>
      </c>
      <c r="F37" s="42">
        <f>F18+F25+F28+F31+F34</f>
        <v>4850000</v>
      </c>
      <c r="G37" s="43">
        <f>SUBTOTAL(109,G9:G36)</f>
        <v>75845760</v>
      </c>
      <c r="H37" s="43">
        <f>SUBTOTAL(109,H9:H36)</f>
        <v>1123109</v>
      </c>
      <c r="I37" s="47">
        <f>ROUND(Table131013[[#This Row],[Column G: 
Per Pupil Costs]]/Table131013[[#This Row],[Column E: 
Estimated Number of Test Takers*]],2)</f>
        <v>0.23</v>
      </c>
      <c r="J37" s="43">
        <f>SUBTOTAL(109,J9:J36)</f>
        <v>76968869</v>
      </c>
      <c r="K37" s="44">
        <f t="shared" si="2"/>
        <v>15.87</v>
      </c>
    </row>
    <row r="38" spans="1:11" s="29" customFormat="1" ht="30" x14ac:dyDescent="0.25">
      <c r="A38" s="63" t="s">
        <v>165</v>
      </c>
      <c r="B38" s="22">
        <v>1</v>
      </c>
      <c r="C38" s="24" t="s">
        <v>48</v>
      </c>
      <c r="D38" s="24" t="s">
        <v>48</v>
      </c>
      <c r="E38" s="24" t="s">
        <v>48</v>
      </c>
      <c r="F38" s="24" t="s">
        <v>48</v>
      </c>
      <c r="G38" s="26">
        <v>3067618</v>
      </c>
      <c r="H38" s="26">
        <v>0</v>
      </c>
      <c r="I38" s="28">
        <f>ROUND(+H38/$F$51,2)</f>
        <v>0</v>
      </c>
      <c r="J38" s="27">
        <f>+Table131013[[#This Row],[Column F: 
Fixed Costs]]+Table131013[[#This Row],[Column G: 
Per Pupil Costs]]</f>
        <v>3067618</v>
      </c>
      <c r="K38" s="28">
        <f>ROUND(+J38/$F$51,2)</f>
        <v>1.96</v>
      </c>
    </row>
    <row r="39" spans="1:11" s="29" customFormat="1" ht="30" x14ac:dyDescent="0.25">
      <c r="A39" s="63" t="s">
        <v>166</v>
      </c>
      <c r="B39" s="22">
        <v>2</v>
      </c>
      <c r="C39" s="24" t="s">
        <v>48</v>
      </c>
      <c r="D39" s="24" t="s">
        <v>48</v>
      </c>
      <c r="E39" s="24" t="s">
        <v>48</v>
      </c>
      <c r="F39" s="24" t="s">
        <v>48</v>
      </c>
      <c r="G39" s="26">
        <v>3512374</v>
      </c>
      <c r="H39" s="26">
        <v>0</v>
      </c>
      <c r="I39" s="28">
        <f>ROUND(+H39/$F$51,2)</f>
        <v>0</v>
      </c>
      <c r="J39" s="27">
        <f>+Table131013[[#This Row],[Column F: 
Fixed Costs]]+Table131013[[#This Row],[Column G: 
Per Pupil Costs]]</f>
        <v>3512374</v>
      </c>
      <c r="K39" s="28">
        <f>ROUND(+J39/$F$51,2)</f>
        <v>2.2400000000000002</v>
      </c>
    </row>
    <row r="40" spans="1:11" s="29" customFormat="1" ht="30" x14ac:dyDescent="0.25">
      <c r="A40" s="63" t="s">
        <v>167</v>
      </c>
      <c r="B40" s="22">
        <v>3</v>
      </c>
      <c r="C40" s="24" t="s">
        <v>48</v>
      </c>
      <c r="D40" s="24" t="s">
        <v>48</v>
      </c>
      <c r="E40" s="24" t="s">
        <v>48</v>
      </c>
      <c r="F40" s="24" t="s">
        <v>48</v>
      </c>
      <c r="G40" s="26">
        <v>2409959</v>
      </c>
      <c r="H40" s="26">
        <v>0</v>
      </c>
      <c r="I40" s="28">
        <f>ROUND(+H40/$F$51,2)</f>
        <v>0</v>
      </c>
      <c r="J40" s="27">
        <f>+Table131013[[#This Row],[Column F: 
Fixed Costs]]+Table131013[[#This Row],[Column G: 
Per Pupil Costs]]</f>
        <v>2409959</v>
      </c>
      <c r="K40" s="28">
        <f>ROUND(+J40/$F$51,2)</f>
        <v>1.54</v>
      </c>
    </row>
    <row r="41" spans="1:11" s="29" customFormat="1" ht="30" x14ac:dyDescent="0.25">
      <c r="A41" s="63" t="s">
        <v>168</v>
      </c>
      <c r="B41" s="22">
        <v>4</v>
      </c>
      <c r="C41" s="24" t="s">
        <v>48</v>
      </c>
      <c r="D41" s="24" t="s">
        <v>48</v>
      </c>
      <c r="E41" s="24" t="s">
        <v>48</v>
      </c>
      <c r="F41" s="24" t="s">
        <v>48</v>
      </c>
      <c r="G41" s="26">
        <v>167425</v>
      </c>
      <c r="H41" s="26">
        <v>0</v>
      </c>
      <c r="I41" s="28">
        <f>ROUND(+H41/$F$51,2)</f>
        <v>0</v>
      </c>
      <c r="J41" s="27">
        <f>+Table131013[[#This Row],[Column F: 
Fixed Costs]]+Table131013[[#This Row],[Column G: 
Per Pupil Costs]]</f>
        <v>167425</v>
      </c>
      <c r="K41" s="28">
        <f>ROUND(+J41/$F$51,2)</f>
        <v>0.11</v>
      </c>
    </row>
    <row r="42" spans="1:11" s="29" customFormat="1" ht="30" x14ac:dyDescent="0.25">
      <c r="A42" s="63" t="s">
        <v>169</v>
      </c>
      <c r="B42" s="22">
        <v>5</v>
      </c>
      <c r="C42" s="24" t="s">
        <v>48</v>
      </c>
      <c r="D42" s="24" t="s">
        <v>48</v>
      </c>
      <c r="E42" s="24" t="s">
        <v>48</v>
      </c>
      <c r="F42" s="24" t="s">
        <v>48</v>
      </c>
      <c r="G42" s="26">
        <v>330091</v>
      </c>
      <c r="H42" s="26">
        <v>0</v>
      </c>
      <c r="I42" s="28">
        <f>ROUND(+H42/$F$51,2)</f>
        <v>0</v>
      </c>
      <c r="J42" s="27">
        <f>+Table131013[[#This Row],[Column F: 
Fixed Costs]]+Table131013[[#This Row],[Column G: 
Per Pupil Costs]]</f>
        <v>330091</v>
      </c>
      <c r="K42" s="28">
        <f>ROUND(+J42/$F$51,2)</f>
        <v>0.21</v>
      </c>
    </row>
    <row r="43" spans="1:11" s="29" customFormat="1" ht="19.899999999999999" customHeight="1" x14ac:dyDescent="0.25">
      <c r="A43" s="63" t="s">
        <v>170</v>
      </c>
      <c r="B43" s="22">
        <v>6</v>
      </c>
      <c r="C43" s="24" t="s">
        <v>48</v>
      </c>
      <c r="D43" s="24" t="s">
        <v>171</v>
      </c>
      <c r="E43" s="34" t="s">
        <v>152</v>
      </c>
      <c r="F43" s="24" t="s">
        <v>48</v>
      </c>
      <c r="G43" s="26">
        <v>2134032</v>
      </c>
      <c r="H43" s="26">
        <v>0</v>
      </c>
      <c r="I43" s="32">
        <f>IFERROR(+Table131013[[#This Row],[Column G: 
Per Pupil Costs]]/Table131013[[#This Row],[Column E: 
Estimated Number of Test Takers*]],0)</f>
        <v>0</v>
      </c>
      <c r="J43" s="27">
        <f>+Table131013[[#This Row],[Column F: 
Fixed Costs]]+Table131013[[#This Row],[Column G: 
Per Pupil Costs]]</f>
        <v>2134032</v>
      </c>
      <c r="K43" s="30" t="s">
        <v>48</v>
      </c>
    </row>
    <row r="44" spans="1:11" s="29" customFormat="1" ht="19.899999999999999" customHeight="1" x14ac:dyDescent="0.25">
      <c r="A44" s="69" t="s">
        <v>173</v>
      </c>
      <c r="B44" s="22">
        <v>6</v>
      </c>
      <c r="C44" s="24" t="s">
        <v>48</v>
      </c>
      <c r="D44" s="24" t="s">
        <v>171</v>
      </c>
      <c r="E44" s="34" t="s">
        <v>152</v>
      </c>
      <c r="F44" s="24" t="s">
        <v>48</v>
      </c>
      <c r="G44" s="26">
        <v>1385239</v>
      </c>
      <c r="H44" s="26">
        <v>0</v>
      </c>
      <c r="I44" s="32">
        <f>IFERROR(+Table131013[[#This Row],[Column G: 
Per Pupil Costs]]/Table131013[[#This Row],[Column E: 
Estimated Number of Test Takers*]],0)</f>
        <v>0</v>
      </c>
      <c r="J44" s="27">
        <f>+Table131013[[#This Row],[Column F: 
Fixed Costs]]+Table131013[[#This Row],[Column G: 
Per Pupil Costs]]</f>
        <v>1385239</v>
      </c>
      <c r="K44" s="30" t="s">
        <v>48</v>
      </c>
    </row>
    <row r="45" spans="1:11" s="29" customFormat="1" ht="19.899999999999999" customHeight="1" x14ac:dyDescent="0.25">
      <c r="A45" s="29" t="s">
        <v>174</v>
      </c>
      <c r="B45" s="22">
        <v>7</v>
      </c>
      <c r="C45" s="22" t="s">
        <v>55</v>
      </c>
      <c r="D45" s="24" t="s">
        <v>171</v>
      </c>
      <c r="E45" s="34" t="s">
        <v>152</v>
      </c>
      <c r="F45" s="31">
        <v>1552000</v>
      </c>
      <c r="G45" s="26">
        <v>5065105</v>
      </c>
      <c r="H45" s="26">
        <v>0</v>
      </c>
      <c r="I45" s="32">
        <f>IFERROR(+Table131013[[#This Row],[Column G: 
Per Pupil Costs]]/Table131013[[#This Row],[Column E: 
Estimated Number of Test Takers*]],0)</f>
        <v>0</v>
      </c>
      <c r="J45" s="27">
        <f>+Table131013[[#This Row],[Column F: 
Fixed Costs]]+Table131013[[#This Row],[Column G: 
Per Pupil Costs]]</f>
        <v>5065105</v>
      </c>
      <c r="K45" s="32">
        <f t="shared" ref="K45:K52" si="3">ROUND(+J45/F45,2)</f>
        <v>3.26</v>
      </c>
    </row>
    <row r="46" spans="1:11" s="29" customFormat="1" ht="19.899999999999999" customHeight="1" x14ac:dyDescent="0.2">
      <c r="A46" s="8" t="s">
        <v>175</v>
      </c>
      <c r="B46" s="22">
        <v>8</v>
      </c>
      <c r="C46" s="22" t="s">
        <v>55</v>
      </c>
      <c r="D46" s="24" t="s">
        <v>171</v>
      </c>
      <c r="E46" s="34" t="s">
        <v>152</v>
      </c>
      <c r="F46" s="31">
        <v>1552000</v>
      </c>
      <c r="G46" s="26">
        <v>5101788</v>
      </c>
      <c r="H46" s="26">
        <v>268515</v>
      </c>
      <c r="I46" s="32">
        <f>ROUND(IFERROR(+Table131013[[#This Row],[Column G: 
Per Pupil Costs]]/Table131013[[#This Row],[Column E: 
Estimated Number of Test Takers*]],0),2)</f>
        <v>0.17</v>
      </c>
      <c r="J46" s="27">
        <f>+Table131013[[#This Row],[Column F: 
Fixed Costs]]+Table131013[[#This Row],[Column G: 
Per Pupil Costs]]</f>
        <v>5370303</v>
      </c>
      <c r="K46" s="32">
        <f t="shared" si="3"/>
        <v>3.46</v>
      </c>
    </row>
    <row r="47" spans="1:11" s="29" customFormat="1" ht="19.899999999999999" customHeight="1" x14ac:dyDescent="0.2">
      <c r="A47" s="8" t="s">
        <v>176</v>
      </c>
      <c r="B47" s="22">
        <v>9</v>
      </c>
      <c r="C47" s="22" t="s">
        <v>55</v>
      </c>
      <c r="D47" s="24" t="s">
        <v>171</v>
      </c>
      <c r="E47" s="34" t="s">
        <v>152</v>
      </c>
      <c r="F47" s="31">
        <v>1552000</v>
      </c>
      <c r="G47" s="26">
        <v>418320</v>
      </c>
      <c r="H47" s="26">
        <v>0</v>
      </c>
      <c r="I47" s="32">
        <f>IFERROR(+Table131013[[#This Row],[Column G: 
Per Pupil Costs]]/Table131013[[#This Row],[Column E: 
Estimated Number of Test Takers*]],0)</f>
        <v>0</v>
      </c>
      <c r="J47" s="27">
        <f>+Table131013[[#This Row],[Column F: 
Fixed Costs]]+Table131013[[#This Row],[Column G: 
Per Pupil Costs]]</f>
        <v>418320</v>
      </c>
      <c r="K47" s="32">
        <f t="shared" si="3"/>
        <v>0.27</v>
      </c>
    </row>
    <row r="48" spans="1:11" s="29" customFormat="1" ht="19.899999999999999" customHeight="1" x14ac:dyDescent="0.2">
      <c r="A48" s="8" t="s">
        <v>188</v>
      </c>
      <c r="B48" s="22">
        <v>7</v>
      </c>
      <c r="C48" s="22" t="s">
        <v>55</v>
      </c>
      <c r="D48" s="24" t="s">
        <v>171</v>
      </c>
      <c r="E48" s="34" t="s">
        <v>152</v>
      </c>
      <c r="F48" s="31">
        <v>16750</v>
      </c>
      <c r="G48" s="26">
        <v>84187</v>
      </c>
      <c r="H48" s="26">
        <v>0</v>
      </c>
      <c r="I48" s="32">
        <f>IFERROR(+Table131013[[#This Row],[Column G: 
Per Pupil Costs]]/Table131013[[#This Row],[Column E: 
Estimated Number of Test Takers*]],0)</f>
        <v>0</v>
      </c>
      <c r="J48" s="27">
        <f>+Table131013[[#This Row],[Column F: 
Fixed Costs]]+Table131013[[#This Row],[Column G: 
Per Pupil Costs]]</f>
        <v>84187</v>
      </c>
      <c r="K48" s="32">
        <f t="shared" si="3"/>
        <v>5.03</v>
      </c>
    </row>
    <row r="49" spans="1:14" s="29" customFormat="1" ht="19.899999999999999" customHeight="1" x14ac:dyDescent="0.2">
      <c r="A49" s="8" t="s">
        <v>189</v>
      </c>
      <c r="B49" s="22">
        <v>8</v>
      </c>
      <c r="C49" s="22" t="s">
        <v>55</v>
      </c>
      <c r="D49" s="24" t="s">
        <v>171</v>
      </c>
      <c r="E49" s="34" t="s">
        <v>152</v>
      </c>
      <c r="F49" s="31">
        <v>16750</v>
      </c>
      <c r="G49" s="26">
        <v>140632</v>
      </c>
      <c r="H49" s="26">
        <v>7402</v>
      </c>
      <c r="I49" s="32">
        <f>IFERROR(+Table131013[[#This Row],[Column G: 
Per Pupil Costs]]/Table131013[[#This Row],[Column E: 
Estimated Number of Test Takers*]],0)</f>
        <v>0.44191044776119404</v>
      </c>
      <c r="J49" s="27">
        <f>+Table131013[[#This Row],[Column F: 
Fixed Costs]]+Table131013[[#This Row],[Column G: 
Per Pupil Costs]]</f>
        <v>148034</v>
      </c>
      <c r="K49" s="32">
        <f t="shared" si="3"/>
        <v>8.84</v>
      </c>
    </row>
    <row r="50" spans="1:14" s="29" customFormat="1" ht="19.899999999999999" customHeight="1" x14ac:dyDescent="0.2">
      <c r="A50" s="8" t="s">
        <v>190</v>
      </c>
      <c r="B50" s="22">
        <v>9</v>
      </c>
      <c r="C50" s="22" t="s">
        <v>55</v>
      </c>
      <c r="D50" s="24" t="s">
        <v>171</v>
      </c>
      <c r="E50" s="34" t="s">
        <v>152</v>
      </c>
      <c r="F50" s="31">
        <v>16750</v>
      </c>
      <c r="G50" s="26">
        <v>22089</v>
      </c>
      <c r="H50" s="26">
        <v>0</v>
      </c>
      <c r="I50" s="32">
        <f>IFERROR(+Table131013[[#This Row],[Column G: 
Per Pupil Costs]]/Table131013[[#This Row],[Column E: 
Estimated Number of Test Takers*]],0)</f>
        <v>0</v>
      </c>
      <c r="J50" s="27">
        <f>+Table131013[[#This Row],[Column F: 
Fixed Costs]]+Table131013[[#This Row],[Column G: 
Per Pupil Costs]]</f>
        <v>22089</v>
      </c>
      <c r="K50" s="32">
        <f t="shared" si="3"/>
        <v>1.32</v>
      </c>
    </row>
    <row r="51" spans="1:14" ht="18.600000000000001" customHeight="1" x14ac:dyDescent="0.2">
      <c r="A51" s="8" t="s">
        <v>34</v>
      </c>
      <c r="B51" s="40" t="s">
        <v>48</v>
      </c>
      <c r="C51" s="40" t="s">
        <v>48</v>
      </c>
      <c r="D51" s="45" t="s">
        <v>48</v>
      </c>
      <c r="E51" s="46" t="s">
        <v>48</v>
      </c>
      <c r="F51" s="42">
        <f>F45+F48</f>
        <v>1568750</v>
      </c>
      <c r="G51" s="33">
        <f>SUBTOTAL(109,G38:G50)</f>
        <v>23838859</v>
      </c>
      <c r="H51" s="33">
        <f>SUBTOTAL(109,H38:H50)</f>
        <v>275917</v>
      </c>
      <c r="I51" s="44">
        <f>ROUND(Table131013[[#This Row],[Column G: 
Per Pupil Costs]]/Table131013[[#This Row],[Column E: 
Estimated Number of Test Takers*]],2)</f>
        <v>0.18</v>
      </c>
      <c r="J51" s="33">
        <f>SUBTOTAL(109,J38:J50)</f>
        <v>24114776</v>
      </c>
      <c r="K51" s="44">
        <f t="shared" si="3"/>
        <v>15.37</v>
      </c>
    </row>
    <row r="52" spans="1:14" s="29" customFormat="1" ht="24.6" customHeight="1" x14ac:dyDescent="0.2">
      <c r="A52" s="8" t="s">
        <v>194</v>
      </c>
      <c r="B52" s="22" t="s">
        <v>48</v>
      </c>
      <c r="C52" s="22" t="s">
        <v>48</v>
      </c>
      <c r="D52" s="22" t="s">
        <v>48</v>
      </c>
      <c r="E52" s="22" t="s">
        <v>48</v>
      </c>
      <c r="F52" s="42">
        <f>F37+F51</f>
        <v>6418750</v>
      </c>
      <c r="G52" s="26">
        <f>G37+G51</f>
        <v>99684619</v>
      </c>
      <c r="H52" s="26">
        <f>H37+H51</f>
        <v>1399026</v>
      </c>
      <c r="I52" s="32">
        <f>ROUND(Table131013[[#Totals],[Column G: 
Per Pupil Costs]]/Table131013[[#Totals],[Column E: 
Estimated Number of Test Takers*]],2)</f>
        <v>0.22</v>
      </c>
      <c r="J52" s="26">
        <f>J37+J51</f>
        <v>101083645</v>
      </c>
      <c r="K52" s="44">
        <f t="shared" si="3"/>
        <v>15.75</v>
      </c>
    </row>
    <row r="53" spans="1:14" s="6" customFormat="1" ht="15.75" x14ac:dyDescent="0.2">
      <c r="A53" s="29" t="s">
        <v>206</v>
      </c>
      <c r="B53" s="23"/>
      <c r="C53" s="23"/>
      <c r="D53" s="23"/>
      <c r="E53" s="23"/>
      <c r="F53" s="35"/>
      <c r="G53" s="25"/>
      <c r="H53" s="26"/>
      <c r="I53" s="32"/>
      <c r="J53" s="33"/>
      <c r="K53" s="32"/>
      <c r="M53" s="8"/>
      <c r="N53" s="8"/>
    </row>
    <row r="54" spans="1:14" s="6" customFormat="1" ht="15.75" x14ac:dyDescent="0.25">
      <c r="A54" s="8" t="s">
        <v>207</v>
      </c>
      <c r="B54" s="8"/>
      <c r="C54" s="20"/>
      <c r="D54" s="20"/>
      <c r="E54" s="20"/>
      <c r="F54" s="20"/>
      <c r="G54" s="20"/>
      <c r="H54" s="19"/>
      <c r="K54" s="7"/>
      <c r="M54" s="8"/>
      <c r="N54" s="8"/>
    </row>
    <row r="55" spans="1:14" s="6" customFormat="1" ht="15.75" hidden="1" x14ac:dyDescent="0.25">
      <c r="A55" s="5"/>
      <c r="B55" s="8"/>
      <c r="C55" s="20"/>
      <c r="D55" s="20"/>
      <c r="E55" s="20"/>
      <c r="F55" s="20"/>
      <c r="G55" s="20"/>
      <c r="H55" s="19"/>
      <c r="K55" s="7"/>
      <c r="M55" s="8"/>
      <c r="N55" s="8"/>
    </row>
    <row r="56" spans="1:14" s="3" customFormat="1" ht="15.75" hidden="1" x14ac:dyDescent="0.25">
      <c r="A56" s="5"/>
      <c r="B56" s="8"/>
      <c r="C56" s="20"/>
      <c r="D56" s="20"/>
      <c r="E56" s="20"/>
      <c r="F56" s="20"/>
      <c r="G56" s="20"/>
      <c r="H56" s="19"/>
      <c r="I56" s="6"/>
      <c r="J56" s="6"/>
      <c r="K56" s="7"/>
      <c r="M56" s="5"/>
      <c r="N56" s="5"/>
    </row>
    <row r="57" spans="1:14" ht="13.15" hidden="1" customHeight="1" x14ac:dyDescent="0.2"/>
    <row r="58" spans="1:14" ht="13.15" hidden="1" customHeight="1" x14ac:dyDescent="0.2"/>
    <row r="59" spans="1:14" ht="13.15" hidden="1" customHeight="1" x14ac:dyDescent="0.2"/>
    <row r="60" spans="1:14" ht="13.15" hidden="1" customHeight="1" x14ac:dyDescent="0.2"/>
    <row r="61" spans="1:14" ht="13.15" hidden="1" customHeight="1" x14ac:dyDescent="0.2"/>
    <row r="62" spans="1:14" ht="13.15" hidden="1" customHeight="1" x14ac:dyDescent="0.2"/>
    <row r="63" spans="1:14" ht="13.15" hidden="1" customHeight="1" x14ac:dyDescent="0.2"/>
  </sheetData>
  <pageMargins left="0.5" right="0.25" top="0.75" bottom="0.75" header="0.3" footer="0.3"/>
  <pageSetup scale="68" fitToHeight="0" orientation="landscape" r:id="rId1"/>
  <headerFooter>
    <oddHeader xml:space="preserve">&amp;R&amp;"Arial,Regular"&amp;12pptb-adad-nov18item03
Attachment 4
Page &amp;P of &amp;N
</oddHeader>
  </headerFooter>
  <ignoredErrors>
    <ignoredError sqref="E9:F17 E28:F28 F18:F25 F27 F26 J26 E30:F31 E29:F29 J29 E33:F34 E32:F32 J32 E37:H37 E35:F35 J35 I9:J17 J28 I18:J18 J27 J30:J31 J33:J34 E36:F36 J36 E51:H51 E38:F50 J38:J45 J51 J47:J50 J46 J37 J20:J25 J19 I20:I25 I47:I50 I38:I45 I36 I33:I34 I30:I31 I27 I28 I32 I26 I19 I35 I29 I37 I46 I51" formula="1"/>
    <ignoredError sqref="E18:E27" twoDigitTextYear="1" formula="1"/>
  </ignoredErrors>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Q57"/>
  <sheetViews>
    <sheetView showGridLines="0" zoomScaleNormal="100" workbookViewId="0"/>
  </sheetViews>
  <sheetFormatPr defaultColWidth="0" defaultRowHeight="13.9" customHeight="1" zeroHeight="1" x14ac:dyDescent="0.2"/>
  <cols>
    <col min="1" max="1" width="38.85546875" style="9" customWidth="1"/>
    <col min="2" max="2" width="45" style="9" customWidth="1"/>
    <col min="3" max="3" width="9.85546875" style="9" bestFit="1" customWidth="1"/>
    <col min="4" max="4" width="11.7109375" style="9" customWidth="1"/>
    <col min="5" max="5" width="9" style="9" bestFit="1" customWidth="1"/>
    <col min="6" max="6" width="13.7109375" style="10" bestFit="1" customWidth="1"/>
    <col min="7" max="7" width="13.85546875" style="9" customWidth="1"/>
    <col min="8" max="9" width="15" style="9" customWidth="1"/>
    <col min="10" max="10" width="15.140625" style="9" customWidth="1"/>
    <col min="11" max="11" width="14.7109375" style="9" hidden="1" customWidth="1"/>
    <col min="12" max="12" width="0" style="9" hidden="1" customWidth="1"/>
    <col min="13" max="13" width="14.7109375" style="9" hidden="1" customWidth="1"/>
    <col min="14" max="14" width="0" style="9" hidden="1" customWidth="1"/>
    <col min="15" max="15" width="14.7109375" style="9" hidden="1" customWidth="1"/>
    <col min="16" max="16" width="0" style="9" hidden="1" customWidth="1"/>
    <col min="17" max="17" width="14.7109375" style="9" hidden="1" customWidth="1"/>
    <col min="18" max="16384" width="8.85546875" style="9" hidden="1"/>
  </cols>
  <sheetData>
    <row r="1" spans="1:15" ht="23.25" x14ac:dyDescent="0.35">
      <c r="A1" s="91" t="s">
        <v>197</v>
      </c>
      <c r="B1"/>
      <c r="C1" s="5"/>
      <c r="D1" s="5"/>
      <c r="E1" s="5"/>
      <c r="F1" s="1"/>
      <c r="G1" s="5"/>
      <c r="H1" s="5"/>
      <c r="I1" s="5"/>
      <c r="O1" s="86"/>
    </row>
    <row r="2" spans="1:15" s="101" customFormat="1" ht="15.75" x14ac:dyDescent="0.25">
      <c r="A2" s="92" t="s">
        <v>213</v>
      </c>
      <c r="C2" s="99"/>
      <c r="D2" s="99"/>
      <c r="E2" s="99"/>
      <c r="F2" s="95"/>
      <c r="G2" s="99"/>
      <c r="H2" s="99"/>
      <c r="I2" s="99"/>
      <c r="O2" s="100"/>
    </row>
    <row r="3" spans="1:15" ht="15.75" x14ac:dyDescent="0.25">
      <c r="A3" s="8" t="s">
        <v>1</v>
      </c>
      <c r="B3"/>
      <c r="C3" s="5"/>
      <c r="D3" s="5"/>
      <c r="E3" s="5"/>
      <c r="F3" s="1"/>
      <c r="G3" s="5"/>
      <c r="H3" s="5"/>
      <c r="I3" s="5"/>
    </row>
    <row r="4" spans="1:15" ht="15.75" x14ac:dyDescent="0.25">
      <c r="A4" s="59" t="s">
        <v>2</v>
      </c>
      <c r="B4"/>
      <c r="C4" s="5"/>
      <c r="D4" s="5"/>
      <c r="E4" s="5"/>
      <c r="F4" s="1"/>
      <c r="G4" s="5"/>
      <c r="H4" s="5"/>
      <c r="I4" s="5"/>
    </row>
    <row r="5" spans="1:15" ht="15.75" x14ac:dyDescent="0.25">
      <c r="A5" s="8" t="s">
        <v>3</v>
      </c>
      <c r="B5"/>
      <c r="C5" s="5"/>
      <c r="D5" s="5"/>
      <c r="E5" s="5"/>
      <c r="F5" s="1"/>
      <c r="G5" s="5"/>
      <c r="H5" s="5"/>
      <c r="I5" s="5"/>
    </row>
    <row r="6" spans="1:15" ht="15.75" x14ac:dyDescent="0.25">
      <c r="A6" s="12" t="s">
        <v>4</v>
      </c>
      <c r="B6"/>
      <c r="C6" s="5"/>
      <c r="D6" s="5"/>
      <c r="E6" s="5"/>
      <c r="F6" s="1"/>
      <c r="G6" s="5"/>
      <c r="H6" s="5"/>
      <c r="I6" s="5"/>
    </row>
    <row r="7" spans="1:15" ht="21" customHeight="1" x14ac:dyDescent="0.25">
      <c r="A7" s="8" t="s">
        <v>37</v>
      </c>
      <c r="B7"/>
      <c r="C7" s="5"/>
      <c r="D7" s="5"/>
      <c r="E7" s="5"/>
      <c r="F7" s="1"/>
      <c r="G7" s="5"/>
      <c r="H7" s="5"/>
      <c r="I7" s="5"/>
    </row>
    <row r="8" spans="1:15" s="16" customFormat="1" ht="61.9" customHeight="1" x14ac:dyDescent="0.25">
      <c r="A8" s="15" t="s">
        <v>38</v>
      </c>
      <c r="B8" s="48" t="s">
        <v>39</v>
      </c>
      <c r="C8" s="48" t="s">
        <v>40</v>
      </c>
      <c r="D8" s="48" t="s">
        <v>41</v>
      </c>
      <c r="E8" s="48" t="s">
        <v>42</v>
      </c>
      <c r="F8" s="48" t="s">
        <v>43</v>
      </c>
      <c r="G8" s="48" t="s">
        <v>192</v>
      </c>
      <c r="H8" s="48" t="s">
        <v>198</v>
      </c>
      <c r="I8" s="48" t="s">
        <v>199</v>
      </c>
      <c r="J8" s="48" t="s">
        <v>21</v>
      </c>
    </row>
    <row r="9" spans="1:15" s="8" customFormat="1" ht="16.899999999999999" customHeight="1" x14ac:dyDescent="0.2">
      <c r="A9" s="13" t="s">
        <v>46</v>
      </c>
      <c r="B9" s="13" t="s">
        <v>47</v>
      </c>
      <c r="C9" s="20">
        <v>1</v>
      </c>
      <c r="D9" s="20" t="s">
        <v>48</v>
      </c>
      <c r="E9" s="20" t="s">
        <v>48</v>
      </c>
      <c r="F9" s="20" t="s">
        <v>48</v>
      </c>
      <c r="G9" s="19">
        <v>0</v>
      </c>
      <c r="H9" s="19">
        <v>3690675</v>
      </c>
      <c r="I9" s="19">
        <f>782104+1238</f>
        <v>783342</v>
      </c>
      <c r="J9" s="19">
        <f>+Table469910[[#This Row],[Fiscal Year 2020–21 (7/1/20 to 6/30/21)]]+Table469910[[#This Row],[Fiscal Year 2021–22 (7/1/21 to 6/30/22)]]+Table469910[[#This Row],[Fiscal Year 2022–23 (7/1/22 to 12/31/22)]]</f>
        <v>4474017</v>
      </c>
    </row>
    <row r="10" spans="1:15" s="8" customFormat="1" ht="29.45" customHeight="1" x14ac:dyDescent="0.2">
      <c r="A10" s="13" t="s">
        <v>46</v>
      </c>
      <c r="B10" s="13" t="s">
        <v>49</v>
      </c>
      <c r="C10" s="20">
        <v>2</v>
      </c>
      <c r="D10" s="20" t="s">
        <v>48</v>
      </c>
      <c r="E10" s="20" t="s">
        <v>48</v>
      </c>
      <c r="F10" s="20" t="s">
        <v>48</v>
      </c>
      <c r="G10" s="19">
        <v>0</v>
      </c>
      <c r="H10" s="19">
        <v>3994197</v>
      </c>
      <c r="I10" s="19">
        <v>205326</v>
      </c>
      <c r="J10" s="19">
        <f>+Table469910[[#This Row],[Fiscal Year 2020–21 (7/1/20 to 6/30/21)]]+Table469910[[#This Row],[Fiscal Year 2021–22 (7/1/21 to 6/30/22)]]+Table469910[[#This Row],[Fiscal Year 2022–23 (7/1/22 to 12/31/22)]]</f>
        <v>4199523</v>
      </c>
    </row>
    <row r="11" spans="1:15" s="8" customFormat="1" ht="18.600000000000001" customHeight="1" x14ac:dyDescent="0.2">
      <c r="A11" s="13" t="s">
        <v>46</v>
      </c>
      <c r="B11" s="13" t="s">
        <v>50</v>
      </c>
      <c r="C11" s="20">
        <v>3</v>
      </c>
      <c r="D11" s="20" t="s">
        <v>48</v>
      </c>
      <c r="E11" s="20" t="s">
        <v>48</v>
      </c>
      <c r="F11" s="20" t="s">
        <v>48</v>
      </c>
      <c r="G11" s="19">
        <v>0</v>
      </c>
      <c r="H11" s="19">
        <v>3210485</v>
      </c>
      <c r="I11" s="19">
        <v>244978</v>
      </c>
      <c r="J11" s="19">
        <f>+Table469910[[#This Row],[Fiscal Year 2020–21 (7/1/20 to 6/30/21)]]+Table469910[[#This Row],[Fiscal Year 2021–22 (7/1/21 to 6/30/22)]]+Table469910[[#This Row],[Fiscal Year 2022–23 (7/1/22 to 12/31/22)]]</f>
        <v>3455463</v>
      </c>
    </row>
    <row r="12" spans="1:15" s="8" customFormat="1" ht="18.600000000000001" customHeight="1" x14ac:dyDescent="0.2">
      <c r="A12" s="13" t="s">
        <v>46</v>
      </c>
      <c r="B12" s="13" t="s">
        <v>51</v>
      </c>
      <c r="C12" s="20">
        <v>4</v>
      </c>
      <c r="D12" s="20" t="s">
        <v>48</v>
      </c>
      <c r="E12" s="20" t="s">
        <v>48</v>
      </c>
      <c r="F12" s="20" t="s">
        <v>48</v>
      </c>
      <c r="G12" s="19">
        <v>0</v>
      </c>
      <c r="H12" s="19">
        <v>132221</v>
      </c>
      <c r="I12" s="19">
        <v>2798</v>
      </c>
      <c r="J12" s="19">
        <f>+Table469910[[#This Row],[Fiscal Year 2020–21 (7/1/20 to 6/30/21)]]+Table469910[[#This Row],[Fiscal Year 2021–22 (7/1/21 to 6/30/22)]]+Table469910[[#This Row],[Fiscal Year 2022–23 (7/1/22 to 12/31/22)]]</f>
        <v>135019</v>
      </c>
    </row>
    <row r="13" spans="1:15" s="8" customFormat="1" ht="18.600000000000001" customHeight="1" x14ac:dyDescent="0.2">
      <c r="A13" s="13" t="s">
        <v>46</v>
      </c>
      <c r="B13" s="13" t="s">
        <v>52</v>
      </c>
      <c r="C13" s="20">
        <v>5</v>
      </c>
      <c r="D13" s="20" t="s">
        <v>48</v>
      </c>
      <c r="E13" s="20" t="s">
        <v>48</v>
      </c>
      <c r="F13" s="20" t="s">
        <v>48</v>
      </c>
      <c r="G13" s="19">
        <v>0</v>
      </c>
      <c r="H13" s="19">
        <v>679914</v>
      </c>
      <c r="I13" s="19">
        <v>50931</v>
      </c>
      <c r="J13" s="19">
        <f>+Table469910[[#This Row],[Fiscal Year 2020–21 (7/1/20 to 6/30/21)]]+Table469910[[#This Row],[Fiscal Year 2021–22 (7/1/21 to 6/30/22)]]+Table469910[[#This Row],[Fiscal Year 2022–23 (7/1/22 to 12/31/22)]]</f>
        <v>730845</v>
      </c>
    </row>
    <row r="14" spans="1:15" s="8" customFormat="1" ht="18.600000000000001" customHeight="1" x14ac:dyDescent="0.2">
      <c r="A14" s="13" t="s">
        <v>53</v>
      </c>
      <c r="B14" s="13" t="s">
        <v>127</v>
      </c>
      <c r="C14" s="20">
        <v>6</v>
      </c>
      <c r="D14" s="20" t="s">
        <v>55</v>
      </c>
      <c r="E14" s="20" t="s">
        <v>56</v>
      </c>
      <c r="F14" s="20" t="s">
        <v>48</v>
      </c>
      <c r="G14" s="19">
        <v>0</v>
      </c>
      <c r="H14" s="19">
        <v>1489931</v>
      </c>
      <c r="I14" s="19">
        <v>167390</v>
      </c>
      <c r="J14" s="19">
        <f>+Table469910[[#This Row],[Fiscal Year 2020–21 (7/1/20 to 6/30/21)]]+Table469910[[#This Row],[Fiscal Year 2021–22 (7/1/21 to 6/30/22)]]+Table469910[[#This Row],[Fiscal Year 2022–23 (7/1/22 to 12/31/22)]]</f>
        <v>1657321</v>
      </c>
    </row>
    <row r="15" spans="1:15" s="8" customFormat="1" ht="18.600000000000001" customHeight="1" x14ac:dyDescent="0.2">
      <c r="A15" s="13" t="s">
        <v>53</v>
      </c>
      <c r="B15" s="13" t="s">
        <v>58</v>
      </c>
      <c r="C15" s="20">
        <v>6</v>
      </c>
      <c r="D15" s="20" t="s">
        <v>55</v>
      </c>
      <c r="E15" s="20" t="s">
        <v>99</v>
      </c>
      <c r="F15" s="20" t="s">
        <v>48</v>
      </c>
      <c r="G15" s="19">
        <v>0</v>
      </c>
      <c r="H15" s="19">
        <v>1614439</v>
      </c>
      <c r="I15" s="19">
        <v>217908</v>
      </c>
      <c r="J15" s="19">
        <f>+Table469910[[#This Row],[Fiscal Year 2020–21 (7/1/20 to 6/30/21)]]+Table469910[[#This Row],[Fiscal Year 2021–22 (7/1/21 to 6/30/22)]]+Table469910[[#This Row],[Fiscal Year 2022–23 (7/1/22 to 12/31/22)]]</f>
        <v>1832347</v>
      </c>
    </row>
    <row r="16" spans="1:15" s="8" customFormat="1" ht="18.600000000000001" customHeight="1" x14ac:dyDescent="0.2">
      <c r="A16" s="13" t="s">
        <v>53</v>
      </c>
      <c r="B16" s="13" t="s">
        <v>60</v>
      </c>
      <c r="C16" s="20">
        <v>6</v>
      </c>
      <c r="D16" s="20" t="s">
        <v>55</v>
      </c>
      <c r="E16" s="20" t="s">
        <v>99</v>
      </c>
      <c r="F16" s="20" t="s">
        <v>48</v>
      </c>
      <c r="G16" s="19">
        <v>0</v>
      </c>
      <c r="H16" s="19">
        <v>667535</v>
      </c>
      <c r="I16" s="19">
        <v>151208</v>
      </c>
      <c r="J16" s="19">
        <f>+Table469910[[#This Row],[Fiscal Year 2020–21 (7/1/20 to 6/30/21)]]+Table469910[[#This Row],[Fiscal Year 2021–22 (7/1/21 to 6/30/22)]]+Table469910[[#This Row],[Fiscal Year 2022–23 (7/1/22 to 12/31/22)]]</f>
        <v>818743</v>
      </c>
    </row>
    <row r="17" spans="1:10" s="8" customFormat="1" ht="18.600000000000001" customHeight="1" x14ac:dyDescent="0.2">
      <c r="A17" s="13" t="s">
        <v>53</v>
      </c>
      <c r="B17" s="13" t="s">
        <v>61</v>
      </c>
      <c r="C17" s="20">
        <v>6</v>
      </c>
      <c r="D17" s="20" t="s">
        <v>55</v>
      </c>
      <c r="E17" s="20" t="s">
        <v>62</v>
      </c>
      <c r="F17" s="20" t="s">
        <v>48</v>
      </c>
      <c r="G17" s="19">
        <v>0</v>
      </c>
      <c r="H17" s="19">
        <v>1134715</v>
      </c>
      <c r="I17" s="19">
        <v>196804</v>
      </c>
      <c r="J17" s="19">
        <f>+Table469910[[#This Row],[Fiscal Year 2020–21 (7/1/20 to 6/30/21)]]+Table469910[[#This Row],[Fiscal Year 2021–22 (7/1/21 to 6/30/22)]]+Table469910[[#This Row],[Fiscal Year 2022–23 (7/1/22 to 12/31/22)]]</f>
        <v>1331519</v>
      </c>
    </row>
    <row r="18" spans="1:10" s="8" customFormat="1" ht="30" x14ac:dyDescent="0.2">
      <c r="A18" s="13" t="s">
        <v>63</v>
      </c>
      <c r="B18" s="13" t="s">
        <v>64</v>
      </c>
      <c r="C18" s="20" t="s">
        <v>65</v>
      </c>
      <c r="D18" s="20" t="s">
        <v>55</v>
      </c>
      <c r="E18" s="20" t="s">
        <v>56</v>
      </c>
      <c r="F18" s="49">
        <v>3300000</v>
      </c>
      <c r="G18" s="19">
        <v>0</v>
      </c>
      <c r="H18" s="19">
        <v>46516242</v>
      </c>
      <c r="I18" s="19">
        <v>695138</v>
      </c>
      <c r="J18" s="19">
        <f>+Table469910[[#This Row],[Fiscal Year 2020–21 (7/1/20 to 6/30/21)]]+Table469910[[#This Row],[Fiscal Year 2021–22 (7/1/21 to 6/30/22)]]+Table469910[[#This Row],[Fiscal Year 2022–23 (7/1/22 to 12/31/22)]]</f>
        <v>47211380</v>
      </c>
    </row>
    <row r="19" spans="1:10" s="8" customFormat="1" ht="30" x14ac:dyDescent="0.2">
      <c r="A19" s="13" t="s">
        <v>66</v>
      </c>
      <c r="B19" s="13" t="s">
        <v>67</v>
      </c>
      <c r="C19" s="20" t="s">
        <v>68</v>
      </c>
      <c r="D19" s="20" t="s">
        <v>55</v>
      </c>
      <c r="E19" s="20" t="s">
        <v>69</v>
      </c>
      <c r="F19" s="20" t="s">
        <v>48</v>
      </c>
      <c r="G19" s="19">
        <v>0</v>
      </c>
      <c r="H19" s="19">
        <v>1518764</v>
      </c>
      <c r="I19" s="19">
        <v>0</v>
      </c>
      <c r="J19" s="19">
        <f>+Table469910[[#This Row],[Fiscal Year 2020–21 (7/1/20 to 6/30/21)]]+Table469910[[#This Row],[Fiscal Year 2021–22 (7/1/21 to 6/30/22)]]+Table469910[[#This Row],[Fiscal Year 2022–23 (7/1/22 to 12/31/22)]]</f>
        <v>1518764</v>
      </c>
    </row>
    <row r="20" spans="1:10" s="8" customFormat="1" ht="30" x14ac:dyDescent="0.2">
      <c r="A20" s="13" t="s">
        <v>63</v>
      </c>
      <c r="B20" s="13" t="s">
        <v>117</v>
      </c>
      <c r="C20" s="20" t="s">
        <v>65</v>
      </c>
      <c r="D20" s="20" t="s">
        <v>55</v>
      </c>
      <c r="E20" s="20" t="s">
        <v>56</v>
      </c>
      <c r="F20" s="49">
        <v>39000</v>
      </c>
      <c r="G20" s="19">
        <v>0</v>
      </c>
      <c r="H20" s="19">
        <v>883439</v>
      </c>
      <c r="I20" s="19">
        <v>16918</v>
      </c>
      <c r="J20" s="19">
        <f>+Table469910[[#This Row],[Fiscal Year 2020–21 (7/1/20 to 6/30/21)]]+Table469910[[#This Row],[Fiscal Year 2021–22 (7/1/21 to 6/30/22)]]+Table469910[[#This Row],[Fiscal Year 2022–23 (7/1/22 to 12/31/22)]]</f>
        <v>900357</v>
      </c>
    </row>
    <row r="21" spans="1:10" s="8" customFormat="1" ht="30" x14ac:dyDescent="0.2">
      <c r="A21" s="13" t="s">
        <v>63</v>
      </c>
      <c r="B21" s="13" t="s">
        <v>118</v>
      </c>
      <c r="C21" s="20" t="s">
        <v>65</v>
      </c>
      <c r="D21" s="20" t="s">
        <v>55</v>
      </c>
      <c r="E21" s="20" t="s">
        <v>99</v>
      </c>
      <c r="F21" s="49">
        <v>1472000</v>
      </c>
      <c r="G21" s="19">
        <v>0</v>
      </c>
      <c r="H21" s="19">
        <v>7239474</v>
      </c>
      <c r="I21" s="19">
        <v>245815</v>
      </c>
      <c r="J21" s="19">
        <f>+Table469910[[#This Row],[Fiscal Year 2020–21 (7/1/20 to 6/30/21)]]+Table469910[[#This Row],[Fiscal Year 2021–22 (7/1/21 to 6/30/22)]]+Table469910[[#This Row],[Fiscal Year 2022–23 (7/1/22 to 12/31/22)]]</f>
        <v>7485289</v>
      </c>
    </row>
    <row r="22" spans="1:10" s="8" customFormat="1" ht="30" x14ac:dyDescent="0.2">
      <c r="A22" s="13" t="s">
        <v>63</v>
      </c>
      <c r="B22" s="13" t="s">
        <v>119</v>
      </c>
      <c r="C22" s="20" t="s">
        <v>65</v>
      </c>
      <c r="D22" s="20" t="s">
        <v>55</v>
      </c>
      <c r="E22" s="20" t="s">
        <v>99</v>
      </c>
      <c r="F22" s="49">
        <v>16500</v>
      </c>
      <c r="G22" s="19">
        <v>0</v>
      </c>
      <c r="H22" s="19">
        <v>264543</v>
      </c>
      <c r="I22" s="19">
        <v>5703</v>
      </c>
      <c r="J22" s="19">
        <f>+Table469910[[#This Row],[Fiscal Year 2020–21 (7/1/20 to 6/30/21)]]+Table469910[[#This Row],[Fiscal Year 2021–22 (7/1/21 to 6/30/22)]]+Table469910[[#This Row],[Fiscal Year 2022–23 (7/1/22 to 12/31/22)]]</f>
        <v>270246</v>
      </c>
    </row>
    <row r="23" spans="1:10" s="8" customFormat="1" ht="30" x14ac:dyDescent="0.2">
      <c r="A23" s="13" t="s">
        <v>63</v>
      </c>
      <c r="B23" s="13" t="s">
        <v>128</v>
      </c>
      <c r="C23" s="20" t="s">
        <v>65</v>
      </c>
      <c r="D23" s="20" t="s">
        <v>55</v>
      </c>
      <c r="E23" s="20" t="s">
        <v>62</v>
      </c>
      <c r="F23" s="49">
        <v>22500</v>
      </c>
      <c r="G23" s="19">
        <v>0</v>
      </c>
      <c r="H23" s="19">
        <v>987101</v>
      </c>
      <c r="I23" s="19">
        <v>15741</v>
      </c>
      <c r="J23" s="19">
        <f>+Table469910[[#This Row],[Fiscal Year 2020–21 (7/1/20 to 6/30/21)]]+Table469910[[#This Row],[Fiscal Year 2021–22 (7/1/21 to 6/30/22)]]+Table469910[[#This Row],[Fiscal Year 2022–23 (7/1/22 to 12/31/22)]]</f>
        <v>1002842</v>
      </c>
    </row>
    <row r="24" spans="1:10" s="8" customFormat="1" ht="15.75" x14ac:dyDescent="0.25">
      <c r="A24" s="18" t="s">
        <v>29</v>
      </c>
      <c r="B24" s="38" t="s">
        <v>145</v>
      </c>
      <c r="C24" s="39" t="s">
        <v>48</v>
      </c>
      <c r="D24" s="39" t="s">
        <v>48</v>
      </c>
      <c r="E24" s="39" t="s">
        <v>48</v>
      </c>
      <c r="F24" s="50">
        <f>F18+F20+F21+F22+F23</f>
        <v>4850000</v>
      </c>
      <c r="G24" s="37">
        <f>SUBTOTAL(109,G9:G23)</f>
        <v>0</v>
      </c>
      <c r="H24" s="37">
        <f t="shared" ref="H24:J24" si="0">SUBTOTAL(109,H9:H23)</f>
        <v>74023675</v>
      </c>
      <c r="I24" s="37">
        <f t="shared" si="0"/>
        <v>3000000</v>
      </c>
      <c r="J24" s="37">
        <f t="shared" si="0"/>
        <v>77023675</v>
      </c>
    </row>
    <row r="25" spans="1:10" s="8" customFormat="1" ht="28.15" customHeight="1" x14ac:dyDescent="0.2">
      <c r="A25" s="8" t="s">
        <v>46</v>
      </c>
      <c r="B25" s="13" t="s">
        <v>146</v>
      </c>
      <c r="C25" s="20">
        <v>1</v>
      </c>
      <c r="D25" s="20" t="s">
        <v>48</v>
      </c>
      <c r="E25" s="20" t="s">
        <v>48</v>
      </c>
      <c r="F25" s="20" t="s">
        <v>48</v>
      </c>
      <c r="G25" s="19">
        <v>0</v>
      </c>
      <c r="H25" s="19">
        <v>2642287</v>
      </c>
      <c r="I25" s="19">
        <f>550044-1238</f>
        <v>548806</v>
      </c>
      <c r="J25" s="19">
        <f>+Table469910[[#This Row],[Fiscal Year 2020–21 (7/1/20 to 6/30/21)]]+Table469910[[#This Row],[Fiscal Year 2021–22 (7/1/21 to 6/30/22)]]+Table469910[[#This Row],[Fiscal Year 2022–23 (7/1/22 to 12/31/22)]]</f>
        <v>3191093</v>
      </c>
    </row>
    <row r="26" spans="1:10" s="8" customFormat="1" ht="18.600000000000001" customHeight="1" x14ac:dyDescent="0.2">
      <c r="A26" s="8" t="s">
        <v>46</v>
      </c>
      <c r="B26" s="13" t="s">
        <v>147</v>
      </c>
      <c r="C26" s="20">
        <v>2</v>
      </c>
      <c r="D26" s="20" t="s">
        <v>48</v>
      </c>
      <c r="E26" s="20" t="s">
        <v>48</v>
      </c>
      <c r="F26" s="20" t="s">
        <v>48</v>
      </c>
      <c r="G26" s="19">
        <v>0</v>
      </c>
      <c r="H26" s="19">
        <v>3032469</v>
      </c>
      <c r="I26" s="19">
        <v>197274</v>
      </c>
      <c r="J26" s="19">
        <f>+Table469910[[#This Row],[Fiscal Year 2020–21 (7/1/20 to 6/30/21)]]+Table469910[[#This Row],[Fiscal Year 2021–22 (7/1/21 to 6/30/22)]]+Table469910[[#This Row],[Fiscal Year 2022–23 (7/1/22 to 12/31/22)]]</f>
        <v>3229743</v>
      </c>
    </row>
    <row r="27" spans="1:10" s="8" customFormat="1" ht="18.600000000000001" customHeight="1" x14ac:dyDescent="0.2">
      <c r="A27" s="8" t="s">
        <v>46</v>
      </c>
      <c r="B27" s="13" t="s">
        <v>148</v>
      </c>
      <c r="C27" s="20">
        <v>3</v>
      </c>
      <c r="D27" s="20" t="s">
        <v>48</v>
      </c>
      <c r="E27" s="20" t="s">
        <v>48</v>
      </c>
      <c r="F27" s="20" t="s">
        <v>48</v>
      </c>
      <c r="G27" s="19">
        <v>0</v>
      </c>
      <c r="H27" s="19">
        <v>2074442</v>
      </c>
      <c r="I27" s="19">
        <v>244978</v>
      </c>
      <c r="J27" s="19">
        <f>+Table469910[[#This Row],[Fiscal Year 2020–21 (7/1/20 to 6/30/21)]]+Table469910[[#This Row],[Fiscal Year 2021–22 (7/1/21 to 6/30/22)]]+Table469910[[#This Row],[Fiscal Year 2022–23 (7/1/22 to 12/31/22)]]</f>
        <v>2319420</v>
      </c>
    </row>
    <row r="28" spans="1:10" s="8" customFormat="1" ht="18.600000000000001" customHeight="1" x14ac:dyDescent="0.2">
      <c r="A28" s="8" t="s">
        <v>46</v>
      </c>
      <c r="B28" s="13" t="s">
        <v>149</v>
      </c>
      <c r="C28" s="20">
        <v>4</v>
      </c>
      <c r="D28" s="20" t="s">
        <v>48</v>
      </c>
      <c r="E28" s="20" t="s">
        <v>48</v>
      </c>
      <c r="F28" s="20" t="s">
        <v>48</v>
      </c>
      <c r="G28" s="19">
        <v>0</v>
      </c>
      <c r="H28" s="19">
        <v>148825</v>
      </c>
      <c r="I28" s="19">
        <v>3730</v>
      </c>
      <c r="J28" s="19">
        <f>+Table469910[[#This Row],[Fiscal Year 2020–21 (7/1/20 to 6/30/21)]]+Table469910[[#This Row],[Fiscal Year 2021–22 (7/1/21 to 6/30/22)]]+Table469910[[#This Row],[Fiscal Year 2022–23 (7/1/22 to 12/31/22)]]</f>
        <v>152555</v>
      </c>
    </row>
    <row r="29" spans="1:10" s="8" customFormat="1" ht="18.600000000000001" customHeight="1" x14ac:dyDescent="0.2">
      <c r="A29" s="8" t="s">
        <v>46</v>
      </c>
      <c r="B29" s="13" t="s">
        <v>150</v>
      </c>
      <c r="C29" s="20">
        <v>5</v>
      </c>
      <c r="D29" s="20" t="s">
        <v>48</v>
      </c>
      <c r="E29" s="20" t="s">
        <v>48</v>
      </c>
      <c r="F29" s="20" t="s">
        <v>48</v>
      </c>
      <c r="G29" s="19">
        <v>0</v>
      </c>
      <c r="H29" s="19">
        <v>322232</v>
      </c>
      <c r="I29" s="19">
        <v>31342</v>
      </c>
      <c r="J29" s="19">
        <f>+Table469910[[#This Row],[Fiscal Year 2020–21 (7/1/20 to 6/30/21)]]+Table469910[[#This Row],[Fiscal Year 2021–22 (7/1/21 to 6/30/22)]]+Table469910[[#This Row],[Fiscal Year 2022–23 (7/1/22 to 12/31/22)]]</f>
        <v>353574</v>
      </c>
    </row>
    <row r="30" spans="1:10" s="8" customFormat="1" ht="18.600000000000001" customHeight="1" x14ac:dyDescent="0.2">
      <c r="A30" s="8" t="s">
        <v>53</v>
      </c>
      <c r="B30" s="13" t="s">
        <v>151</v>
      </c>
      <c r="C30" s="20">
        <v>6</v>
      </c>
      <c r="D30" s="20" t="s">
        <v>55</v>
      </c>
      <c r="E30" s="20" t="s">
        <v>152</v>
      </c>
      <c r="F30" s="20" t="s">
        <v>48</v>
      </c>
      <c r="G30" s="19">
        <v>485013</v>
      </c>
      <c r="H30" s="19">
        <v>1146804</v>
      </c>
      <c r="I30" s="19">
        <v>361692</v>
      </c>
      <c r="J30" s="19">
        <f>+Table469910[[#This Row],[Fiscal Year 2020–21 (7/1/20 to 6/30/21)]]+Table469910[[#This Row],[Fiscal Year 2021–22 (7/1/21 to 6/30/22)]]+Table469910[[#This Row],[Fiscal Year 2022–23 (7/1/22 to 12/31/22)]]</f>
        <v>1993509</v>
      </c>
    </row>
    <row r="31" spans="1:10" s="8" customFormat="1" ht="18.600000000000001" customHeight="1" x14ac:dyDescent="0.2">
      <c r="A31" s="8" t="s">
        <v>53</v>
      </c>
      <c r="B31" s="13" t="s">
        <v>154</v>
      </c>
      <c r="C31" s="20">
        <v>6</v>
      </c>
      <c r="D31" s="20" t="s">
        <v>55</v>
      </c>
      <c r="E31" s="20" t="s">
        <v>152</v>
      </c>
      <c r="F31" s="20" t="s">
        <v>48</v>
      </c>
      <c r="G31" s="19">
        <v>454869</v>
      </c>
      <c r="H31" s="19">
        <v>642936</v>
      </c>
      <c r="I31" s="19">
        <v>277760</v>
      </c>
      <c r="J31" s="19">
        <f>+Table469910[[#This Row],[Fiscal Year 2020–21 (7/1/20 to 6/30/21)]]+Table469910[[#This Row],[Fiscal Year 2021–22 (7/1/21 to 6/30/22)]]+Table469910[[#This Row],[Fiscal Year 2022–23 (7/1/22 to 12/31/22)]]</f>
        <v>1375565</v>
      </c>
    </row>
    <row r="32" spans="1:10" s="8" customFormat="1" ht="30" x14ac:dyDescent="0.2">
      <c r="A32" s="62" t="s">
        <v>63</v>
      </c>
      <c r="B32" s="13" t="s">
        <v>155</v>
      </c>
      <c r="C32" s="20" t="s">
        <v>65</v>
      </c>
      <c r="D32" s="20" t="s">
        <v>55</v>
      </c>
      <c r="E32" s="20" t="s">
        <v>152</v>
      </c>
      <c r="F32" s="49">
        <v>1552000</v>
      </c>
      <c r="G32" s="19">
        <v>70523</v>
      </c>
      <c r="H32" s="19">
        <v>10219896</v>
      </c>
      <c r="I32" s="19">
        <v>520351</v>
      </c>
      <c r="J32" s="19">
        <f>+Table469910[[#This Row],[Fiscal Year 2020–21 (7/1/20 to 6/30/21)]]+Table469910[[#This Row],[Fiscal Year 2021–22 (7/1/21 to 6/30/22)]]+Table469910[[#This Row],[Fiscal Year 2022–23 (7/1/22 to 12/31/22)]]</f>
        <v>10810770</v>
      </c>
    </row>
    <row r="33" spans="1:10" s="8" customFormat="1" ht="30" x14ac:dyDescent="0.2">
      <c r="A33" s="13" t="s">
        <v>63</v>
      </c>
      <c r="B33" s="13" t="s">
        <v>185</v>
      </c>
      <c r="C33" s="20" t="s">
        <v>65</v>
      </c>
      <c r="D33" s="20" t="s">
        <v>55</v>
      </c>
      <c r="E33" s="20" t="s">
        <v>152</v>
      </c>
      <c r="F33" s="49">
        <v>16750</v>
      </c>
      <c r="G33" s="19">
        <v>0</v>
      </c>
      <c r="H33" s="19">
        <v>514998</v>
      </c>
      <c r="I33" s="19">
        <v>59354</v>
      </c>
      <c r="J33" s="19">
        <f>+Table469910[[#This Row],[Fiscal Year 2020–21 (7/1/20 to 6/30/21)]]+Table469910[[#This Row],[Fiscal Year 2021–22 (7/1/21 to 6/30/22)]]+Table469910[[#This Row],[Fiscal Year 2022–23 (7/1/22 to 12/31/22)]]</f>
        <v>574352</v>
      </c>
    </row>
    <row r="34" spans="1:10" ht="15.75" x14ac:dyDescent="0.25">
      <c r="A34" s="18" t="s">
        <v>34</v>
      </c>
      <c r="B34" s="38" t="s">
        <v>155</v>
      </c>
      <c r="C34" s="39" t="s">
        <v>48</v>
      </c>
      <c r="D34" s="39" t="s">
        <v>48</v>
      </c>
      <c r="E34" s="39" t="s">
        <v>48</v>
      </c>
      <c r="F34" s="50">
        <f>F32+F33</f>
        <v>1568750</v>
      </c>
      <c r="G34" s="37">
        <f>SUBTOTAL(109,G25:G33)</f>
        <v>1010405</v>
      </c>
      <c r="H34" s="37">
        <f t="shared" ref="H34:J34" si="1">SUBTOTAL(109,H25:H33)</f>
        <v>20744889</v>
      </c>
      <c r="I34" s="37">
        <f t="shared" si="1"/>
        <v>2245287</v>
      </c>
      <c r="J34" s="37">
        <f t="shared" si="1"/>
        <v>24000581</v>
      </c>
    </row>
    <row r="35" spans="1:10" ht="31.5" x14ac:dyDescent="0.25">
      <c r="A35" s="13" t="s">
        <v>200</v>
      </c>
      <c r="B35" s="36" t="s">
        <v>48</v>
      </c>
      <c r="C35" s="54" t="s">
        <v>48</v>
      </c>
      <c r="D35" s="54" t="s">
        <v>48</v>
      </c>
      <c r="E35" s="54" t="s">
        <v>48</v>
      </c>
      <c r="F35" s="82">
        <f>F24+F34</f>
        <v>6418750</v>
      </c>
      <c r="G35" s="80">
        <f>G24+G34</f>
        <v>1010405</v>
      </c>
      <c r="H35" s="81">
        <f>H24+H34</f>
        <v>94768564</v>
      </c>
      <c r="I35" s="81">
        <f>I24+I34</f>
        <v>5245287</v>
      </c>
      <c r="J35" s="81">
        <f>J24+J34</f>
        <v>101024256</v>
      </c>
    </row>
    <row r="36" spans="1:10" ht="12.75" hidden="1" x14ac:dyDescent="0.2"/>
    <row r="37" spans="1:10" ht="12.75" hidden="1" x14ac:dyDescent="0.2"/>
    <row r="38" spans="1:10" ht="12.75" hidden="1" x14ac:dyDescent="0.2"/>
    <row r="39" spans="1:10" ht="12.75" hidden="1" x14ac:dyDescent="0.2"/>
    <row r="40" spans="1:10" ht="12.75" hidden="1" x14ac:dyDescent="0.2"/>
    <row r="41" spans="1:10" ht="12.75" hidden="1" x14ac:dyDescent="0.2"/>
    <row r="42" spans="1:10" ht="12.75" hidden="1" x14ac:dyDescent="0.2"/>
    <row r="43" spans="1:10" ht="12.75" hidden="1" x14ac:dyDescent="0.2"/>
    <row r="44" spans="1:10" ht="12.75" hidden="1" x14ac:dyDescent="0.2"/>
    <row r="45" spans="1:10" ht="12.75" hidden="1" x14ac:dyDescent="0.2"/>
    <row r="46" spans="1:10" ht="12.75" hidden="1" x14ac:dyDescent="0.2"/>
    <row r="47" spans="1:10" ht="12.75" hidden="1" x14ac:dyDescent="0.2"/>
    <row r="48" spans="1:10" ht="12.75" hidden="1" x14ac:dyDescent="0.2"/>
    <row r="49" ht="12.75" hidden="1" x14ac:dyDescent="0.2"/>
    <row r="50" ht="12.75" hidden="1" x14ac:dyDescent="0.2"/>
    <row r="51" ht="12.75" hidden="1" x14ac:dyDescent="0.2"/>
    <row r="52" ht="12.75" hidden="1" x14ac:dyDescent="0.2"/>
    <row r="53" ht="12.75" hidden="1" x14ac:dyDescent="0.2"/>
    <row r="54" ht="12.75" hidden="1" x14ac:dyDescent="0.2"/>
    <row r="55" ht="12.75" hidden="1" x14ac:dyDescent="0.2"/>
    <row r="56" ht="12.75" hidden="1" x14ac:dyDescent="0.2"/>
    <row r="57" ht="13.9" hidden="1" customHeight="1" x14ac:dyDescent="0.2"/>
  </sheetData>
  <pageMargins left="0.5" right="0.25" top="1" bottom="0.75" header="0.3" footer="0.3"/>
  <pageSetup paperSize="5" scale="90"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C18:C26 C32:C33" twoDigitTextYear="1"/>
  </ignoredError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O63"/>
  <sheetViews>
    <sheetView showGridLines="0" zoomScaleNormal="100" workbookViewId="0"/>
  </sheetViews>
  <sheetFormatPr defaultColWidth="0" defaultRowHeight="0" customHeight="1" zeroHeight="1" x14ac:dyDescent="0.2"/>
  <cols>
    <col min="1" max="1" width="51.140625" style="5" customWidth="1"/>
    <col min="2" max="2" width="11.85546875" style="5" bestFit="1" customWidth="1"/>
    <col min="3" max="5" width="12" style="1" bestFit="1" customWidth="1"/>
    <col min="6" max="6" width="13.7109375" style="1" bestFit="1" customWidth="1"/>
    <col min="7" max="7" width="14.7109375" style="1" bestFit="1" customWidth="1"/>
    <col min="8" max="8" width="13.140625" style="2" customWidth="1"/>
    <col min="9" max="9" width="16" style="3" bestFit="1" customWidth="1"/>
    <col min="10" max="10" width="17" style="3" bestFit="1" customWidth="1"/>
    <col min="11" max="11" width="19.42578125" style="4" bestFit="1" customWidth="1"/>
    <col min="12" max="12" width="12.7109375" style="3" hidden="1" customWidth="1"/>
    <col min="13" max="13" width="0" style="5" hidden="1" customWidth="1"/>
    <col min="14" max="14" width="12.7109375" style="5" hidden="1" customWidth="1"/>
    <col min="15" max="16384" width="8.85546875" style="5" hidden="1"/>
  </cols>
  <sheetData>
    <row r="1" spans="1:15" ht="23.25" x14ac:dyDescent="0.35">
      <c r="A1" s="91" t="s">
        <v>201</v>
      </c>
      <c r="B1" s="1"/>
      <c r="O1" s="85"/>
    </row>
    <row r="2" spans="1:15" s="99" customFormat="1" ht="15.75" x14ac:dyDescent="0.25">
      <c r="A2" s="92" t="s">
        <v>213</v>
      </c>
      <c r="B2" s="95"/>
      <c r="C2" s="95"/>
      <c r="D2" s="95"/>
      <c r="E2" s="95"/>
      <c r="F2" s="95"/>
      <c r="G2" s="95"/>
      <c r="H2" s="96"/>
      <c r="I2" s="97"/>
      <c r="J2" s="97"/>
      <c r="K2" s="98"/>
      <c r="L2" s="97"/>
      <c r="O2" s="94"/>
    </row>
    <row r="3" spans="1:15" ht="15" x14ac:dyDescent="0.2">
      <c r="A3" s="8" t="s">
        <v>1</v>
      </c>
      <c r="B3" s="1"/>
    </row>
    <row r="4" spans="1:15" ht="14.45" customHeight="1" x14ac:dyDescent="0.2">
      <c r="A4" s="59" t="s">
        <v>2</v>
      </c>
      <c r="B4" s="1"/>
    </row>
    <row r="5" spans="1:15" ht="15" x14ac:dyDescent="0.2">
      <c r="A5" s="8" t="s">
        <v>3</v>
      </c>
      <c r="B5" s="1"/>
    </row>
    <row r="6" spans="1:15" ht="15" x14ac:dyDescent="0.2">
      <c r="A6" s="12" t="s">
        <v>4</v>
      </c>
      <c r="B6" s="1"/>
    </row>
    <row r="7" spans="1:15" ht="21.6" customHeight="1" x14ac:dyDescent="0.2">
      <c r="A7" s="21" t="s">
        <v>37</v>
      </c>
    </row>
    <row r="8" spans="1:15" ht="78.75" x14ac:dyDescent="0.25">
      <c r="A8" s="8" t="s">
        <v>39</v>
      </c>
      <c r="B8" s="14" t="s">
        <v>80</v>
      </c>
      <c r="C8" s="14" t="s">
        <v>81</v>
      </c>
      <c r="D8" s="14" t="s">
        <v>82</v>
      </c>
      <c r="E8" s="14" t="s">
        <v>83</v>
      </c>
      <c r="F8" s="14" t="s">
        <v>205</v>
      </c>
      <c r="G8" s="64" t="s">
        <v>84</v>
      </c>
      <c r="H8" s="14" t="s">
        <v>85</v>
      </c>
      <c r="I8" s="14" t="s">
        <v>86</v>
      </c>
      <c r="J8" s="65" t="s">
        <v>87</v>
      </c>
      <c r="K8" s="14" t="s">
        <v>88</v>
      </c>
      <c r="L8" s="5"/>
    </row>
    <row r="9" spans="1:15" s="29" customFormat="1" ht="30" x14ac:dyDescent="0.25">
      <c r="A9" s="63" t="s">
        <v>89</v>
      </c>
      <c r="B9" s="22">
        <v>1</v>
      </c>
      <c r="C9" s="24" t="s">
        <v>48</v>
      </c>
      <c r="D9" s="24" t="s">
        <v>48</v>
      </c>
      <c r="E9" s="24" t="s">
        <v>48</v>
      </c>
      <c r="F9" s="24" t="s">
        <v>48</v>
      </c>
      <c r="G9" s="25">
        <v>4474017</v>
      </c>
      <c r="H9" s="26">
        <v>0</v>
      </c>
      <c r="I9" s="28">
        <f>ROUND(+H9/$F$37,2)</f>
        <v>0</v>
      </c>
      <c r="J9" s="27">
        <f>+Table13101314[[#This Row],[Column F: 
Fixed Costs]]+Table13101314[[#This Row],[Column G: 
Per Pupil Costs]]</f>
        <v>4474017</v>
      </c>
      <c r="K9" s="28">
        <f>ROUND(+J9/$F$37,2)</f>
        <v>0.92</v>
      </c>
    </row>
    <row r="10" spans="1:15" s="29" customFormat="1" ht="45" x14ac:dyDescent="0.25">
      <c r="A10" s="63" t="s">
        <v>90</v>
      </c>
      <c r="B10" s="22">
        <v>2</v>
      </c>
      <c r="C10" s="24" t="s">
        <v>48</v>
      </c>
      <c r="D10" s="24" t="s">
        <v>48</v>
      </c>
      <c r="E10" s="24" t="s">
        <v>48</v>
      </c>
      <c r="F10" s="24" t="s">
        <v>48</v>
      </c>
      <c r="G10" s="25">
        <v>4199523</v>
      </c>
      <c r="H10" s="26">
        <v>0</v>
      </c>
      <c r="I10" s="28">
        <f t="shared" ref="I10:K13" si="0">ROUND(+H10/$F$37,2)</f>
        <v>0</v>
      </c>
      <c r="J10" s="27">
        <f>+Table13101314[[#This Row],[Column F: 
Fixed Costs]]+Table13101314[[#This Row],[Column G: 
Per Pupil Costs]]</f>
        <v>4199523</v>
      </c>
      <c r="K10" s="28">
        <f t="shared" si="0"/>
        <v>0.87</v>
      </c>
    </row>
    <row r="11" spans="1:15" s="29" customFormat="1" ht="30" x14ac:dyDescent="0.25">
      <c r="A11" s="63" t="s">
        <v>91</v>
      </c>
      <c r="B11" s="22">
        <v>3</v>
      </c>
      <c r="C11" s="24" t="s">
        <v>48</v>
      </c>
      <c r="D11" s="24" t="s">
        <v>48</v>
      </c>
      <c r="E11" s="24" t="s">
        <v>48</v>
      </c>
      <c r="F11" s="24" t="s">
        <v>48</v>
      </c>
      <c r="G11" s="25">
        <v>3455463</v>
      </c>
      <c r="H11" s="26">
        <v>0</v>
      </c>
      <c r="I11" s="28">
        <f t="shared" si="0"/>
        <v>0</v>
      </c>
      <c r="J11" s="27">
        <f>+Table13101314[[#This Row],[Column F: 
Fixed Costs]]+Table13101314[[#This Row],[Column G: 
Per Pupil Costs]]</f>
        <v>3455463</v>
      </c>
      <c r="K11" s="28">
        <f t="shared" si="0"/>
        <v>0.71</v>
      </c>
    </row>
    <row r="12" spans="1:15" s="29" customFormat="1" ht="30" x14ac:dyDescent="0.25">
      <c r="A12" s="63" t="s">
        <v>92</v>
      </c>
      <c r="B12" s="22">
        <v>4</v>
      </c>
      <c r="C12" s="24" t="s">
        <v>48</v>
      </c>
      <c r="D12" s="24" t="s">
        <v>48</v>
      </c>
      <c r="E12" s="24" t="s">
        <v>48</v>
      </c>
      <c r="F12" s="24" t="s">
        <v>48</v>
      </c>
      <c r="G12" s="25">
        <v>135019</v>
      </c>
      <c r="H12" s="26">
        <v>0</v>
      </c>
      <c r="I12" s="28">
        <f t="shared" si="0"/>
        <v>0</v>
      </c>
      <c r="J12" s="27">
        <f>+Table13101314[[#This Row],[Column F: 
Fixed Costs]]+Table13101314[[#This Row],[Column G: 
Per Pupil Costs]]</f>
        <v>135019</v>
      </c>
      <c r="K12" s="28">
        <f t="shared" si="0"/>
        <v>0.03</v>
      </c>
    </row>
    <row r="13" spans="1:15" s="29" customFormat="1" ht="30" x14ac:dyDescent="0.25">
      <c r="A13" s="63" t="s">
        <v>93</v>
      </c>
      <c r="B13" s="22">
        <v>5</v>
      </c>
      <c r="C13" s="24" t="s">
        <v>48</v>
      </c>
      <c r="D13" s="24" t="s">
        <v>48</v>
      </c>
      <c r="E13" s="24" t="s">
        <v>48</v>
      </c>
      <c r="F13" s="24" t="s">
        <v>48</v>
      </c>
      <c r="G13" s="25">
        <v>730845</v>
      </c>
      <c r="H13" s="26">
        <v>0</v>
      </c>
      <c r="I13" s="28">
        <f t="shared" si="0"/>
        <v>0</v>
      </c>
      <c r="J13" s="27">
        <f>+Table13101314[[#This Row],[Column F: 
Fixed Costs]]+Table13101314[[#This Row],[Column G: 
Per Pupil Costs]]</f>
        <v>730845</v>
      </c>
      <c r="K13" s="28">
        <f t="shared" si="0"/>
        <v>0.15</v>
      </c>
    </row>
    <row r="14" spans="1:15" s="29" customFormat="1" ht="30" x14ac:dyDescent="0.25">
      <c r="A14" s="63" t="s">
        <v>94</v>
      </c>
      <c r="B14" s="22">
        <v>6</v>
      </c>
      <c r="C14" s="24" t="s">
        <v>48</v>
      </c>
      <c r="D14" s="24" t="s">
        <v>95</v>
      </c>
      <c r="E14" s="24" t="s">
        <v>56</v>
      </c>
      <c r="F14" s="24" t="s">
        <v>48</v>
      </c>
      <c r="G14" s="25">
        <v>1657321</v>
      </c>
      <c r="H14" s="26">
        <v>0</v>
      </c>
      <c r="I14" s="32">
        <f>IFERROR(+Table13101314[[#This Row],[Column G: 
Per Pupil Costs]]/Table13101314[[#This Row],[Column E: 
Estimated Number of Test Takers*]],0)</f>
        <v>0</v>
      </c>
      <c r="J14" s="27">
        <f>+Table13101314[[#This Row],[Column F: 
Fixed Costs]]+Table13101314[[#This Row],[Column G: 
Per Pupil Costs]]</f>
        <v>1657321</v>
      </c>
      <c r="K14" s="30" t="s">
        <v>48</v>
      </c>
    </row>
    <row r="15" spans="1:15" s="29" customFormat="1" ht="15.75" x14ac:dyDescent="0.25">
      <c r="A15" s="66" t="s">
        <v>97</v>
      </c>
      <c r="B15" s="22">
        <v>6</v>
      </c>
      <c r="C15" s="24" t="s">
        <v>48</v>
      </c>
      <c r="D15" s="24" t="s">
        <v>98</v>
      </c>
      <c r="E15" s="24" t="s">
        <v>99</v>
      </c>
      <c r="F15" s="24" t="s">
        <v>48</v>
      </c>
      <c r="G15" s="25">
        <v>1832347</v>
      </c>
      <c r="H15" s="26">
        <v>0</v>
      </c>
      <c r="I15" s="32">
        <f>IFERROR(+Table13101314[[#This Row],[Column G: 
Per Pupil Costs]]/Table13101314[[#This Row],[Column E: 
Estimated Number of Test Takers*]],0)</f>
        <v>0</v>
      </c>
      <c r="J15" s="27">
        <f>+Table13101314[[#This Row],[Column F: 
Fixed Costs]]+Table13101314[[#This Row],[Column G: 
Per Pupil Costs]]</f>
        <v>1832347</v>
      </c>
      <c r="K15" s="30" t="s">
        <v>48</v>
      </c>
    </row>
    <row r="16" spans="1:15" s="29" customFormat="1" ht="15.75" x14ac:dyDescent="0.25">
      <c r="A16" s="63" t="s">
        <v>123</v>
      </c>
      <c r="B16" s="22">
        <v>6</v>
      </c>
      <c r="C16" s="24" t="s">
        <v>48</v>
      </c>
      <c r="D16" s="24" t="s">
        <v>98</v>
      </c>
      <c r="E16" s="24" t="s">
        <v>99</v>
      </c>
      <c r="F16" s="24" t="s">
        <v>48</v>
      </c>
      <c r="G16" s="25">
        <v>818743</v>
      </c>
      <c r="H16" s="26">
        <v>0</v>
      </c>
      <c r="I16" s="32">
        <f>IFERROR(+Table13101314[[#This Row],[Column G: 
Per Pupil Costs]]/Table13101314[[#This Row],[Column E: 
Estimated Number of Test Takers*]],0)</f>
        <v>0</v>
      </c>
      <c r="J16" s="27">
        <f>+Table13101314[[#This Row],[Column F: 
Fixed Costs]]+Table13101314[[#This Row],[Column G: 
Per Pupil Costs]]</f>
        <v>818743</v>
      </c>
      <c r="K16" s="30" t="s">
        <v>48</v>
      </c>
    </row>
    <row r="17" spans="1:11" s="29" customFormat="1" ht="15.75" x14ac:dyDescent="0.25">
      <c r="A17" s="63" t="s">
        <v>101</v>
      </c>
      <c r="B17" s="22">
        <v>6</v>
      </c>
      <c r="C17" s="24" t="s">
        <v>48</v>
      </c>
      <c r="D17" s="24" t="s">
        <v>102</v>
      </c>
      <c r="E17" s="24" t="s">
        <v>62</v>
      </c>
      <c r="F17" s="24" t="s">
        <v>48</v>
      </c>
      <c r="G17" s="25">
        <v>1331519</v>
      </c>
      <c r="H17" s="26">
        <v>0</v>
      </c>
      <c r="I17" s="32">
        <f>IFERROR(+Table13101314[[#This Row],[Column G: 
Per Pupil Costs]]/Table13101314[[#This Row],[Column E: 
Estimated Number of Test Takers*]],0)</f>
        <v>0</v>
      </c>
      <c r="J17" s="27">
        <f>+Table13101314[[#This Row],[Column F: 
Fixed Costs]]+Table13101314[[#This Row],[Column G: 
Per Pupil Costs]]</f>
        <v>1331519</v>
      </c>
      <c r="K17" s="30" t="s">
        <v>48</v>
      </c>
    </row>
    <row r="18" spans="1:11" s="29" customFormat="1" ht="30" x14ac:dyDescent="0.25">
      <c r="A18" s="63" t="s">
        <v>103</v>
      </c>
      <c r="B18" s="22">
        <v>7</v>
      </c>
      <c r="C18" s="22" t="s">
        <v>55</v>
      </c>
      <c r="D18" s="24" t="s">
        <v>95</v>
      </c>
      <c r="E18" s="24" t="s">
        <v>104</v>
      </c>
      <c r="F18" s="31">
        <v>3300000</v>
      </c>
      <c r="G18" s="25">
        <v>25409006</v>
      </c>
      <c r="H18" s="26">
        <v>0</v>
      </c>
      <c r="I18" s="32">
        <f>IFERROR(+Table13101314[[#This Row],[Column G: 
Per Pupil Costs]]/Table13101314[[#This Row],[Column E: 
Estimated Number of Test Takers*]],0)</f>
        <v>0</v>
      </c>
      <c r="J18" s="27">
        <f>+Table13101314[[#This Row],[Column F: 
Fixed Costs]]+Table13101314[[#This Row],[Column G: 
Per Pupil Costs]]</f>
        <v>25409006</v>
      </c>
      <c r="K18" s="32">
        <f>ROUND(+J18/F18,2)</f>
        <v>7.7</v>
      </c>
    </row>
    <row r="19" spans="1:11" s="29" customFormat="1" ht="30" x14ac:dyDescent="0.25">
      <c r="A19" s="63" t="s">
        <v>105</v>
      </c>
      <c r="B19" s="22">
        <v>8</v>
      </c>
      <c r="C19" s="22" t="s">
        <v>55</v>
      </c>
      <c r="D19" s="24" t="s">
        <v>95</v>
      </c>
      <c r="E19" s="24" t="s">
        <v>104</v>
      </c>
      <c r="F19" s="31">
        <v>3300000</v>
      </c>
      <c r="G19" s="25">
        <v>16548243</v>
      </c>
      <c r="H19" s="26">
        <v>870960</v>
      </c>
      <c r="I19" s="32">
        <f>ROUND(Table13101314[[#This Row],[Column G: 
Per Pupil Costs]]/Table13101314[[#This Row],[Column E: 
Estimated Number of Test Takers*]],2)</f>
        <v>0.26</v>
      </c>
      <c r="J19" s="27">
        <f>+Table13101314[[#This Row],[Column F: 
Fixed Costs]]+Table13101314[[#This Row],[Column G: 
Per Pupil Costs]]</f>
        <v>17419203</v>
      </c>
      <c r="K19" s="32">
        <f t="shared" ref="K19:K20" si="1">ROUND(+J19/F19,2)</f>
        <v>5.28</v>
      </c>
    </row>
    <row r="20" spans="1:11" s="29" customFormat="1" ht="30" x14ac:dyDescent="0.25">
      <c r="A20" s="63" t="s">
        <v>106</v>
      </c>
      <c r="B20" s="22">
        <v>9</v>
      </c>
      <c r="C20" s="22" t="s">
        <v>55</v>
      </c>
      <c r="D20" s="24" t="s">
        <v>95</v>
      </c>
      <c r="E20" s="24" t="s">
        <v>104</v>
      </c>
      <c r="F20" s="31">
        <v>3300000</v>
      </c>
      <c r="G20" s="25">
        <v>3684821</v>
      </c>
      <c r="H20" s="26">
        <v>0</v>
      </c>
      <c r="I20" s="32">
        <f>IFERROR(+Table13101314[[#This Row],[Column G: 
Per Pupil Costs]]/Table13101314[[#This Row],[Column E: 
Estimated Number of Test Takers*]],0)</f>
        <v>0</v>
      </c>
      <c r="J20" s="27">
        <f>+Table13101314[[#This Row],[Column F: 
Fixed Costs]]+Table13101314[[#This Row],[Column G: 
Per Pupil Costs]]</f>
        <v>3684821</v>
      </c>
      <c r="K20" s="32">
        <f t="shared" si="1"/>
        <v>1.1200000000000001</v>
      </c>
    </row>
    <row r="21" spans="1:11" s="29" customFormat="1" ht="15.75" x14ac:dyDescent="0.25">
      <c r="A21" s="63" t="s">
        <v>107</v>
      </c>
      <c r="B21" s="22">
        <v>2</v>
      </c>
      <c r="C21" s="22" t="s">
        <v>55</v>
      </c>
      <c r="D21" s="24" t="s">
        <v>95</v>
      </c>
      <c r="E21" s="24" t="s">
        <v>69</v>
      </c>
      <c r="F21" s="24" t="s">
        <v>48</v>
      </c>
      <c r="G21" s="25">
        <v>1518764</v>
      </c>
      <c r="H21" s="26">
        <v>0</v>
      </c>
      <c r="I21" s="32">
        <f>IFERROR(+Table13101314[[#This Row],[Column G: 
Per Pupil Costs]]/Table13101314[[#This Row],[Column E: 
Estimated Number of Test Takers*]],0)</f>
        <v>0</v>
      </c>
      <c r="J21" s="27">
        <f>+Table13101314[[#This Row],[Column F: 
Fixed Costs]]+Table13101314[[#This Row],[Column G: 
Per Pupil Costs]]</f>
        <v>1518764</v>
      </c>
      <c r="K21" s="26" t="s">
        <v>48</v>
      </c>
    </row>
    <row r="22" spans="1:11" s="29" customFormat="1" ht="30" x14ac:dyDescent="0.25">
      <c r="A22" s="63" t="s">
        <v>108</v>
      </c>
      <c r="B22" s="22">
        <v>7</v>
      </c>
      <c r="C22" s="22" t="s">
        <v>55</v>
      </c>
      <c r="D22" s="24" t="s">
        <v>95</v>
      </c>
      <c r="E22" s="24" t="s">
        <v>69</v>
      </c>
      <c r="F22" s="24" t="s">
        <v>48</v>
      </c>
      <c r="G22" s="25">
        <v>0</v>
      </c>
      <c r="H22" s="26">
        <v>0</v>
      </c>
      <c r="I22" s="32">
        <f>IFERROR(+Table13101314[[#This Row],[Column G: 
Per Pupil Costs]]/Table13101314[[#This Row],[Column E: 
Estimated Number of Test Takers*]],0)</f>
        <v>0</v>
      </c>
      <c r="J22" s="27">
        <f>+Table13101314[[#This Row],[Column F: 
Fixed Costs]]+Table13101314[[#This Row],[Column G: 
Per Pupil Costs]]</f>
        <v>0</v>
      </c>
      <c r="K22" s="26" t="s">
        <v>48</v>
      </c>
    </row>
    <row r="23" spans="1:11" s="29" customFormat="1" ht="15.75" x14ac:dyDescent="0.25">
      <c r="A23" s="63" t="s">
        <v>109</v>
      </c>
      <c r="B23" s="22">
        <v>8</v>
      </c>
      <c r="C23" s="22" t="s">
        <v>55</v>
      </c>
      <c r="D23" s="24" t="s">
        <v>95</v>
      </c>
      <c r="E23" s="24" t="s">
        <v>69</v>
      </c>
      <c r="F23" s="24" t="s">
        <v>48</v>
      </c>
      <c r="G23" s="25">
        <v>0</v>
      </c>
      <c r="H23" s="26">
        <v>0</v>
      </c>
      <c r="I23" s="32">
        <f>IFERROR(+Table13101314[[#This Row],[Column G: 
Per Pupil Costs]]/Table13101314[[#This Row],[Column E: 
Estimated Number of Test Takers*]],0)</f>
        <v>0</v>
      </c>
      <c r="J23" s="27">
        <f>+Table13101314[[#This Row],[Column F: 
Fixed Costs]]+Table13101314[[#This Row],[Column G: 
Per Pupil Costs]]</f>
        <v>0</v>
      </c>
      <c r="K23" s="26" t="s">
        <v>48</v>
      </c>
    </row>
    <row r="24" spans="1:11" s="29" customFormat="1" ht="30" x14ac:dyDescent="0.25">
      <c r="A24" s="63" t="s">
        <v>110</v>
      </c>
      <c r="B24" s="22">
        <v>9</v>
      </c>
      <c r="C24" s="22" t="s">
        <v>55</v>
      </c>
      <c r="D24" s="24" t="s">
        <v>95</v>
      </c>
      <c r="E24" s="24" t="s">
        <v>69</v>
      </c>
      <c r="F24" s="24" t="s">
        <v>48</v>
      </c>
      <c r="G24" s="25">
        <v>0</v>
      </c>
      <c r="H24" s="26">
        <v>0</v>
      </c>
      <c r="I24" s="32">
        <f>IFERROR(+Table13101314[[#This Row],[Column G: 
Per Pupil Costs]]/Table13101314[[#This Row],[Column E: 
Estimated Number of Test Takers*]],0)</f>
        <v>0</v>
      </c>
      <c r="J24" s="27">
        <f>+Table13101314[[#This Row],[Column F: 
Fixed Costs]]+Table13101314[[#This Row],[Column G: 
Per Pupil Costs]]</f>
        <v>0</v>
      </c>
      <c r="K24" s="26" t="s">
        <v>48</v>
      </c>
    </row>
    <row r="25" spans="1:11" s="29" customFormat="1" ht="30" x14ac:dyDescent="0.25">
      <c r="A25" s="63" t="s">
        <v>111</v>
      </c>
      <c r="B25" s="22">
        <v>7</v>
      </c>
      <c r="C25" s="22" t="s">
        <v>55</v>
      </c>
      <c r="D25" s="24" t="s">
        <v>95</v>
      </c>
      <c r="E25" s="24" t="s">
        <v>104</v>
      </c>
      <c r="F25" s="31">
        <v>39000</v>
      </c>
      <c r="G25" s="25">
        <v>700015</v>
      </c>
      <c r="H25" s="26">
        <v>0</v>
      </c>
      <c r="I25" s="32">
        <f>IFERROR(+Table13101314[[#This Row],[Column G: 
Per Pupil Costs]]/Table13101314[[#This Row],[Column E: 
Estimated Number of Test Takers*]],0)</f>
        <v>0</v>
      </c>
      <c r="J25" s="27">
        <f>+Table13101314[[#This Row],[Column F: 
Fixed Costs]]+Table13101314[[#This Row],[Column G: 
Per Pupil Costs]]</f>
        <v>700015</v>
      </c>
      <c r="K25" s="32">
        <f>ROUND(+J25/F25,2)</f>
        <v>17.95</v>
      </c>
    </row>
    <row r="26" spans="1:11" s="29" customFormat="1" ht="15.75" x14ac:dyDescent="0.25">
      <c r="A26" s="63" t="s">
        <v>112</v>
      </c>
      <c r="B26" s="22">
        <v>8</v>
      </c>
      <c r="C26" s="22" t="s">
        <v>55</v>
      </c>
      <c r="D26" s="24" t="s">
        <v>95</v>
      </c>
      <c r="E26" s="24" t="s">
        <v>104</v>
      </c>
      <c r="F26" s="31">
        <v>39000</v>
      </c>
      <c r="G26" s="25">
        <v>74647</v>
      </c>
      <c r="H26" s="26">
        <v>0</v>
      </c>
      <c r="I26" s="32">
        <f>IFERROR(+Table13101314[[#This Row],[Column G: 
Per Pupil Costs]]/Table13101314[[#This Row],[Column E: 
Estimated Number of Test Takers*]],0)</f>
        <v>0</v>
      </c>
      <c r="J26" s="27">
        <f>+Table13101314[[#This Row],[Column F: 
Fixed Costs]]+Table13101314[[#This Row],[Column G: 
Per Pupil Costs]]</f>
        <v>74647</v>
      </c>
      <c r="K26" s="32">
        <f t="shared" ref="K26:K37" si="2">ROUND(+J26/F26,2)</f>
        <v>1.91</v>
      </c>
    </row>
    <row r="27" spans="1:11" s="29" customFormat="1" ht="15.75" x14ac:dyDescent="0.25">
      <c r="A27" s="63" t="s">
        <v>113</v>
      </c>
      <c r="B27" s="22">
        <v>9</v>
      </c>
      <c r="C27" s="22" t="s">
        <v>55</v>
      </c>
      <c r="D27" s="24" t="s">
        <v>95</v>
      </c>
      <c r="E27" s="24" t="s">
        <v>104</v>
      </c>
      <c r="F27" s="31">
        <v>39000</v>
      </c>
      <c r="G27" s="25">
        <v>138195</v>
      </c>
      <c r="H27" s="26">
        <v>0</v>
      </c>
      <c r="I27" s="32">
        <f>IFERROR(+Table13101314[[#This Row],[Column G: 
Per Pupil Costs]]/Table13101314[[#This Row],[Column E: 
Estimated Number of Test Takers*]],0)</f>
        <v>0</v>
      </c>
      <c r="J27" s="27">
        <f>+Table13101314[[#This Row],[Column F: 
Fixed Costs]]+Table13101314[[#This Row],[Column G: 
Per Pupil Costs]]</f>
        <v>138195</v>
      </c>
      <c r="K27" s="32">
        <f t="shared" si="2"/>
        <v>3.54</v>
      </c>
    </row>
    <row r="28" spans="1:11" s="29" customFormat="1" ht="15.75" x14ac:dyDescent="0.25">
      <c r="A28" s="63" t="s">
        <v>158</v>
      </c>
      <c r="B28" s="22">
        <v>7</v>
      </c>
      <c r="C28" s="22" t="s">
        <v>55</v>
      </c>
      <c r="D28" s="24" t="s">
        <v>98</v>
      </c>
      <c r="E28" s="24" t="s">
        <v>99</v>
      </c>
      <c r="F28" s="31">
        <v>1472000</v>
      </c>
      <c r="G28" s="25">
        <v>5334643</v>
      </c>
      <c r="H28" s="26">
        <v>0</v>
      </c>
      <c r="I28" s="32">
        <f>IFERROR(+Table13101314[[#This Row],[Column G: 
Per Pupil Costs]]/Table13101314[[#This Row],[Column E: 
Estimated Number of Test Takers*]],0)</f>
        <v>0</v>
      </c>
      <c r="J28" s="27">
        <f>+Table13101314[[#This Row],[Column F: 
Fixed Costs]]+Table13101314[[#This Row],[Column G: 
Per Pupil Costs]]</f>
        <v>5334643</v>
      </c>
      <c r="K28" s="32">
        <f t="shared" si="2"/>
        <v>3.62</v>
      </c>
    </row>
    <row r="29" spans="1:11" s="29" customFormat="1" ht="15.75" x14ac:dyDescent="0.25">
      <c r="A29" s="66" t="s">
        <v>159</v>
      </c>
      <c r="B29" s="22">
        <v>8</v>
      </c>
      <c r="C29" s="22" t="s">
        <v>55</v>
      </c>
      <c r="D29" s="24" t="s">
        <v>98</v>
      </c>
      <c r="E29" s="24" t="s">
        <v>99</v>
      </c>
      <c r="F29" s="31">
        <v>1472000</v>
      </c>
      <c r="G29" s="25">
        <v>1093494</v>
      </c>
      <c r="H29" s="26">
        <v>208285</v>
      </c>
      <c r="I29" s="32">
        <f>ROUND(IFERROR(+Table13101314[[#This Row],[Column G: 
Per Pupil Costs]]/Table13101314[[#This Row],[Column E: 
Estimated Number of Test Takers*]],0),2)</f>
        <v>0.14000000000000001</v>
      </c>
      <c r="J29" s="27">
        <f>+Table13101314[[#This Row],[Column F: 
Fixed Costs]]+Table13101314[[#This Row],[Column G: 
Per Pupil Costs]]</f>
        <v>1301779</v>
      </c>
      <c r="K29" s="32">
        <f t="shared" si="2"/>
        <v>0.88</v>
      </c>
    </row>
    <row r="30" spans="1:11" s="29" customFormat="1" ht="15.75" x14ac:dyDescent="0.25">
      <c r="A30" s="66" t="s">
        <v>131</v>
      </c>
      <c r="B30" s="22">
        <v>9</v>
      </c>
      <c r="C30" s="22" t="s">
        <v>55</v>
      </c>
      <c r="D30" s="24" t="s">
        <v>98</v>
      </c>
      <c r="E30" s="24" t="s">
        <v>99</v>
      </c>
      <c r="F30" s="31">
        <v>1472000</v>
      </c>
      <c r="G30" s="25">
        <v>1428867</v>
      </c>
      <c r="H30" s="26">
        <v>0</v>
      </c>
      <c r="I30" s="32">
        <f>IFERROR(+Table13101314[[#This Row],[Column G: 
Per Pupil Costs]]/Table13101314[[#This Row],[Column E: 
Estimated Number of Test Takers*]],0)</f>
        <v>0</v>
      </c>
      <c r="J30" s="27">
        <f>+Table13101314[[#This Row],[Column F: 
Fixed Costs]]+Table13101314[[#This Row],[Column G: 
Per Pupil Costs]]</f>
        <v>1428867</v>
      </c>
      <c r="K30" s="32">
        <f t="shared" si="2"/>
        <v>0.97</v>
      </c>
    </row>
    <row r="31" spans="1:11" s="29" customFormat="1" ht="15.75" x14ac:dyDescent="0.25">
      <c r="A31" s="66" t="s">
        <v>202</v>
      </c>
      <c r="B31" s="22">
        <v>7</v>
      </c>
      <c r="C31" s="22" t="s">
        <v>55</v>
      </c>
      <c r="D31" s="24" t="s">
        <v>98</v>
      </c>
      <c r="E31" s="24" t="s">
        <v>99</v>
      </c>
      <c r="F31" s="31">
        <v>16500</v>
      </c>
      <c r="G31" s="25">
        <v>17579</v>
      </c>
      <c r="H31" s="26">
        <v>0</v>
      </c>
      <c r="I31" s="32">
        <f>IFERROR(+Table13101314[[#This Row],[Column G: 
Per Pupil Costs]]/Table13101314[[#This Row],[Column E: 
Estimated Number of Test Takers*]],0)</f>
        <v>0</v>
      </c>
      <c r="J31" s="27">
        <f>+Table13101314[[#This Row],[Column F: 
Fixed Costs]]+Table13101314[[#This Row],[Column G: 
Per Pupil Costs]]</f>
        <v>17579</v>
      </c>
      <c r="K31" s="32">
        <f t="shared" si="2"/>
        <v>1.07</v>
      </c>
    </row>
    <row r="32" spans="1:11" s="29" customFormat="1" ht="15.75" x14ac:dyDescent="0.25">
      <c r="A32" s="63" t="s">
        <v>203</v>
      </c>
      <c r="B32" s="22">
        <v>8</v>
      </c>
      <c r="C32" s="22" t="s">
        <v>55</v>
      </c>
      <c r="D32" s="24" t="s">
        <v>98</v>
      </c>
      <c r="E32" s="24" t="s">
        <v>99</v>
      </c>
      <c r="F32" s="31">
        <v>16500</v>
      </c>
      <c r="G32" s="25">
        <v>142507</v>
      </c>
      <c r="H32" s="26">
        <v>0</v>
      </c>
      <c r="I32" s="32">
        <f>IFERROR(+Table13101314[[#This Row],[Column G: 
Per Pupil Costs]]/Table13101314[[#This Row],[Column E: 
Estimated Number of Test Takers*]],0)</f>
        <v>0</v>
      </c>
      <c r="J32" s="27">
        <f>+Table13101314[[#This Row],[Column F: 
Fixed Costs]]+Table13101314[[#This Row],[Column G: 
Per Pupil Costs]]</f>
        <v>142507</v>
      </c>
      <c r="K32" s="32">
        <f t="shared" si="2"/>
        <v>8.64</v>
      </c>
    </row>
    <row r="33" spans="1:11" s="29" customFormat="1" ht="15.75" x14ac:dyDescent="0.25">
      <c r="A33" s="63" t="s">
        <v>204</v>
      </c>
      <c r="B33" s="22">
        <v>9</v>
      </c>
      <c r="C33" s="22" t="s">
        <v>55</v>
      </c>
      <c r="D33" s="24" t="s">
        <v>98</v>
      </c>
      <c r="E33" s="24" t="s">
        <v>99</v>
      </c>
      <c r="F33" s="31">
        <v>16500</v>
      </c>
      <c r="G33" s="25">
        <v>110010</v>
      </c>
      <c r="H33" s="26">
        <v>0</v>
      </c>
      <c r="I33" s="32">
        <f>IFERROR(+Table13101314[[#This Row],[Column G: 
Per Pupil Costs]]/Table13101314[[#This Row],[Column E: 
Estimated Number of Test Takers*]],0)</f>
        <v>0</v>
      </c>
      <c r="J33" s="27">
        <f>+Table13101314[[#This Row],[Column F: 
Fixed Costs]]+Table13101314[[#This Row],[Column G: 
Per Pupil Costs]]</f>
        <v>110010</v>
      </c>
      <c r="K33" s="32">
        <f t="shared" si="2"/>
        <v>6.67</v>
      </c>
    </row>
    <row r="34" spans="1:11" s="29" customFormat="1" ht="15.75" x14ac:dyDescent="0.25">
      <c r="A34" s="63" t="s">
        <v>163</v>
      </c>
      <c r="B34" s="22">
        <v>7</v>
      </c>
      <c r="C34" s="22" t="s">
        <v>55</v>
      </c>
      <c r="D34" s="24" t="s">
        <v>102</v>
      </c>
      <c r="E34" s="24" t="s">
        <v>62</v>
      </c>
      <c r="F34" s="31">
        <v>22500</v>
      </c>
      <c r="G34" s="25">
        <v>509065</v>
      </c>
      <c r="H34" s="26">
        <v>0</v>
      </c>
      <c r="I34" s="32">
        <f>IFERROR(+Table13101314[[#This Row],[Column G: 
Per Pupil Costs]]/Table13101314[[#This Row],[Column E: 
Estimated Number of Test Takers*]],0)</f>
        <v>0</v>
      </c>
      <c r="J34" s="27">
        <f>+Table13101314[[#This Row],[Column F: 
Fixed Costs]]+Table13101314[[#This Row],[Column G: 
Per Pupil Costs]]</f>
        <v>509065</v>
      </c>
      <c r="K34" s="32">
        <f t="shared" si="2"/>
        <v>22.63</v>
      </c>
    </row>
    <row r="35" spans="1:11" s="29" customFormat="1" ht="15.75" x14ac:dyDescent="0.25">
      <c r="A35" s="63" t="s">
        <v>164</v>
      </c>
      <c r="B35" s="22">
        <v>8</v>
      </c>
      <c r="C35" s="22" t="s">
        <v>55</v>
      </c>
      <c r="D35" s="24" t="s">
        <v>102</v>
      </c>
      <c r="E35" s="24" t="s">
        <v>62</v>
      </c>
      <c r="F35" s="31">
        <v>22500</v>
      </c>
      <c r="G35" s="25">
        <v>168320</v>
      </c>
      <c r="H35" s="26">
        <v>14637</v>
      </c>
      <c r="I35" s="32">
        <f>ROUND(IFERROR(+Table13101314[[#This Row],[Column G: 
Per Pupil Costs]]/Table13101314[[#This Row],[Column E: 
Estimated Number of Test Takers*]],0),2)</f>
        <v>0.65</v>
      </c>
      <c r="J35" s="27">
        <f>+Table13101314[[#This Row],[Column F: 
Fixed Costs]]+Table13101314[[#This Row],[Column G: 
Per Pupil Costs]]</f>
        <v>182957</v>
      </c>
      <c r="K35" s="32">
        <f t="shared" si="2"/>
        <v>8.1300000000000008</v>
      </c>
    </row>
    <row r="36" spans="1:11" s="29" customFormat="1" ht="15.75" x14ac:dyDescent="0.25">
      <c r="A36" s="63" t="s">
        <v>133</v>
      </c>
      <c r="B36" s="22">
        <v>9</v>
      </c>
      <c r="C36" s="22" t="s">
        <v>55</v>
      </c>
      <c r="D36" s="24" t="s">
        <v>102</v>
      </c>
      <c r="E36" s="34" t="s">
        <v>62</v>
      </c>
      <c r="F36" s="31">
        <v>22500</v>
      </c>
      <c r="G36" s="25">
        <v>416820</v>
      </c>
      <c r="H36" s="26">
        <v>0</v>
      </c>
      <c r="I36" s="32">
        <f>IFERROR(+Table13101314[[#This Row],[Column G: 
Per Pupil Costs]]/Table13101314[[#This Row],[Column E: 
Estimated Number of Test Takers*]],0)</f>
        <v>0</v>
      </c>
      <c r="J36" s="27">
        <f>+Table13101314[[#This Row],[Column F: 
Fixed Costs]]+Table13101314[[#This Row],[Column G: 
Per Pupil Costs]]</f>
        <v>416820</v>
      </c>
      <c r="K36" s="32">
        <f t="shared" si="2"/>
        <v>18.53</v>
      </c>
    </row>
    <row r="37" spans="1:11" s="29" customFormat="1" ht="26.45" customHeight="1" x14ac:dyDescent="0.25">
      <c r="A37" s="71" t="s">
        <v>29</v>
      </c>
      <c r="B37" s="40" t="s">
        <v>48</v>
      </c>
      <c r="C37" s="40" t="s">
        <v>48</v>
      </c>
      <c r="D37" s="40" t="s">
        <v>48</v>
      </c>
      <c r="E37" s="41" t="s">
        <v>48</v>
      </c>
      <c r="F37" s="42">
        <f>F18+F25+F28+F31+F34</f>
        <v>4850000</v>
      </c>
      <c r="G37" s="43">
        <f>SUBTOTAL(109,G9:G36)</f>
        <v>75929793</v>
      </c>
      <c r="H37" s="43">
        <f>SUBTOTAL(109,H9:H36)</f>
        <v>1093882</v>
      </c>
      <c r="I37" s="47">
        <f>ROUND(Table13101314[[#This Row],[Column G: 
Per Pupil Costs]]/Table13101314[[#This Row],[Column E: 
Estimated Number of Test Takers*]],2)</f>
        <v>0.23</v>
      </c>
      <c r="J37" s="43">
        <f>SUBTOTAL(109,J9:J36)</f>
        <v>77023675</v>
      </c>
      <c r="K37" s="44">
        <f t="shared" si="2"/>
        <v>15.88</v>
      </c>
    </row>
    <row r="38" spans="1:11" s="29" customFormat="1" ht="30" x14ac:dyDescent="0.25">
      <c r="A38" s="63" t="s">
        <v>165</v>
      </c>
      <c r="B38" s="22">
        <v>1</v>
      </c>
      <c r="C38" s="24" t="s">
        <v>48</v>
      </c>
      <c r="D38" s="24" t="s">
        <v>48</v>
      </c>
      <c r="E38" s="24" t="s">
        <v>48</v>
      </c>
      <c r="F38" s="24" t="s">
        <v>48</v>
      </c>
      <c r="G38" s="26">
        <v>3191093</v>
      </c>
      <c r="H38" s="26">
        <v>0</v>
      </c>
      <c r="I38" s="28">
        <f>ROUND(+H38/$F$51,2)</f>
        <v>0</v>
      </c>
      <c r="J38" s="27">
        <f>+Table13101314[[#This Row],[Column F: 
Fixed Costs]]+Table13101314[[#This Row],[Column G: 
Per Pupil Costs]]</f>
        <v>3191093</v>
      </c>
      <c r="K38" s="28">
        <f>ROUND(+J38/$F$51,2)</f>
        <v>2.0299999999999998</v>
      </c>
    </row>
    <row r="39" spans="1:11" s="29" customFormat="1" ht="30" x14ac:dyDescent="0.25">
      <c r="A39" s="63" t="s">
        <v>166</v>
      </c>
      <c r="B39" s="22">
        <v>2</v>
      </c>
      <c r="C39" s="24" t="s">
        <v>48</v>
      </c>
      <c r="D39" s="24" t="s">
        <v>48</v>
      </c>
      <c r="E39" s="24" t="s">
        <v>48</v>
      </c>
      <c r="F39" s="24" t="s">
        <v>48</v>
      </c>
      <c r="G39" s="26">
        <v>3229743</v>
      </c>
      <c r="H39" s="26">
        <v>0</v>
      </c>
      <c r="I39" s="28">
        <f>ROUND(+H39/$F$51,2)</f>
        <v>0</v>
      </c>
      <c r="J39" s="27">
        <f>+Table13101314[[#This Row],[Column F: 
Fixed Costs]]+Table13101314[[#This Row],[Column G: 
Per Pupil Costs]]</f>
        <v>3229743</v>
      </c>
      <c r="K39" s="28">
        <f>ROUND(+J39/$F$51,2)</f>
        <v>2.06</v>
      </c>
    </row>
    <row r="40" spans="1:11" s="29" customFormat="1" ht="30" x14ac:dyDescent="0.25">
      <c r="A40" s="63" t="s">
        <v>167</v>
      </c>
      <c r="B40" s="22">
        <v>3</v>
      </c>
      <c r="C40" s="24" t="s">
        <v>48</v>
      </c>
      <c r="D40" s="24" t="s">
        <v>48</v>
      </c>
      <c r="E40" s="24" t="s">
        <v>48</v>
      </c>
      <c r="F40" s="24" t="s">
        <v>48</v>
      </c>
      <c r="G40" s="26">
        <v>2319420</v>
      </c>
      <c r="H40" s="26">
        <v>0</v>
      </c>
      <c r="I40" s="28">
        <f>ROUND(+H40/$F$51,2)</f>
        <v>0</v>
      </c>
      <c r="J40" s="27">
        <f>+Table13101314[[#This Row],[Column F: 
Fixed Costs]]+Table13101314[[#This Row],[Column G: 
Per Pupil Costs]]</f>
        <v>2319420</v>
      </c>
      <c r="K40" s="28">
        <f>ROUND(+J40/$F$51,2)</f>
        <v>1.48</v>
      </c>
    </row>
    <row r="41" spans="1:11" s="29" customFormat="1" ht="30" x14ac:dyDescent="0.25">
      <c r="A41" s="63" t="s">
        <v>168</v>
      </c>
      <c r="B41" s="22">
        <v>4</v>
      </c>
      <c r="C41" s="24" t="s">
        <v>48</v>
      </c>
      <c r="D41" s="24" t="s">
        <v>48</v>
      </c>
      <c r="E41" s="24" t="s">
        <v>48</v>
      </c>
      <c r="F41" s="24" t="s">
        <v>48</v>
      </c>
      <c r="G41" s="26">
        <v>152555</v>
      </c>
      <c r="H41" s="26">
        <v>0</v>
      </c>
      <c r="I41" s="28">
        <f>ROUND(+H41/$F$51,2)</f>
        <v>0</v>
      </c>
      <c r="J41" s="27">
        <f>+Table13101314[[#This Row],[Column F: 
Fixed Costs]]+Table13101314[[#This Row],[Column G: 
Per Pupil Costs]]</f>
        <v>152555</v>
      </c>
      <c r="K41" s="28">
        <f>ROUND(+J41/$F$51,2)</f>
        <v>0.1</v>
      </c>
    </row>
    <row r="42" spans="1:11" s="29" customFormat="1" ht="30" x14ac:dyDescent="0.25">
      <c r="A42" s="63" t="s">
        <v>169</v>
      </c>
      <c r="B42" s="22">
        <v>5</v>
      </c>
      <c r="C42" s="24" t="s">
        <v>48</v>
      </c>
      <c r="D42" s="24" t="s">
        <v>48</v>
      </c>
      <c r="E42" s="24" t="s">
        <v>48</v>
      </c>
      <c r="F42" s="24" t="s">
        <v>48</v>
      </c>
      <c r="G42" s="26">
        <v>353574</v>
      </c>
      <c r="H42" s="26">
        <v>0</v>
      </c>
      <c r="I42" s="28">
        <f>ROUND(+H42/$F$51,2)</f>
        <v>0</v>
      </c>
      <c r="J42" s="27">
        <f>+Table13101314[[#This Row],[Column F: 
Fixed Costs]]+Table13101314[[#This Row],[Column G: 
Per Pupil Costs]]</f>
        <v>353574</v>
      </c>
      <c r="K42" s="28">
        <f>ROUND(+J42/$F$51,2)</f>
        <v>0.23</v>
      </c>
    </row>
    <row r="43" spans="1:11" s="29" customFormat="1" ht="19.149999999999999" customHeight="1" x14ac:dyDescent="0.25">
      <c r="A43" s="63" t="s">
        <v>170</v>
      </c>
      <c r="B43" s="22">
        <v>6</v>
      </c>
      <c r="C43" s="24" t="s">
        <v>48</v>
      </c>
      <c r="D43" s="24" t="s">
        <v>171</v>
      </c>
      <c r="E43" s="34" t="s">
        <v>152</v>
      </c>
      <c r="F43" s="24" t="s">
        <v>48</v>
      </c>
      <c r="G43" s="26">
        <v>1993509</v>
      </c>
      <c r="H43" s="26">
        <v>0</v>
      </c>
      <c r="I43" s="32">
        <f>IFERROR(+Table13101314[[#This Row],[Column G: 
Per Pupil Costs]]/Table13101314[[#This Row],[Column E: 
Estimated Number of Test Takers*]],0)</f>
        <v>0</v>
      </c>
      <c r="J43" s="27">
        <f>+Table13101314[[#This Row],[Column F: 
Fixed Costs]]+Table13101314[[#This Row],[Column G: 
Per Pupil Costs]]</f>
        <v>1993509</v>
      </c>
      <c r="K43" s="30" t="s">
        <v>48</v>
      </c>
    </row>
    <row r="44" spans="1:11" s="29" customFormat="1" ht="21" customHeight="1" x14ac:dyDescent="0.25">
      <c r="A44" s="69" t="s">
        <v>173</v>
      </c>
      <c r="B44" s="22">
        <v>6</v>
      </c>
      <c r="C44" s="24" t="s">
        <v>48</v>
      </c>
      <c r="D44" s="24" t="s">
        <v>171</v>
      </c>
      <c r="E44" s="34" t="s">
        <v>152</v>
      </c>
      <c r="F44" s="24" t="s">
        <v>48</v>
      </c>
      <c r="G44" s="26">
        <v>1375565</v>
      </c>
      <c r="H44" s="26">
        <v>0</v>
      </c>
      <c r="I44" s="32">
        <f>IFERROR(+Table13101314[[#This Row],[Column G: 
Per Pupil Costs]]/Table13101314[[#This Row],[Column E: 
Estimated Number of Test Takers*]],0)</f>
        <v>0</v>
      </c>
      <c r="J44" s="27">
        <f>+Table13101314[[#This Row],[Column F: 
Fixed Costs]]+Table13101314[[#This Row],[Column G: 
Per Pupil Costs]]</f>
        <v>1375565</v>
      </c>
      <c r="K44" s="30" t="s">
        <v>48</v>
      </c>
    </row>
    <row r="45" spans="1:11" s="29" customFormat="1" ht="21" customHeight="1" x14ac:dyDescent="0.25">
      <c r="A45" s="29" t="s">
        <v>174</v>
      </c>
      <c r="B45" s="22">
        <v>7</v>
      </c>
      <c r="C45" s="22" t="s">
        <v>55</v>
      </c>
      <c r="D45" s="24" t="s">
        <v>171</v>
      </c>
      <c r="E45" s="34" t="s">
        <v>152</v>
      </c>
      <c r="F45" s="31">
        <v>1552000</v>
      </c>
      <c r="G45" s="26">
        <v>4914484</v>
      </c>
      <c r="H45" s="26">
        <v>0</v>
      </c>
      <c r="I45" s="32">
        <f>IFERROR(+Table13101314[[#This Row],[Column G: 
Per Pupil Costs]]/Table13101314[[#This Row],[Column E: 
Estimated Number of Test Takers*]],0)</f>
        <v>0</v>
      </c>
      <c r="J45" s="27">
        <f>+Table13101314[[#This Row],[Column F: 
Fixed Costs]]+Table13101314[[#This Row],[Column G: 
Per Pupil Costs]]</f>
        <v>4914484</v>
      </c>
      <c r="K45" s="32">
        <f t="shared" ref="K45:K52" si="3">ROUND(+J45/F45,2)</f>
        <v>3.17</v>
      </c>
    </row>
    <row r="46" spans="1:11" s="29" customFormat="1" ht="21" customHeight="1" x14ac:dyDescent="0.2">
      <c r="A46" s="8" t="s">
        <v>175</v>
      </c>
      <c r="B46" s="22">
        <v>8</v>
      </c>
      <c r="C46" s="22" t="s">
        <v>55</v>
      </c>
      <c r="D46" s="24" t="s">
        <v>171</v>
      </c>
      <c r="E46" s="34" t="s">
        <v>152</v>
      </c>
      <c r="F46" s="31">
        <v>1552000</v>
      </c>
      <c r="G46" s="26">
        <v>5120073</v>
      </c>
      <c r="H46" s="26">
        <v>269477</v>
      </c>
      <c r="I46" s="32">
        <f>IFERROR(+Table13101314[[#This Row],[Column G: 
Per Pupil Costs]]/Table13101314[[#This Row],[Column E: 
Estimated Number of Test Takers*]],0)</f>
        <v>0.17363208762886598</v>
      </c>
      <c r="J46" s="27">
        <f>+Table13101314[[#This Row],[Column F: 
Fixed Costs]]+Table13101314[[#This Row],[Column G: 
Per Pupil Costs]]</f>
        <v>5389550</v>
      </c>
      <c r="K46" s="32">
        <f t="shared" si="3"/>
        <v>3.47</v>
      </c>
    </row>
    <row r="47" spans="1:11" s="29" customFormat="1" ht="21" customHeight="1" x14ac:dyDescent="0.2">
      <c r="A47" s="8" t="s">
        <v>176</v>
      </c>
      <c r="B47" s="22">
        <v>9</v>
      </c>
      <c r="C47" s="22" t="s">
        <v>55</v>
      </c>
      <c r="D47" s="24" t="s">
        <v>171</v>
      </c>
      <c r="E47" s="34" t="s">
        <v>152</v>
      </c>
      <c r="F47" s="31">
        <v>1552000</v>
      </c>
      <c r="G47" s="26">
        <v>506736</v>
      </c>
      <c r="H47" s="26">
        <v>0</v>
      </c>
      <c r="I47" s="32">
        <f>ROUND(IFERROR(+Table13101314[[#This Row],[Column G: 
Per Pupil Costs]]/Table13101314[[#This Row],[Column E: 
Estimated Number of Test Takers*]],0),2)</f>
        <v>0</v>
      </c>
      <c r="J47" s="27">
        <f>+Table13101314[[#This Row],[Column F: 
Fixed Costs]]+Table13101314[[#This Row],[Column G: 
Per Pupil Costs]]</f>
        <v>506736</v>
      </c>
      <c r="K47" s="32">
        <f t="shared" si="3"/>
        <v>0.33</v>
      </c>
    </row>
    <row r="48" spans="1:11" s="29" customFormat="1" ht="21" customHeight="1" x14ac:dyDescent="0.2">
      <c r="A48" s="8" t="s">
        <v>188</v>
      </c>
      <c r="B48" s="22">
        <v>7</v>
      </c>
      <c r="C48" s="22" t="s">
        <v>55</v>
      </c>
      <c r="D48" s="24" t="s">
        <v>171</v>
      </c>
      <c r="E48" s="34" t="s">
        <v>152</v>
      </c>
      <c r="F48" s="31">
        <v>16750</v>
      </c>
      <c r="G48" s="26">
        <v>54956</v>
      </c>
      <c r="H48" s="26">
        <v>0</v>
      </c>
      <c r="I48" s="32">
        <f>IFERROR(+Table13101314[[#This Row],[Column G: 
Per Pupil Costs]]/Table13101314[[#This Row],[Column E: 
Estimated Number of Test Takers*]],0)</f>
        <v>0</v>
      </c>
      <c r="J48" s="27">
        <f>+Table13101314[[#This Row],[Column F: 
Fixed Costs]]+Table13101314[[#This Row],[Column G: 
Per Pupil Costs]]</f>
        <v>54956</v>
      </c>
      <c r="K48" s="32">
        <f t="shared" si="3"/>
        <v>3.28</v>
      </c>
    </row>
    <row r="49" spans="1:14" s="29" customFormat="1" ht="21" customHeight="1" x14ac:dyDescent="0.2">
      <c r="A49" s="8" t="s">
        <v>189</v>
      </c>
      <c r="B49" s="22">
        <v>8</v>
      </c>
      <c r="C49" s="22" t="s">
        <v>55</v>
      </c>
      <c r="D49" s="24" t="s">
        <v>171</v>
      </c>
      <c r="E49" s="34" t="s">
        <v>152</v>
      </c>
      <c r="F49" s="31">
        <v>16750</v>
      </c>
      <c r="G49" s="26">
        <v>376562</v>
      </c>
      <c r="H49" s="26">
        <v>19819</v>
      </c>
      <c r="I49" s="32">
        <f>ROUND(IFERROR(+Table13101314[[#This Row],[Column G: 
Per Pupil Costs]]/Table13101314[[#This Row],[Column E: 
Estimated Number of Test Takers*]],0),2)</f>
        <v>1.18</v>
      </c>
      <c r="J49" s="27">
        <f>+Table13101314[[#This Row],[Column F: 
Fixed Costs]]+Table13101314[[#This Row],[Column G: 
Per Pupil Costs]]</f>
        <v>396381</v>
      </c>
      <c r="K49" s="32">
        <f t="shared" si="3"/>
        <v>23.66</v>
      </c>
    </row>
    <row r="50" spans="1:14" s="29" customFormat="1" ht="21" customHeight="1" x14ac:dyDescent="0.2">
      <c r="A50" s="8" t="s">
        <v>190</v>
      </c>
      <c r="B50" s="22">
        <v>9</v>
      </c>
      <c r="C50" s="22" t="s">
        <v>55</v>
      </c>
      <c r="D50" s="24" t="s">
        <v>171</v>
      </c>
      <c r="E50" s="34" t="s">
        <v>152</v>
      </c>
      <c r="F50" s="31">
        <v>16750</v>
      </c>
      <c r="G50" s="26">
        <v>123015</v>
      </c>
      <c r="H50" s="26">
        <v>0</v>
      </c>
      <c r="I50" s="32">
        <f>IFERROR(+Table13101314[[#This Row],[Column G: 
Per Pupil Costs]]/Table13101314[[#This Row],[Column E: 
Estimated Number of Test Takers*]],0)</f>
        <v>0</v>
      </c>
      <c r="J50" s="27">
        <f>+Table13101314[[#This Row],[Column F: 
Fixed Costs]]+Table13101314[[#This Row],[Column G: 
Per Pupil Costs]]</f>
        <v>123015</v>
      </c>
      <c r="K50" s="32">
        <f t="shared" si="3"/>
        <v>7.34</v>
      </c>
    </row>
    <row r="51" spans="1:14" ht="21" customHeight="1" x14ac:dyDescent="0.2">
      <c r="A51" s="8" t="s">
        <v>34</v>
      </c>
      <c r="B51" s="40" t="s">
        <v>48</v>
      </c>
      <c r="C51" s="40" t="s">
        <v>48</v>
      </c>
      <c r="D51" s="45" t="s">
        <v>48</v>
      </c>
      <c r="E51" s="46" t="s">
        <v>48</v>
      </c>
      <c r="F51" s="42">
        <f>F45+F48</f>
        <v>1568750</v>
      </c>
      <c r="G51" s="33">
        <f>SUBTOTAL(109,G38:G50)</f>
        <v>23711285</v>
      </c>
      <c r="H51" s="33">
        <f>SUBTOTAL(109,H38:H50)</f>
        <v>289296</v>
      </c>
      <c r="I51" s="44">
        <f>ROUND(Table13101314[[#This Row],[Column G: 
Per Pupil Costs]]/Table13101314[[#This Row],[Column E: 
Estimated Number of Test Takers*]],2)</f>
        <v>0.18</v>
      </c>
      <c r="J51" s="33">
        <f>SUBTOTAL(109,J38:J50)</f>
        <v>24000581</v>
      </c>
      <c r="K51" s="44">
        <f t="shared" si="3"/>
        <v>15.3</v>
      </c>
    </row>
    <row r="52" spans="1:14" s="29" customFormat="1" ht="24.6" customHeight="1" x14ac:dyDescent="0.2">
      <c r="A52" s="8" t="s">
        <v>200</v>
      </c>
      <c r="B52" s="22" t="s">
        <v>48</v>
      </c>
      <c r="C52" s="22" t="s">
        <v>48</v>
      </c>
      <c r="D52" s="22" t="s">
        <v>48</v>
      </c>
      <c r="E52" s="22" t="s">
        <v>48</v>
      </c>
      <c r="F52" s="42">
        <f>F37+F51</f>
        <v>6418750</v>
      </c>
      <c r="G52" s="26">
        <f>G37+G51</f>
        <v>99641078</v>
      </c>
      <c r="H52" s="26">
        <f>H37+H51</f>
        <v>1383178</v>
      </c>
      <c r="I52" s="32">
        <f>ROUND(Table13101314[[#Totals],[Column G: 
Per Pupil Costs]]/Table13101314[[#Totals],[Column E: 
Estimated Number of Test Takers*]],2)</f>
        <v>0.22</v>
      </c>
      <c r="J52" s="26">
        <f>J37+J51</f>
        <v>101024256</v>
      </c>
      <c r="K52" s="44">
        <f t="shared" si="3"/>
        <v>15.74</v>
      </c>
    </row>
    <row r="53" spans="1:14" s="6" customFormat="1" ht="15.75" x14ac:dyDescent="0.2">
      <c r="A53" s="29" t="s">
        <v>206</v>
      </c>
      <c r="B53" s="23"/>
      <c r="C53" s="23"/>
      <c r="D53" s="23"/>
      <c r="E53" s="23"/>
      <c r="F53" s="35"/>
      <c r="G53" s="25"/>
      <c r="H53" s="26"/>
      <c r="I53" s="32"/>
      <c r="J53" s="33"/>
      <c r="K53" s="32"/>
      <c r="M53" s="8"/>
      <c r="N53" s="8"/>
    </row>
    <row r="54" spans="1:14" s="6" customFormat="1" ht="15.75" x14ac:dyDescent="0.25">
      <c r="A54" s="8" t="s">
        <v>207</v>
      </c>
      <c r="B54" s="8"/>
      <c r="C54" s="20"/>
      <c r="D54" s="20"/>
      <c r="E54" s="20"/>
      <c r="F54" s="20"/>
      <c r="G54" s="20"/>
      <c r="H54" s="19"/>
      <c r="K54" s="7"/>
      <c r="M54" s="8"/>
      <c r="N54" s="8"/>
    </row>
    <row r="55" spans="1:14" s="6" customFormat="1" ht="15.75" hidden="1" x14ac:dyDescent="0.25">
      <c r="A55" s="5"/>
      <c r="B55" s="8"/>
      <c r="C55" s="20"/>
      <c r="D55" s="20"/>
      <c r="E55" s="20"/>
      <c r="F55" s="20"/>
      <c r="G55" s="20"/>
      <c r="H55" s="19"/>
      <c r="K55" s="7"/>
      <c r="M55" s="8"/>
      <c r="N55" s="8"/>
    </row>
    <row r="56" spans="1:14" s="3" customFormat="1" ht="15.75" hidden="1" x14ac:dyDescent="0.25">
      <c r="A56" s="5"/>
      <c r="B56" s="8"/>
      <c r="C56" s="20"/>
      <c r="D56" s="20"/>
      <c r="E56" s="20"/>
      <c r="F56" s="20"/>
      <c r="G56" s="20"/>
      <c r="H56" s="19"/>
      <c r="I56" s="6"/>
      <c r="J56" s="6"/>
      <c r="K56" s="7"/>
      <c r="M56" s="5"/>
      <c r="N56" s="5"/>
    </row>
    <row r="57" spans="1:14" ht="13.15" hidden="1" customHeight="1" x14ac:dyDescent="0.2"/>
    <row r="58" spans="1:14" ht="13.15" hidden="1" customHeight="1" x14ac:dyDescent="0.2"/>
    <row r="59" spans="1:14" ht="13.15" hidden="1" customHeight="1" x14ac:dyDescent="0.2"/>
    <row r="60" spans="1:14" ht="13.15" hidden="1" customHeight="1" x14ac:dyDescent="0.2"/>
    <row r="61" spans="1:14" ht="13.15" hidden="1" customHeight="1" x14ac:dyDescent="0.2"/>
    <row r="62" spans="1:14" ht="13.15" hidden="1" customHeight="1" x14ac:dyDescent="0.2"/>
    <row r="63" spans="1:14" ht="13.15" hidden="1" customHeight="1" x14ac:dyDescent="0.2"/>
  </sheetData>
  <pageMargins left="0.5" right="0.25" top="1" bottom="0.75" header="0.3" footer="0.3"/>
  <pageSetup scale="68"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A9:F15 A28:F28 A18:D27 F18:F25 F27 F26 J26 A30:F31 A29:F29 J29 A33:F34 A32:F32 J32 A37:H37 A35:F35 J35 A17:F17 B16:F16 A45:F50 B44:F44 B43:F43 J9:J15 J28 J18 J27 J30:J31 J33:J34 A36:F36 J36 J17 J16 A38:F42 J38:J42 J45:J46 J44 J43 J20:J25 J19 J37 J48 J47 J50 J49 I50 I48 I20:I25 I43 I44 I45:I46 I38:I42 I16 I17 I36 I33:I34 I30:I31 I27 I18 I28 I9:I15 I32 I29 I26 I35 I19 I37 I47 I49 I51" formula="1"/>
    <ignoredError sqref="E18:E27" twoDigitTextYear="1" formula="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O37"/>
  <sheetViews>
    <sheetView showGridLines="0" zoomScale="99" zoomScaleNormal="99" workbookViewId="0"/>
  </sheetViews>
  <sheetFormatPr defaultColWidth="0" defaultRowHeight="12.75" zeroHeight="1" x14ac:dyDescent="0.2"/>
  <cols>
    <col min="1" max="1" width="43" style="9" customWidth="1"/>
    <col min="2" max="2" width="44.28515625" style="9" customWidth="1"/>
    <col min="3" max="3" width="10" style="9" bestFit="1" customWidth="1"/>
    <col min="4" max="4" width="9.140625" style="9" bestFit="1" customWidth="1"/>
    <col min="5" max="5" width="8.7109375" style="9" bestFit="1" customWidth="1"/>
    <col min="6" max="6" width="13.7109375" style="10" bestFit="1" customWidth="1"/>
    <col min="7" max="7" width="15.7109375" style="9" customWidth="1"/>
    <col min="8" max="8" width="17" style="9" customWidth="1"/>
    <col min="9" max="9" width="13.85546875" style="9" customWidth="1"/>
    <col min="10" max="16384" width="8.85546875" style="9" hidden="1"/>
  </cols>
  <sheetData>
    <row r="1" spans="1:15" ht="23.25" x14ac:dyDescent="0.35">
      <c r="A1" s="91" t="s">
        <v>36</v>
      </c>
      <c r="B1" s="5"/>
      <c r="C1" s="5"/>
      <c r="D1" s="5"/>
      <c r="E1" s="5"/>
      <c r="F1" s="1"/>
      <c r="G1" s="5"/>
      <c r="H1" s="5"/>
      <c r="I1" s="5"/>
      <c r="O1" s="86"/>
    </row>
    <row r="2" spans="1:15" ht="15.75" x14ac:dyDescent="0.25">
      <c r="A2" s="92" t="s">
        <v>213</v>
      </c>
      <c r="B2" s="5"/>
      <c r="C2" s="5"/>
      <c r="D2" s="5"/>
      <c r="E2" s="5"/>
      <c r="F2" s="1"/>
      <c r="G2" s="5"/>
      <c r="H2" s="5"/>
      <c r="I2" s="5"/>
      <c r="O2" s="86"/>
    </row>
    <row r="3" spans="1:15" ht="15.75" x14ac:dyDescent="0.25">
      <c r="A3" s="8" t="s">
        <v>1</v>
      </c>
      <c r="B3"/>
      <c r="C3"/>
      <c r="D3"/>
      <c r="E3"/>
      <c r="F3"/>
      <c r="G3"/>
      <c r="H3"/>
      <c r="I3"/>
    </row>
    <row r="4" spans="1:15" ht="15.75" x14ac:dyDescent="0.25">
      <c r="A4" s="59" t="s">
        <v>2</v>
      </c>
      <c r="B4"/>
      <c r="C4"/>
      <c r="D4"/>
      <c r="E4"/>
      <c r="F4"/>
      <c r="G4"/>
      <c r="H4"/>
      <c r="I4"/>
    </row>
    <row r="5" spans="1:15" s="52" customFormat="1" ht="15.75" x14ac:dyDescent="0.25">
      <c r="A5" s="8" t="s">
        <v>3</v>
      </c>
      <c r="B5"/>
      <c r="C5"/>
      <c r="D5"/>
      <c r="E5"/>
      <c r="F5"/>
      <c r="G5"/>
      <c r="H5"/>
      <c r="I5"/>
    </row>
    <row r="6" spans="1:15" s="52" customFormat="1" ht="15.75" x14ac:dyDescent="0.25">
      <c r="A6" s="12" t="s">
        <v>4</v>
      </c>
      <c r="B6"/>
      <c r="C6"/>
      <c r="D6"/>
      <c r="E6"/>
      <c r="F6"/>
      <c r="G6"/>
      <c r="H6"/>
      <c r="I6"/>
    </row>
    <row r="7" spans="1:15" ht="19.899999999999999" customHeight="1" x14ac:dyDescent="0.25">
      <c r="A7" s="8" t="s">
        <v>37</v>
      </c>
      <c r="B7" s="8"/>
      <c r="C7"/>
      <c r="D7"/>
      <c r="E7"/>
      <c r="F7"/>
      <c r="G7"/>
      <c r="H7"/>
      <c r="I7"/>
    </row>
    <row r="8" spans="1:15" s="55" customFormat="1" ht="60" x14ac:dyDescent="0.2">
      <c r="A8" s="13" t="s">
        <v>38</v>
      </c>
      <c r="B8" s="13" t="s">
        <v>39</v>
      </c>
      <c r="C8" s="13" t="s">
        <v>40</v>
      </c>
      <c r="D8" s="14" t="s">
        <v>41</v>
      </c>
      <c r="E8" s="14" t="s">
        <v>42</v>
      </c>
      <c r="F8" s="14" t="s">
        <v>43</v>
      </c>
      <c r="G8" s="14" t="s">
        <v>44</v>
      </c>
      <c r="H8" s="14" t="s">
        <v>45</v>
      </c>
      <c r="I8" s="13" t="s">
        <v>21</v>
      </c>
    </row>
    <row r="9" spans="1:15" ht="15" x14ac:dyDescent="0.2">
      <c r="A9" s="8" t="s">
        <v>46</v>
      </c>
      <c r="B9" s="8" t="s">
        <v>47</v>
      </c>
      <c r="C9" s="20">
        <v>1</v>
      </c>
      <c r="D9" s="20" t="s">
        <v>48</v>
      </c>
      <c r="E9" s="20" t="s">
        <v>48</v>
      </c>
      <c r="F9" s="20" t="s">
        <v>48</v>
      </c>
      <c r="G9" s="19">
        <v>4681625</v>
      </c>
      <c r="H9" s="19">
        <v>49730</v>
      </c>
      <c r="I9" s="19">
        <f>SUM(Table4218[[#This Row],[Fiscal Year
2015–16
(7/1/15 to 6/30/16)]:[Fiscal Year 2016-17 (7/1/16 to 12/31/16)]])</f>
        <v>4731355</v>
      </c>
    </row>
    <row r="10" spans="1:15" ht="30" x14ac:dyDescent="0.2">
      <c r="A10" s="60" t="s">
        <v>46</v>
      </c>
      <c r="B10" s="13" t="s">
        <v>49</v>
      </c>
      <c r="C10" s="20">
        <v>2</v>
      </c>
      <c r="D10" s="20" t="s">
        <v>48</v>
      </c>
      <c r="E10" s="20" t="s">
        <v>48</v>
      </c>
      <c r="F10" s="20" t="s">
        <v>48</v>
      </c>
      <c r="G10" s="19">
        <v>6572439</v>
      </c>
      <c r="H10" s="19">
        <v>137603</v>
      </c>
      <c r="I10" s="19">
        <f>SUM(Table4218[[#This Row],[Fiscal Year
2015–16
(7/1/15 to 6/30/16)]:[Fiscal Year 2016-17 (7/1/16 to 12/31/16)]])</f>
        <v>6710042</v>
      </c>
    </row>
    <row r="11" spans="1:15" ht="15" x14ac:dyDescent="0.2">
      <c r="A11" s="8" t="s">
        <v>46</v>
      </c>
      <c r="B11" s="8" t="s">
        <v>50</v>
      </c>
      <c r="C11" s="20">
        <v>3</v>
      </c>
      <c r="D11" s="20" t="s">
        <v>48</v>
      </c>
      <c r="E11" s="20" t="s">
        <v>48</v>
      </c>
      <c r="F11" s="20" t="s">
        <v>48</v>
      </c>
      <c r="G11" s="19">
        <v>5027486</v>
      </c>
      <c r="H11" s="19">
        <v>476627</v>
      </c>
      <c r="I11" s="19">
        <f>SUM(Table4218[[#This Row],[Fiscal Year
2015–16
(7/1/15 to 6/30/16)]:[Fiscal Year 2016-17 (7/1/16 to 12/31/16)]])</f>
        <v>5504113</v>
      </c>
    </row>
    <row r="12" spans="1:15" ht="15" x14ac:dyDescent="0.2">
      <c r="A12" s="8" t="s">
        <v>46</v>
      </c>
      <c r="B12" s="8" t="s">
        <v>51</v>
      </c>
      <c r="C12" s="20">
        <v>4</v>
      </c>
      <c r="D12" s="20" t="s">
        <v>48</v>
      </c>
      <c r="E12" s="20" t="s">
        <v>48</v>
      </c>
      <c r="F12" s="20" t="s">
        <v>48</v>
      </c>
      <c r="G12" s="19">
        <v>99832</v>
      </c>
      <c r="H12" s="19">
        <v>0</v>
      </c>
      <c r="I12" s="19">
        <f>SUM(Table4218[[#This Row],[Fiscal Year
2015–16
(7/1/15 to 6/30/16)]:[Fiscal Year 2016-17 (7/1/16 to 12/31/16)]])</f>
        <v>99832</v>
      </c>
    </row>
    <row r="13" spans="1:15" ht="15" x14ac:dyDescent="0.2">
      <c r="A13" s="8" t="s">
        <v>46</v>
      </c>
      <c r="B13" s="8" t="s">
        <v>52</v>
      </c>
      <c r="C13" s="20">
        <v>5</v>
      </c>
      <c r="D13" s="20" t="s">
        <v>48</v>
      </c>
      <c r="E13" s="20" t="s">
        <v>48</v>
      </c>
      <c r="F13" s="20" t="s">
        <v>48</v>
      </c>
      <c r="G13" s="19">
        <v>171457</v>
      </c>
      <c r="H13" s="19">
        <v>0</v>
      </c>
      <c r="I13" s="19">
        <f>SUM(Table4218[[#This Row],[Fiscal Year
2015–16
(7/1/15 to 6/30/16)]:[Fiscal Year 2016-17 (7/1/16 to 12/31/16)]])</f>
        <v>171457</v>
      </c>
    </row>
    <row r="14" spans="1:15" ht="15" x14ac:dyDescent="0.2">
      <c r="A14" s="8" t="s">
        <v>53</v>
      </c>
      <c r="B14" s="8" t="s">
        <v>54</v>
      </c>
      <c r="C14" s="20">
        <v>6</v>
      </c>
      <c r="D14" s="20" t="s">
        <v>55</v>
      </c>
      <c r="E14" s="20" t="s">
        <v>56</v>
      </c>
      <c r="F14" s="20" t="s">
        <v>48</v>
      </c>
      <c r="G14" s="19">
        <v>998419</v>
      </c>
      <c r="H14" s="19">
        <v>710064</v>
      </c>
      <c r="I14" s="19">
        <f>SUM(Table4218[[#This Row],[Fiscal Year
2015–16
(7/1/15 to 6/30/16)]:[Fiscal Year 2016-17 (7/1/16 to 12/31/16)]])</f>
        <v>1708483</v>
      </c>
    </row>
    <row r="15" spans="1:15" ht="90" x14ac:dyDescent="0.2">
      <c r="A15" s="60" t="s">
        <v>53</v>
      </c>
      <c r="B15" s="13" t="s">
        <v>57</v>
      </c>
      <c r="C15" s="20">
        <v>6</v>
      </c>
      <c r="D15" s="20" t="s">
        <v>55</v>
      </c>
      <c r="E15" s="20" t="s">
        <v>56</v>
      </c>
      <c r="F15" s="20" t="s">
        <v>48</v>
      </c>
      <c r="G15" s="19">
        <v>150000</v>
      </c>
      <c r="H15" s="19">
        <v>248164</v>
      </c>
      <c r="I15" s="19">
        <f>SUM(Table4218[[#This Row],[Fiscal Year
2015–16
(7/1/15 to 6/30/16)]:[Fiscal Year 2016-17 (7/1/16 to 12/31/16)]])</f>
        <v>398164</v>
      </c>
    </row>
    <row r="16" spans="1:15" ht="15" x14ac:dyDescent="0.2">
      <c r="A16" s="8" t="s">
        <v>53</v>
      </c>
      <c r="B16" s="8" t="s">
        <v>58</v>
      </c>
      <c r="C16" s="20">
        <v>6</v>
      </c>
      <c r="D16" s="20" t="s">
        <v>55</v>
      </c>
      <c r="E16" s="20" t="s">
        <v>59</v>
      </c>
      <c r="F16" s="20" t="s">
        <v>48</v>
      </c>
      <c r="G16" s="19">
        <v>1176838</v>
      </c>
      <c r="H16" s="19">
        <v>561453</v>
      </c>
      <c r="I16" s="19">
        <f>SUM(Table4218[[#This Row],[Fiscal Year
2015–16
(7/1/15 to 6/30/16)]:[Fiscal Year 2016-17 (7/1/16 to 12/31/16)]])</f>
        <v>1738291</v>
      </c>
    </row>
    <row r="17" spans="1:9" ht="15" x14ac:dyDescent="0.2">
      <c r="A17" s="8" t="s">
        <v>53</v>
      </c>
      <c r="B17" s="8" t="s">
        <v>60</v>
      </c>
      <c r="C17" s="20">
        <v>6</v>
      </c>
      <c r="D17" s="20" t="s">
        <v>55</v>
      </c>
      <c r="E17" s="20" t="s">
        <v>59</v>
      </c>
      <c r="F17" s="20" t="s">
        <v>48</v>
      </c>
      <c r="G17" s="19">
        <v>341645</v>
      </c>
      <c r="H17" s="19">
        <v>306873</v>
      </c>
      <c r="I17" s="19">
        <f>SUM(Table4218[[#This Row],[Fiscal Year
2015–16
(7/1/15 to 6/30/16)]:[Fiscal Year 2016-17 (7/1/16 to 12/31/16)]])</f>
        <v>648518</v>
      </c>
    </row>
    <row r="18" spans="1:9" ht="15" x14ac:dyDescent="0.2">
      <c r="A18" s="8" t="s">
        <v>53</v>
      </c>
      <c r="B18" s="8" t="s">
        <v>61</v>
      </c>
      <c r="C18" s="20">
        <v>6</v>
      </c>
      <c r="D18" s="20" t="s">
        <v>55</v>
      </c>
      <c r="E18" s="20" t="s">
        <v>62</v>
      </c>
      <c r="F18" s="20" t="s">
        <v>48</v>
      </c>
      <c r="G18" s="19">
        <v>717593</v>
      </c>
      <c r="H18" s="19">
        <v>1169013</v>
      </c>
      <c r="I18" s="19">
        <f>SUM(Table4218[[#This Row],[Fiscal Year
2015–16
(7/1/15 to 6/30/16)]:[Fiscal Year 2016-17 (7/1/16 to 12/31/16)]])</f>
        <v>1886606</v>
      </c>
    </row>
    <row r="19" spans="1:9" ht="30" x14ac:dyDescent="0.2">
      <c r="A19" s="13" t="s">
        <v>63</v>
      </c>
      <c r="B19" s="8" t="s">
        <v>64</v>
      </c>
      <c r="C19" s="20" t="s">
        <v>65</v>
      </c>
      <c r="D19" s="20" t="s">
        <v>55</v>
      </c>
      <c r="E19" s="20" t="s">
        <v>56</v>
      </c>
      <c r="F19" s="53">
        <v>3104000</v>
      </c>
      <c r="G19" s="19">
        <v>46372147</v>
      </c>
      <c r="H19" s="19">
        <v>5999112</v>
      </c>
      <c r="I19" s="19">
        <f>SUM(Table4218[[#This Row],[Fiscal Year
2015–16
(7/1/15 to 6/30/16)]:[Fiscal Year 2016-17 (7/1/16 to 12/31/16)]])</f>
        <v>52371259</v>
      </c>
    </row>
    <row r="20" spans="1:9" ht="30" x14ac:dyDescent="0.2">
      <c r="A20" s="13" t="s">
        <v>66</v>
      </c>
      <c r="B20" s="8" t="s">
        <v>67</v>
      </c>
      <c r="C20" s="20" t="s">
        <v>68</v>
      </c>
      <c r="D20" s="20" t="s">
        <v>55</v>
      </c>
      <c r="E20" s="20" t="s">
        <v>69</v>
      </c>
      <c r="F20" s="20" t="s">
        <v>48</v>
      </c>
      <c r="G20" s="19">
        <v>1672029</v>
      </c>
      <c r="H20" s="19">
        <v>2129</v>
      </c>
      <c r="I20" s="19">
        <f>SUM(Table4218[[#This Row],[Fiscal Year
2015–16
(7/1/15 to 6/30/16)]:[Fiscal Year 2016-17 (7/1/16 to 12/31/16)]])</f>
        <v>1674158</v>
      </c>
    </row>
    <row r="21" spans="1:9" ht="30" x14ac:dyDescent="0.2">
      <c r="A21" s="13" t="s">
        <v>63</v>
      </c>
      <c r="B21" s="8" t="s">
        <v>70</v>
      </c>
      <c r="C21" s="20" t="s">
        <v>65</v>
      </c>
      <c r="D21" s="20" t="s">
        <v>55</v>
      </c>
      <c r="E21" s="20" t="s">
        <v>56</v>
      </c>
      <c r="F21" s="53">
        <v>39000</v>
      </c>
      <c r="G21" s="19">
        <v>1039582</v>
      </c>
      <c r="H21" s="19">
        <v>33294</v>
      </c>
      <c r="I21" s="19">
        <f>SUM(Table4218[[#This Row],[Fiscal Year
2015–16
(7/1/15 to 6/30/16)]:[Fiscal Year 2016-17 (7/1/16 to 12/31/16)]])</f>
        <v>1072876</v>
      </c>
    </row>
    <row r="22" spans="1:9" ht="30" x14ac:dyDescent="0.2">
      <c r="A22" s="13" t="s">
        <v>63</v>
      </c>
      <c r="B22" s="8" t="s">
        <v>64</v>
      </c>
      <c r="C22" s="20" t="s">
        <v>65</v>
      </c>
      <c r="D22" s="20" t="s">
        <v>71</v>
      </c>
      <c r="E22" s="20" t="s">
        <v>56</v>
      </c>
      <c r="F22" s="53">
        <v>96000</v>
      </c>
      <c r="G22" s="19">
        <v>1727409</v>
      </c>
      <c r="H22" s="19">
        <v>228932</v>
      </c>
      <c r="I22" s="19">
        <f>SUM(Table4218[[#This Row],[Fiscal Year
2015–16
(7/1/15 to 6/30/16)]:[Fiscal Year 2016-17 (7/1/16 to 12/31/16)]])</f>
        <v>1956341</v>
      </c>
    </row>
    <row r="23" spans="1:9" ht="30" x14ac:dyDescent="0.2">
      <c r="A23" s="13" t="s">
        <v>63</v>
      </c>
      <c r="B23" s="8" t="s">
        <v>70</v>
      </c>
      <c r="C23" s="20" t="s">
        <v>65</v>
      </c>
      <c r="D23" s="20" t="s">
        <v>71</v>
      </c>
      <c r="E23" s="20" t="s">
        <v>56</v>
      </c>
      <c r="F23" s="53">
        <v>4000</v>
      </c>
      <c r="G23" s="19">
        <v>120855</v>
      </c>
      <c r="H23" s="19">
        <v>2705</v>
      </c>
      <c r="I23" s="19">
        <f>SUM(Table4218[[#This Row],[Fiscal Year
2015–16
(7/1/15 to 6/30/16)]:[Fiscal Year 2016-17 (7/1/16 to 12/31/16)]])</f>
        <v>123560</v>
      </c>
    </row>
    <row r="24" spans="1:9" ht="30" x14ac:dyDescent="0.2">
      <c r="A24" s="13" t="s">
        <v>63</v>
      </c>
      <c r="B24" s="8" t="s">
        <v>72</v>
      </c>
      <c r="C24" s="20" t="s">
        <v>65</v>
      </c>
      <c r="D24" s="20" t="s">
        <v>71</v>
      </c>
      <c r="E24" s="20" t="s">
        <v>73</v>
      </c>
      <c r="F24" s="53">
        <v>1380000</v>
      </c>
      <c r="G24" s="19">
        <v>3711073</v>
      </c>
      <c r="H24" s="19">
        <v>325353</v>
      </c>
      <c r="I24" s="19">
        <f>SUM(Table4218[[#This Row],[Fiscal Year
2015–16
(7/1/15 to 6/30/16)]:[Fiscal Year 2016-17 (7/1/16 to 12/31/16)]])</f>
        <v>4036426</v>
      </c>
    </row>
    <row r="25" spans="1:9" ht="30" x14ac:dyDescent="0.2">
      <c r="A25" s="13" t="s">
        <v>63</v>
      </c>
      <c r="B25" s="8" t="s">
        <v>74</v>
      </c>
      <c r="C25" s="20" t="s">
        <v>65</v>
      </c>
      <c r="D25" s="20" t="s">
        <v>71</v>
      </c>
      <c r="E25" s="20" t="s">
        <v>73</v>
      </c>
      <c r="F25" s="53">
        <v>15000</v>
      </c>
      <c r="G25" s="19">
        <v>447416</v>
      </c>
      <c r="H25" s="19">
        <v>4994</v>
      </c>
      <c r="I25" s="19">
        <f>SUM(Table4218[[#This Row],[Fiscal Year
2015–16
(7/1/15 to 6/30/16)]:[Fiscal Year 2016-17 (7/1/16 to 12/31/16)]])</f>
        <v>452410</v>
      </c>
    </row>
    <row r="26" spans="1:9" ht="30" x14ac:dyDescent="0.2">
      <c r="A26" s="13" t="s">
        <v>63</v>
      </c>
      <c r="B26" s="8" t="s">
        <v>75</v>
      </c>
      <c r="C26" s="20" t="s">
        <v>65</v>
      </c>
      <c r="D26" s="20" t="s">
        <v>71</v>
      </c>
      <c r="E26" s="20" t="s">
        <v>76</v>
      </c>
      <c r="F26" s="53">
        <v>45000</v>
      </c>
      <c r="G26" s="19">
        <v>1122090</v>
      </c>
      <c r="H26" s="19">
        <v>13147.48</v>
      </c>
      <c r="I26" s="19">
        <f>SUM(Table4218[[#This Row],[Fiscal Year
2015–16
(7/1/15 to 6/30/16)]:[Fiscal Year 2016-17 (7/1/16 to 12/31/16)]])</f>
        <v>1135237.48</v>
      </c>
    </row>
    <row r="27" spans="1:9" ht="31.5" x14ac:dyDescent="0.25">
      <c r="A27" s="70" t="s">
        <v>77</v>
      </c>
      <c r="B27" s="54" t="s">
        <v>48</v>
      </c>
      <c r="C27" s="54" t="s">
        <v>48</v>
      </c>
      <c r="D27" s="54" t="s">
        <v>48</v>
      </c>
      <c r="E27" s="54" t="s">
        <v>48</v>
      </c>
      <c r="F27" s="54" t="s">
        <v>48</v>
      </c>
      <c r="G27" s="61">
        <f>SUBTOTAL(109,G9:G26)</f>
        <v>76149935</v>
      </c>
      <c r="H27" s="61">
        <f t="shared" ref="H27:I27" si="0">SUBTOTAL(109,H9:H26)</f>
        <v>10269193.48</v>
      </c>
      <c r="I27" s="61">
        <f t="shared" si="0"/>
        <v>86419128.480000004</v>
      </c>
    </row>
    <row r="28" spans="1:9" hidden="1" x14ac:dyDescent="0.2"/>
    <row r="29" spans="1:9" hidden="1" x14ac:dyDescent="0.2"/>
    <row r="30" spans="1:9" hidden="1" x14ac:dyDescent="0.2"/>
    <row r="31" spans="1:9" hidden="1" x14ac:dyDescent="0.2"/>
    <row r="32" spans="1:9" hidden="1" x14ac:dyDescent="0.2"/>
    <row r="33" hidden="1" x14ac:dyDescent="0.2"/>
    <row r="34" hidden="1" x14ac:dyDescent="0.2"/>
    <row r="35" hidden="1" x14ac:dyDescent="0.2"/>
    <row r="36" hidden="1" x14ac:dyDescent="0.2"/>
    <row r="37" hidden="1" x14ac:dyDescent="0.2"/>
  </sheetData>
  <pageMargins left="0.5" right="0.25" top="1" bottom="0.75" header="0.3" footer="0.3"/>
  <pageSetup scale="74"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C19:E26" twoDigitTextYear="1"/>
  </ignoredError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O69"/>
  <sheetViews>
    <sheetView showGridLines="0" zoomScaleNormal="100" workbookViewId="0"/>
  </sheetViews>
  <sheetFormatPr defaultColWidth="0" defaultRowHeight="0" customHeight="1" zeroHeight="1" x14ac:dyDescent="0.2"/>
  <cols>
    <col min="1" max="1" width="51.140625" style="5" customWidth="1"/>
    <col min="2" max="2" width="11.85546875" style="5" bestFit="1" customWidth="1"/>
    <col min="3" max="5" width="12" style="1" bestFit="1" customWidth="1"/>
    <col min="6" max="6" width="13.7109375" style="1" bestFit="1" customWidth="1"/>
    <col min="7" max="7" width="14.140625" style="1" bestFit="1" customWidth="1"/>
    <col min="8" max="8" width="13.42578125" style="2" bestFit="1" customWidth="1"/>
    <col min="9" max="9" width="16" style="3" bestFit="1" customWidth="1"/>
    <col min="10" max="10" width="17" style="3" bestFit="1" customWidth="1"/>
    <col min="11" max="11" width="19.42578125" style="4" bestFit="1" customWidth="1"/>
    <col min="12" max="12" width="12.7109375" style="3" hidden="1" customWidth="1"/>
    <col min="13" max="13" width="8.85546875" style="5" hidden="1" customWidth="1"/>
    <col min="14" max="14" width="12.7109375" style="5" hidden="1" customWidth="1"/>
    <col min="15" max="16384" width="8.85546875" style="5" hidden="1"/>
  </cols>
  <sheetData>
    <row r="1" spans="1:15" ht="23.25" x14ac:dyDescent="0.35">
      <c r="A1" s="91" t="s">
        <v>78</v>
      </c>
      <c r="B1" s="1"/>
      <c r="O1" s="85"/>
    </row>
    <row r="2" spans="1:15" s="8" customFormat="1" ht="15.75" x14ac:dyDescent="0.25">
      <c r="A2" s="92" t="s">
        <v>213</v>
      </c>
      <c r="B2" s="20"/>
      <c r="C2" s="20"/>
      <c r="D2" s="20"/>
      <c r="E2" s="20"/>
      <c r="F2" s="20"/>
      <c r="G2" s="20"/>
      <c r="H2" s="19"/>
      <c r="I2" s="6"/>
      <c r="J2" s="6"/>
      <c r="K2" s="7"/>
      <c r="L2" s="6"/>
      <c r="O2" s="94"/>
    </row>
    <row r="3" spans="1:15" ht="15" x14ac:dyDescent="0.2">
      <c r="A3" s="8" t="s">
        <v>1</v>
      </c>
      <c r="B3" s="1"/>
    </row>
    <row r="4" spans="1:15" ht="14.45" customHeight="1" x14ac:dyDescent="0.2">
      <c r="A4" s="59" t="s">
        <v>2</v>
      </c>
      <c r="B4" s="1"/>
    </row>
    <row r="5" spans="1:15" ht="15" x14ac:dyDescent="0.2">
      <c r="A5" s="8" t="s">
        <v>3</v>
      </c>
      <c r="B5" s="1"/>
    </row>
    <row r="6" spans="1:15" ht="15" x14ac:dyDescent="0.2">
      <c r="A6" s="12" t="s">
        <v>4</v>
      </c>
      <c r="B6" s="1"/>
    </row>
    <row r="7" spans="1:15" ht="19.149999999999999" customHeight="1" x14ac:dyDescent="0.2">
      <c r="A7" s="21" t="s">
        <v>79</v>
      </c>
    </row>
    <row r="8" spans="1:15" ht="78.75" x14ac:dyDescent="0.25">
      <c r="A8" s="8" t="s">
        <v>39</v>
      </c>
      <c r="B8" s="14" t="s">
        <v>80</v>
      </c>
      <c r="C8" s="14" t="s">
        <v>81</v>
      </c>
      <c r="D8" s="14" t="s">
        <v>82</v>
      </c>
      <c r="E8" s="14" t="s">
        <v>83</v>
      </c>
      <c r="F8" s="14" t="s">
        <v>205</v>
      </c>
      <c r="G8" s="64" t="s">
        <v>84</v>
      </c>
      <c r="H8" s="14" t="s">
        <v>85</v>
      </c>
      <c r="I8" s="14" t="s">
        <v>86</v>
      </c>
      <c r="J8" s="65" t="s">
        <v>87</v>
      </c>
      <c r="K8" s="14" t="s">
        <v>88</v>
      </c>
      <c r="L8" s="5"/>
    </row>
    <row r="9" spans="1:15" s="29" customFormat="1" ht="30" x14ac:dyDescent="0.25">
      <c r="A9" s="63" t="s">
        <v>89</v>
      </c>
      <c r="B9" s="22">
        <v>1</v>
      </c>
      <c r="C9" s="24" t="s">
        <v>48</v>
      </c>
      <c r="D9" s="24" t="s">
        <v>48</v>
      </c>
      <c r="E9" s="24" t="s">
        <v>48</v>
      </c>
      <c r="F9" s="24" t="s">
        <v>48</v>
      </c>
      <c r="G9" s="25">
        <v>4731354.9999999991</v>
      </c>
      <c r="H9" s="24" t="s">
        <v>48</v>
      </c>
      <c r="I9" s="32">
        <f>IFERROR(+Table13101215[[#This Row],[Column G: 
Per Pupil Costs]]/Table13101215[[#This Row],[Column E: 
Estimated Number of Test Takers*]],0)</f>
        <v>0</v>
      </c>
      <c r="J9" s="27">
        <f>+Table13101215[[#This Row],[Column F: 
Fixed Costs]]</f>
        <v>4731354.9999999991</v>
      </c>
      <c r="K9" s="28">
        <f>+J9/$F$44</f>
        <v>1.0103256459534484</v>
      </c>
    </row>
    <row r="10" spans="1:15" s="29" customFormat="1" ht="45" x14ac:dyDescent="0.25">
      <c r="A10" s="63" t="s">
        <v>90</v>
      </c>
      <c r="B10" s="22">
        <v>2</v>
      </c>
      <c r="C10" s="24" t="s">
        <v>48</v>
      </c>
      <c r="D10" s="24" t="s">
        <v>48</v>
      </c>
      <c r="E10" s="24" t="s">
        <v>48</v>
      </c>
      <c r="F10" s="24" t="s">
        <v>48</v>
      </c>
      <c r="G10" s="25">
        <v>6710042</v>
      </c>
      <c r="H10" s="24" t="s">
        <v>48</v>
      </c>
      <c r="I10" s="32">
        <f>IFERROR(+Table13101215[[#This Row],[Column G: 
Per Pupil Costs]]/Table13101215[[#This Row],[Column E: 
Estimated Number of Test Takers*]],0)</f>
        <v>0</v>
      </c>
      <c r="J10" s="27">
        <f>+Table13101215[[#This Row],[Column F: 
Fixed Costs]]</f>
        <v>6710042</v>
      </c>
      <c r="K10" s="28">
        <f t="shared" ref="K10:K13" si="0">+J10/$F$44</f>
        <v>1.4328511637838992</v>
      </c>
    </row>
    <row r="11" spans="1:15" s="29" customFormat="1" ht="30" x14ac:dyDescent="0.25">
      <c r="A11" s="63" t="s">
        <v>91</v>
      </c>
      <c r="B11" s="22">
        <v>3</v>
      </c>
      <c r="C11" s="24" t="s">
        <v>48</v>
      </c>
      <c r="D11" s="24" t="s">
        <v>48</v>
      </c>
      <c r="E11" s="24" t="s">
        <v>48</v>
      </c>
      <c r="F11" s="24" t="s">
        <v>48</v>
      </c>
      <c r="G11" s="25">
        <v>5504113</v>
      </c>
      <c r="H11" s="24" t="s">
        <v>48</v>
      </c>
      <c r="I11" s="32">
        <f>IFERROR(+Table13101215[[#This Row],[Column G: 
Per Pupil Costs]]/Table13101215[[#This Row],[Column E: 
Estimated Number of Test Takers*]],0)</f>
        <v>0</v>
      </c>
      <c r="J11" s="27">
        <f>+Table13101215[[#This Row],[Column F: 
Fixed Costs]]</f>
        <v>5504113</v>
      </c>
      <c r="K11" s="28">
        <f t="shared" si="0"/>
        <v>1.1753390988682468</v>
      </c>
    </row>
    <row r="12" spans="1:15" s="29" customFormat="1" ht="30" x14ac:dyDescent="0.25">
      <c r="A12" s="63" t="s">
        <v>92</v>
      </c>
      <c r="B12" s="22">
        <v>4</v>
      </c>
      <c r="C12" s="24" t="s">
        <v>48</v>
      </c>
      <c r="D12" s="24" t="s">
        <v>48</v>
      </c>
      <c r="E12" s="24" t="s">
        <v>48</v>
      </c>
      <c r="F12" s="24" t="s">
        <v>48</v>
      </c>
      <c r="G12" s="25">
        <v>99832</v>
      </c>
      <c r="H12" s="24" t="s">
        <v>48</v>
      </c>
      <c r="I12" s="32">
        <f>IFERROR(+Table13101215[[#This Row],[Column G: 
Per Pupil Costs]]/Table13101215[[#This Row],[Column E: 
Estimated Number of Test Takers*]],0)</f>
        <v>0</v>
      </c>
      <c r="J12" s="27">
        <f>+Table13101215[[#This Row],[Column F: 
Fixed Costs]]</f>
        <v>99832</v>
      </c>
      <c r="K12" s="28">
        <f t="shared" si="0"/>
        <v>2.1317958573563955E-2</v>
      </c>
    </row>
    <row r="13" spans="1:15" s="29" customFormat="1" ht="30" x14ac:dyDescent="0.25">
      <c r="A13" s="63" t="s">
        <v>93</v>
      </c>
      <c r="B13" s="22">
        <v>5</v>
      </c>
      <c r="C13" s="24" t="s">
        <v>48</v>
      </c>
      <c r="D13" s="24" t="s">
        <v>48</v>
      </c>
      <c r="E13" s="24" t="s">
        <v>48</v>
      </c>
      <c r="F13" s="24" t="s">
        <v>48</v>
      </c>
      <c r="G13" s="25">
        <v>171457</v>
      </c>
      <c r="H13" s="24" t="s">
        <v>48</v>
      </c>
      <c r="I13" s="32">
        <f>IFERROR(+Table13101215[[#This Row],[Column G: 
Per Pupil Costs]]/Table13101215[[#This Row],[Column E: 
Estimated Number of Test Takers*]],0)</f>
        <v>0</v>
      </c>
      <c r="J13" s="27">
        <f>+Table13101215[[#This Row],[Column F: 
Fixed Costs]]</f>
        <v>171457</v>
      </c>
      <c r="K13" s="28">
        <f t="shared" si="0"/>
        <v>3.6612641469143711E-2</v>
      </c>
    </row>
    <row r="14" spans="1:15" s="29" customFormat="1" ht="30" x14ac:dyDescent="0.25">
      <c r="A14" s="63" t="s">
        <v>94</v>
      </c>
      <c r="B14" s="22">
        <v>6</v>
      </c>
      <c r="C14" s="22" t="s">
        <v>55</v>
      </c>
      <c r="D14" s="24" t="s">
        <v>95</v>
      </c>
      <c r="E14" s="24" t="s">
        <v>56</v>
      </c>
      <c r="F14" s="24" t="s">
        <v>48</v>
      </c>
      <c r="G14" s="25">
        <v>1708483</v>
      </c>
      <c r="H14" s="24" t="s">
        <v>48</v>
      </c>
      <c r="I14" s="32">
        <f>IFERROR(+Table13101215[[#This Row],[Column G: 
Per Pupil Costs]]/Table13101215[[#This Row],[Column E: 
Estimated Number of Test Takers*]],0)</f>
        <v>0</v>
      </c>
      <c r="J14" s="27">
        <f>+Table13101215[[#This Row],[Column F: 
Fixed Costs]]</f>
        <v>1708483</v>
      </c>
      <c r="K14" s="30" t="s">
        <v>48</v>
      </c>
    </row>
    <row r="15" spans="1:15" s="29" customFormat="1" ht="90" x14ac:dyDescent="0.25">
      <c r="A15" s="66" t="s">
        <v>96</v>
      </c>
      <c r="B15" s="22">
        <v>6</v>
      </c>
      <c r="C15" s="22" t="s">
        <v>55</v>
      </c>
      <c r="D15" s="24" t="s">
        <v>95</v>
      </c>
      <c r="E15" s="24" t="s">
        <v>56</v>
      </c>
      <c r="F15" s="24" t="s">
        <v>48</v>
      </c>
      <c r="G15" s="25">
        <v>398164</v>
      </c>
      <c r="H15" s="24" t="s">
        <v>48</v>
      </c>
      <c r="I15" s="32">
        <v>0</v>
      </c>
      <c r="J15" s="27">
        <f>+Table13101215[[#This Row],[Column F: 
Fixed Costs]]</f>
        <v>398164</v>
      </c>
      <c r="K15" s="30" t="s">
        <v>48</v>
      </c>
    </row>
    <row r="16" spans="1:15" s="29" customFormat="1" ht="16.899999999999999" customHeight="1" x14ac:dyDescent="0.25">
      <c r="A16" s="63" t="s">
        <v>97</v>
      </c>
      <c r="B16" s="22">
        <v>6</v>
      </c>
      <c r="C16" s="22" t="s">
        <v>55</v>
      </c>
      <c r="D16" s="24" t="s">
        <v>98</v>
      </c>
      <c r="E16" s="24" t="s">
        <v>99</v>
      </c>
      <c r="F16" s="24" t="s">
        <v>48</v>
      </c>
      <c r="G16" s="25">
        <v>1738291</v>
      </c>
      <c r="H16" s="24" t="s">
        <v>48</v>
      </c>
      <c r="I16" s="32">
        <f>IFERROR(+Table13101215[[#This Row],[Column G: 
Per Pupil Costs]]/Table13101215[[#This Row],[Column E: 
Estimated Number of Test Takers*]],0)</f>
        <v>0</v>
      </c>
      <c r="J16" s="27">
        <f>+Table13101215[[#This Row],[Column F: 
Fixed Costs]]</f>
        <v>1738291</v>
      </c>
      <c r="K16" s="30" t="s">
        <v>48</v>
      </c>
    </row>
    <row r="17" spans="1:11" s="29" customFormat="1" ht="16.899999999999999" customHeight="1" x14ac:dyDescent="0.25">
      <c r="A17" s="63" t="s">
        <v>100</v>
      </c>
      <c r="B17" s="22">
        <v>6</v>
      </c>
      <c r="C17" s="22" t="s">
        <v>55</v>
      </c>
      <c r="D17" s="24" t="s">
        <v>98</v>
      </c>
      <c r="E17" s="24" t="s">
        <v>99</v>
      </c>
      <c r="F17" s="24" t="s">
        <v>48</v>
      </c>
      <c r="G17" s="25">
        <v>648518</v>
      </c>
      <c r="H17" s="24" t="s">
        <v>48</v>
      </c>
      <c r="I17" s="32">
        <f>IFERROR(+Table13101215[[#This Row],[Column G: 
Per Pupil Costs]]/Table13101215[[#This Row],[Column E: 
Estimated Number of Test Takers*]],0)</f>
        <v>0</v>
      </c>
      <c r="J17" s="27">
        <f>+Table13101215[[#This Row],[Column F: 
Fixed Costs]]</f>
        <v>648518</v>
      </c>
      <c r="K17" s="30" t="s">
        <v>48</v>
      </c>
    </row>
    <row r="18" spans="1:11" s="29" customFormat="1" ht="22.9" customHeight="1" x14ac:dyDescent="0.25">
      <c r="A18" s="63" t="s">
        <v>101</v>
      </c>
      <c r="B18" s="22">
        <v>6</v>
      </c>
      <c r="C18" s="22" t="s">
        <v>55</v>
      </c>
      <c r="D18" s="24" t="s">
        <v>102</v>
      </c>
      <c r="E18" s="24" t="s">
        <v>62</v>
      </c>
      <c r="F18" s="24" t="s">
        <v>48</v>
      </c>
      <c r="G18" s="25">
        <v>1886606</v>
      </c>
      <c r="H18" s="24" t="s">
        <v>48</v>
      </c>
      <c r="I18" s="32">
        <f>IFERROR(+Table13101215[[#This Row],[Column G: 
Per Pupil Costs]]/Table13101215[[#This Row],[Column E: 
Estimated Number of Test Takers*]],0)</f>
        <v>0</v>
      </c>
      <c r="J18" s="27">
        <f>+Table13101215[[#This Row],[Column F: 
Fixed Costs]]</f>
        <v>1886606</v>
      </c>
      <c r="K18" s="30" t="s">
        <v>48</v>
      </c>
    </row>
    <row r="19" spans="1:11" s="29" customFormat="1" ht="30" x14ac:dyDescent="0.25">
      <c r="A19" s="63" t="s">
        <v>103</v>
      </c>
      <c r="B19" s="22">
        <v>7</v>
      </c>
      <c r="C19" s="22" t="s">
        <v>55</v>
      </c>
      <c r="D19" s="24" t="s">
        <v>95</v>
      </c>
      <c r="E19" s="24" t="s">
        <v>104</v>
      </c>
      <c r="F19" s="31">
        <v>3104000</v>
      </c>
      <c r="G19" s="25">
        <v>24592193</v>
      </c>
      <c r="H19" s="24" t="s">
        <v>48</v>
      </c>
      <c r="I19" s="32">
        <f>IFERROR(+Table13101215[[#This Row],[Column G: 
Per Pupil Costs]]/Table13101215[[#This Row],[Column E: 
Estimated Number of Test Takers*]],0)</f>
        <v>0</v>
      </c>
      <c r="J19" s="27">
        <f>+Table13101215[[#This Row],[Column F: 
Fixed Costs]]</f>
        <v>24592193</v>
      </c>
      <c r="K19" s="32">
        <f>ROUND(+J19/F19,2)</f>
        <v>7.92</v>
      </c>
    </row>
    <row r="20" spans="1:11" s="29" customFormat="1" ht="30" x14ac:dyDescent="0.25">
      <c r="A20" s="63" t="s">
        <v>105</v>
      </c>
      <c r="B20" s="22">
        <v>8</v>
      </c>
      <c r="C20" s="22" t="s">
        <v>55</v>
      </c>
      <c r="D20" s="24" t="s">
        <v>95</v>
      </c>
      <c r="E20" s="24" t="s">
        <v>104</v>
      </c>
      <c r="F20" s="31">
        <v>3104000</v>
      </c>
      <c r="G20" s="25">
        <v>16658384</v>
      </c>
      <c r="H20" s="26">
        <v>8381810</v>
      </c>
      <c r="I20" s="32">
        <f>Table13101215[[#This Row],[Column G: 
Per Pupil Costs]]/Table13101215[[#This Row],[Column E: 
Estimated Number of Test Takers*]]</f>
        <v>2.700325386597938</v>
      </c>
      <c r="J20" s="27">
        <f>+Table13101215[[#This Row],[Column F: 
Fixed Costs]]+Table13101215[[#This Row],[Column G: 
Per Pupil Costs]]</f>
        <v>25040194</v>
      </c>
      <c r="K20" s="32">
        <f t="shared" ref="K20:K21" si="1">ROUND(+J20/F20,2)</f>
        <v>8.07</v>
      </c>
    </row>
    <row r="21" spans="1:11" s="29" customFormat="1" ht="30" x14ac:dyDescent="0.25">
      <c r="A21" s="63" t="s">
        <v>106</v>
      </c>
      <c r="B21" s="22">
        <v>9</v>
      </c>
      <c r="C21" s="22" t="s">
        <v>55</v>
      </c>
      <c r="D21" s="24" t="s">
        <v>95</v>
      </c>
      <c r="E21" s="24" t="s">
        <v>104</v>
      </c>
      <c r="F21" s="31">
        <v>3104000</v>
      </c>
      <c r="G21" s="25">
        <v>2503426</v>
      </c>
      <c r="H21" s="26">
        <v>235446</v>
      </c>
      <c r="I21" s="32">
        <f>IFERROR(+Table13101215[[#This Row],[Column G: 
Per Pupil Costs]]/Table13101215[[#This Row],[Column E: 
Estimated Number of Test Takers*]],0)</f>
        <v>7.5852448453608251E-2</v>
      </c>
      <c r="J21" s="27">
        <f>+Table13101215[[#This Row],[Column F: 
Fixed Costs]]+Table13101215[[#This Row],[Column G: 
Per Pupil Costs]]</f>
        <v>2738872</v>
      </c>
      <c r="K21" s="32">
        <f t="shared" si="1"/>
        <v>0.88</v>
      </c>
    </row>
    <row r="22" spans="1:11" s="29" customFormat="1" ht="19.149999999999999" customHeight="1" x14ac:dyDescent="0.25">
      <c r="A22" s="63" t="s">
        <v>107</v>
      </c>
      <c r="B22" s="22">
        <v>2</v>
      </c>
      <c r="C22" s="22" t="s">
        <v>55</v>
      </c>
      <c r="D22" s="24" t="s">
        <v>95</v>
      </c>
      <c r="E22" s="24" t="s">
        <v>69</v>
      </c>
      <c r="F22" s="24" t="s">
        <v>48</v>
      </c>
      <c r="G22" s="25">
        <v>1629052</v>
      </c>
      <c r="H22" s="24" t="s">
        <v>48</v>
      </c>
      <c r="I22" s="32">
        <f>IFERROR(+Table13101215[[#This Row],[Column G: 
Per Pupil Costs]]/Table13101215[[#This Row],[Column E: 
Estimated Number of Test Takers*]],0)</f>
        <v>0</v>
      </c>
      <c r="J22" s="27">
        <f>+Table13101215[[#This Row],[Column F: 
Fixed Costs]]</f>
        <v>1629052</v>
      </c>
      <c r="K22" s="26" t="s">
        <v>48</v>
      </c>
    </row>
    <row r="23" spans="1:11" s="29" customFormat="1" ht="30" x14ac:dyDescent="0.25">
      <c r="A23" s="63" t="s">
        <v>108</v>
      </c>
      <c r="B23" s="22">
        <v>7</v>
      </c>
      <c r="C23" s="22" t="s">
        <v>55</v>
      </c>
      <c r="D23" s="24" t="s">
        <v>95</v>
      </c>
      <c r="E23" s="24" t="s">
        <v>69</v>
      </c>
      <c r="F23" s="24" t="s">
        <v>48</v>
      </c>
      <c r="G23" s="25">
        <v>18747</v>
      </c>
      <c r="H23" s="24" t="s">
        <v>48</v>
      </c>
      <c r="I23" s="32">
        <f>IFERROR(+Table13101215[[#This Row],[Column G: 
Per Pupil Costs]]/Table13101215[[#This Row],[Column E: 
Estimated Number of Test Takers*]],0)</f>
        <v>0</v>
      </c>
      <c r="J23" s="27">
        <f>+Table13101215[[#This Row],[Column F: 
Fixed Costs]]</f>
        <v>18747</v>
      </c>
      <c r="K23" s="26" t="s">
        <v>48</v>
      </c>
    </row>
    <row r="24" spans="1:11" s="29" customFormat="1" ht="15.75" x14ac:dyDescent="0.25">
      <c r="A24" s="63" t="s">
        <v>109</v>
      </c>
      <c r="B24" s="22">
        <v>8</v>
      </c>
      <c r="C24" s="22" t="s">
        <v>55</v>
      </c>
      <c r="D24" s="24" t="s">
        <v>95</v>
      </c>
      <c r="E24" s="24" t="s">
        <v>69</v>
      </c>
      <c r="F24" s="24" t="s">
        <v>48</v>
      </c>
      <c r="G24" s="25">
        <v>26359</v>
      </c>
      <c r="H24" s="24" t="s">
        <v>48</v>
      </c>
      <c r="I24" s="32">
        <f>IFERROR(+Table13101215[[#This Row],[Column G: 
Per Pupil Costs]]/Table13101215[[#This Row],[Column E: 
Estimated Number of Test Takers*]],0)</f>
        <v>0</v>
      </c>
      <c r="J24" s="27">
        <f>+Table13101215[[#This Row],[Column F: 
Fixed Costs]]</f>
        <v>26359</v>
      </c>
      <c r="K24" s="26" t="s">
        <v>48</v>
      </c>
    </row>
    <row r="25" spans="1:11" s="29" customFormat="1" ht="30" x14ac:dyDescent="0.25">
      <c r="A25" s="63" t="s">
        <v>110</v>
      </c>
      <c r="B25" s="22">
        <v>9</v>
      </c>
      <c r="C25" s="22" t="s">
        <v>55</v>
      </c>
      <c r="D25" s="24" t="s">
        <v>95</v>
      </c>
      <c r="E25" s="24" t="s">
        <v>69</v>
      </c>
      <c r="F25" s="24" t="s">
        <v>48</v>
      </c>
      <c r="G25" s="25">
        <v>0</v>
      </c>
      <c r="H25" s="24" t="s">
        <v>48</v>
      </c>
      <c r="I25" s="32">
        <f>IFERROR(+Table13101215[[#This Row],[Column G: 
Per Pupil Costs]]/Table13101215[[#This Row],[Column E: 
Estimated Number of Test Takers*]],0)</f>
        <v>0</v>
      </c>
      <c r="J25" s="27">
        <f>+Table13101215[[#This Row],[Column F: 
Fixed Costs]]</f>
        <v>0</v>
      </c>
      <c r="K25" s="26" t="s">
        <v>48</v>
      </c>
    </row>
    <row r="26" spans="1:11" s="29" customFormat="1" ht="30" x14ac:dyDescent="0.25">
      <c r="A26" s="63" t="s">
        <v>111</v>
      </c>
      <c r="B26" s="22">
        <v>7</v>
      </c>
      <c r="C26" s="22" t="s">
        <v>55</v>
      </c>
      <c r="D26" s="24" t="s">
        <v>95</v>
      </c>
      <c r="E26" s="24" t="s">
        <v>104</v>
      </c>
      <c r="F26" s="31">
        <v>39000</v>
      </c>
      <c r="G26" s="25">
        <v>713293</v>
      </c>
      <c r="H26" s="24" t="s">
        <v>48</v>
      </c>
      <c r="I26" s="32">
        <f>IFERROR(+Table13101215[[#This Row],[Column G: 
Per Pupil Costs]]/Table13101215[[#This Row],[Column E: 
Estimated Number of Test Takers*]],0)</f>
        <v>0</v>
      </c>
      <c r="J26" s="27">
        <f>+Table13101215[[#This Row],[Column F: 
Fixed Costs]]</f>
        <v>713293</v>
      </c>
      <c r="K26" s="32">
        <f>ROUND(+J26/F26,2)</f>
        <v>18.29</v>
      </c>
    </row>
    <row r="27" spans="1:11" s="29" customFormat="1" ht="15.75" x14ac:dyDescent="0.25">
      <c r="A27" s="63" t="s">
        <v>112</v>
      </c>
      <c r="B27" s="22">
        <v>8</v>
      </c>
      <c r="C27" s="22" t="s">
        <v>55</v>
      </c>
      <c r="D27" s="24" t="s">
        <v>95</v>
      </c>
      <c r="E27" s="24" t="s">
        <v>104</v>
      </c>
      <c r="F27" s="31">
        <v>39000</v>
      </c>
      <c r="G27" s="25">
        <v>280721</v>
      </c>
      <c r="H27" s="26">
        <v>14679</v>
      </c>
      <c r="I27" s="32">
        <f>IFERROR(+Table13101215[[#This Row],[Column G: 
Per Pupil Costs]]/Table13101215[[#This Row],[Column E: 
Estimated Number of Test Takers*]],0)</f>
        <v>0.37638461538461537</v>
      </c>
      <c r="J27" s="27">
        <f>+Table13101215[[#This Row],[Column F: 
Fixed Costs]]+Table13101215[[#This Row],[Column G: 
Per Pupil Costs]]</f>
        <v>295400</v>
      </c>
      <c r="K27" s="32">
        <f t="shared" ref="K27:K43" si="2">ROUND(+J27/F27,2)</f>
        <v>7.57</v>
      </c>
    </row>
    <row r="28" spans="1:11" s="29" customFormat="1" ht="15.75" x14ac:dyDescent="0.25">
      <c r="A28" s="63" t="s">
        <v>113</v>
      </c>
      <c r="B28" s="22">
        <v>9</v>
      </c>
      <c r="C28" s="22" t="s">
        <v>55</v>
      </c>
      <c r="D28" s="24" t="s">
        <v>95</v>
      </c>
      <c r="E28" s="24" t="s">
        <v>104</v>
      </c>
      <c r="F28" s="31">
        <v>39000</v>
      </c>
      <c r="G28" s="25">
        <v>60543</v>
      </c>
      <c r="H28" s="26">
        <v>3640</v>
      </c>
      <c r="I28" s="32">
        <f>IFERROR(+Table13101215[[#This Row],[Column G: 
Per Pupil Costs]]/Table13101215[[#This Row],[Column E: 
Estimated Number of Test Takers*]],0)</f>
        <v>9.3333333333333338E-2</v>
      </c>
      <c r="J28" s="27">
        <f>+Table13101215[[#This Row],[Column F: 
Fixed Costs]]+Table13101215[[#This Row],[Column G: 
Per Pupil Costs]]</f>
        <v>64183</v>
      </c>
      <c r="K28" s="32">
        <f t="shared" si="2"/>
        <v>1.65</v>
      </c>
    </row>
    <row r="29" spans="1:11" s="29" customFormat="1" ht="30" x14ac:dyDescent="0.25">
      <c r="A29" s="66" t="s">
        <v>103</v>
      </c>
      <c r="B29" s="22">
        <v>7</v>
      </c>
      <c r="C29" s="22" t="s">
        <v>71</v>
      </c>
      <c r="D29" s="24" t="s">
        <v>95</v>
      </c>
      <c r="E29" s="24" t="s">
        <v>104</v>
      </c>
      <c r="F29" s="72">
        <v>96000</v>
      </c>
      <c r="G29" s="25">
        <v>1113733</v>
      </c>
      <c r="H29" s="26">
        <v>584976</v>
      </c>
      <c r="I29" s="32">
        <f>IFERROR(+Table13101215[[#This Row],[Column G: 
Per Pupil Costs]]/Table13101215[[#This Row],[Column E: 
Estimated Number of Test Takers*]],0)</f>
        <v>6.0934999999999997</v>
      </c>
      <c r="J29" s="27">
        <f>+Table13101215[[#This Row],[Column F: 
Fixed Costs]]+Table13101215[[#This Row],[Column G: 
Per Pupil Costs]]</f>
        <v>1698709</v>
      </c>
      <c r="K29" s="32">
        <f t="shared" ref="K29:K31" si="3">ROUND(+J29/F29,2)</f>
        <v>17.690000000000001</v>
      </c>
    </row>
    <row r="30" spans="1:11" s="29" customFormat="1" ht="30" x14ac:dyDescent="0.25">
      <c r="A30" s="66" t="s">
        <v>105</v>
      </c>
      <c r="B30" s="22">
        <v>8</v>
      </c>
      <c r="C30" s="22" t="s">
        <v>71</v>
      </c>
      <c r="D30" s="24" t="s">
        <v>95</v>
      </c>
      <c r="E30" s="24" t="s">
        <v>104</v>
      </c>
      <c r="F30" s="72">
        <v>96000</v>
      </c>
      <c r="G30" s="25">
        <v>158554</v>
      </c>
      <c r="H30" s="26">
        <v>84665</v>
      </c>
      <c r="I30" s="32">
        <f>IFERROR(+Table13101215[[#This Row],[Column G: 
Per Pupil Costs]]/Table13101215[[#This Row],[Column E: 
Estimated Number of Test Takers*]],0)</f>
        <v>0.88192708333333336</v>
      </c>
      <c r="J30" s="27">
        <f>+Table13101215[[#This Row],[Column F: 
Fixed Costs]]+Table13101215[[#This Row],[Column G: 
Per Pupil Costs]]</f>
        <v>243219</v>
      </c>
      <c r="K30" s="32">
        <f t="shared" si="3"/>
        <v>2.5299999999999998</v>
      </c>
    </row>
    <row r="31" spans="1:11" s="29" customFormat="1" ht="30" x14ac:dyDescent="0.25">
      <c r="A31" s="66" t="s">
        <v>106</v>
      </c>
      <c r="B31" s="22">
        <v>9</v>
      </c>
      <c r="C31" s="22" t="s">
        <v>71</v>
      </c>
      <c r="D31" s="24" t="s">
        <v>95</v>
      </c>
      <c r="E31" s="24" t="s">
        <v>104</v>
      </c>
      <c r="F31" s="72">
        <v>96000</v>
      </c>
      <c r="G31" s="25">
        <v>12035</v>
      </c>
      <c r="H31" s="26">
        <v>2378</v>
      </c>
      <c r="I31" s="32">
        <f>IFERROR(+Table13101215[[#This Row],[Column G: 
Per Pupil Costs]]/Table13101215[[#This Row],[Column E: 
Estimated Number of Test Takers*]],0)</f>
        <v>2.4770833333333332E-2</v>
      </c>
      <c r="J31" s="27">
        <f>+Table13101215[[#This Row],[Column F: 
Fixed Costs]]+Table13101215[[#This Row],[Column G: 
Per Pupil Costs]]</f>
        <v>14413</v>
      </c>
      <c r="K31" s="32">
        <f t="shared" si="3"/>
        <v>0.15</v>
      </c>
    </row>
    <row r="32" spans="1:11" s="29" customFormat="1" ht="30" x14ac:dyDescent="0.25">
      <c r="A32" s="63" t="s">
        <v>111</v>
      </c>
      <c r="B32" s="22">
        <v>7</v>
      </c>
      <c r="C32" s="22" t="s">
        <v>71</v>
      </c>
      <c r="D32" s="24" t="s">
        <v>95</v>
      </c>
      <c r="E32" s="24" t="s">
        <v>104</v>
      </c>
      <c r="F32" s="72">
        <v>4000</v>
      </c>
      <c r="G32" s="25">
        <v>69810</v>
      </c>
      <c r="H32" s="26">
        <v>37041</v>
      </c>
      <c r="I32" s="32">
        <f>IFERROR(+Table13101215[[#This Row],[Column G: 
Per Pupil Costs]]/Table13101215[[#This Row],[Column E: 
Estimated Number of Test Takers*]],0)</f>
        <v>9.2602499999999992</v>
      </c>
      <c r="J32" s="27">
        <f>+Table13101215[[#This Row],[Column F: 
Fixed Costs]]+Table13101215[[#This Row],[Column G: 
Per Pupil Costs]]</f>
        <v>106851</v>
      </c>
      <c r="K32" s="32">
        <f t="shared" ref="K32:K34" si="4">ROUND(+J32/F32,2)</f>
        <v>26.71</v>
      </c>
    </row>
    <row r="33" spans="1:11" s="29" customFormat="1" ht="21" customHeight="1" x14ac:dyDescent="0.25">
      <c r="A33" s="63" t="s">
        <v>112</v>
      </c>
      <c r="B33" s="22">
        <v>8</v>
      </c>
      <c r="C33" s="22" t="s">
        <v>71</v>
      </c>
      <c r="D33" s="24" t="s">
        <v>95</v>
      </c>
      <c r="E33" s="24" t="s">
        <v>104</v>
      </c>
      <c r="F33" s="72">
        <v>4000</v>
      </c>
      <c r="G33" s="25">
        <v>14775</v>
      </c>
      <c r="H33" s="26">
        <v>773</v>
      </c>
      <c r="I33" s="32">
        <f>IFERROR(+Table13101215[[#This Row],[Column G: 
Per Pupil Costs]]/Table13101215[[#This Row],[Column E: 
Estimated Number of Test Takers*]],0)</f>
        <v>0.19325000000000001</v>
      </c>
      <c r="J33" s="27">
        <f>+Table13101215[[#This Row],[Column F: 
Fixed Costs]]+Table13101215[[#This Row],[Column G: 
Per Pupil Costs]]</f>
        <v>15548</v>
      </c>
      <c r="K33" s="32">
        <f t="shared" si="4"/>
        <v>3.89</v>
      </c>
    </row>
    <row r="34" spans="1:11" s="29" customFormat="1" ht="21" customHeight="1" x14ac:dyDescent="0.25">
      <c r="A34" s="63" t="s">
        <v>113</v>
      </c>
      <c r="B34" s="22">
        <v>9</v>
      </c>
      <c r="C34" s="22" t="s">
        <v>71</v>
      </c>
      <c r="D34" s="24" t="s">
        <v>95</v>
      </c>
      <c r="E34" s="24" t="s">
        <v>104</v>
      </c>
      <c r="F34" s="72">
        <v>4000</v>
      </c>
      <c r="G34" s="25">
        <v>969</v>
      </c>
      <c r="H34" s="26">
        <v>192</v>
      </c>
      <c r="I34" s="32">
        <f>IFERROR(+Table13101215[[#This Row],[Column G: 
Per Pupil Costs]]/Table13101215[[#This Row],[Column E: 
Estimated Number of Test Takers*]],0)</f>
        <v>4.8000000000000001E-2</v>
      </c>
      <c r="J34" s="27">
        <f>+Table13101215[[#This Row],[Column F: 
Fixed Costs]]+Table13101215[[#This Row],[Column G: 
Per Pupil Costs]]</f>
        <v>1161</v>
      </c>
      <c r="K34" s="32">
        <f t="shared" si="4"/>
        <v>0.28999999999999998</v>
      </c>
    </row>
    <row r="35" spans="1:11" s="29" customFormat="1" ht="21" customHeight="1" x14ac:dyDescent="0.25">
      <c r="A35" s="63" t="s">
        <v>72</v>
      </c>
      <c r="B35" s="22">
        <v>7</v>
      </c>
      <c r="C35" s="22" t="s">
        <v>71</v>
      </c>
      <c r="D35" s="24" t="s">
        <v>98</v>
      </c>
      <c r="E35" s="24" t="s">
        <v>73</v>
      </c>
      <c r="F35" s="31">
        <v>1380000</v>
      </c>
      <c r="G35" s="25">
        <v>1472012</v>
      </c>
      <c r="H35" s="26">
        <v>2053357</v>
      </c>
      <c r="I35" s="32">
        <f>IFERROR(+Table13101215[[#This Row],[Column G: 
Per Pupil Costs]]/Table13101215[[#This Row],[Column E: 
Estimated Number of Test Takers*]],0)</f>
        <v>1.4879398550724638</v>
      </c>
      <c r="J35" s="27">
        <f>+Table13101215[[#This Row],[Column F: 
Fixed Costs]]+Table13101215[[#This Row],[Column G: 
Per Pupil Costs]]</f>
        <v>3525369</v>
      </c>
      <c r="K35" s="32">
        <f t="shared" si="2"/>
        <v>2.5499999999999998</v>
      </c>
    </row>
    <row r="36" spans="1:11" s="29" customFormat="1" ht="21" customHeight="1" x14ac:dyDescent="0.25">
      <c r="A36" s="63" t="s">
        <v>72</v>
      </c>
      <c r="B36" s="22">
        <v>8</v>
      </c>
      <c r="C36" s="22" t="s">
        <v>71</v>
      </c>
      <c r="D36" s="24" t="s">
        <v>98</v>
      </c>
      <c r="E36" s="24" t="s">
        <v>73</v>
      </c>
      <c r="F36" s="31">
        <v>1380000</v>
      </c>
      <c r="G36" s="25">
        <v>136478</v>
      </c>
      <c r="H36" s="26">
        <v>58096</v>
      </c>
      <c r="I36" s="32">
        <f>IFERROR(+Table13101215[[#This Row],[Column G: 
Per Pupil Costs]]/Table13101215[[#This Row],[Column E: 
Estimated Number of Test Takers*]],0)</f>
        <v>4.2098550724637682E-2</v>
      </c>
      <c r="J36" s="27">
        <f>+Table13101215[[#This Row],[Column F: 
Fixed Costs]]+Table13101215[[#This Row],[Column G: 
Per Pupil Costs]]</f>
        <v>194574</v>
      </c>
      <c r="K36" s="32">
        <f t="shared" si="2"/>
        <v>0.14000000000000001</v>
      </c>
    </row>
    <row r="37" spans="1:11" s="29" customFormat="1" ht="21" customHeight="1" x14ac:dyDescent="0.25">
      <c r="A37" s="63" t="s">
        <v>72</v>
      </c>
      <c r="B37" s="22">
        <v>9</v>
      </c>
      <c r="C37" s="22" t="s">
        <v>71</v>
      </c>
      <c r="D37" s="24" t="s">
        <v>98</v>
      </c>
      <c r="E37" s="24" t="s">
        <v>73</v>
      </c>
      <c r="F37" s="31">
        <v>1380000</v>
      </c>
      <c r="G37" s="25">
        <v>189600</v>
      </c>
      <c r="H37" s="26">
        <v>126883</v>
      </c>
      <c r="I37" s="32">
        <f>IFERROR(+Table13101215[[#This Row],[Column G: 
Per Pupil Costs]]/Table13101215[[#This Row],[Column E: 
Estimated Number of Test Takers*]],0)</f>
        <v>9.1944202898550723E-2</v>
      </c>
      <c r="J37" s="27">
        <f>+Table13101215[[#This Row],[Column F: 
Fixed Costs]]+Table13101215[[#This Row],[Column G: 
Per Pupil Costs]]</f>
        <v>316483</v>
      </c>
      <c r="K37" s="32">
        <f t="shared" si="2"/>
        <v>0.23</v>
      </c>
    </row>
    <row r="38" spans="1:11" s="29" customFormat="1" ht="21" customHeight="1" x14ac:dyDescent="0.25">
      <c r="A38" s="63" t="s">
        <v>74</v>
      </c>
      <c r="B38" s="22">
        <v>7</v>
      </c>
      <c r="C38" s="22" t="s">
        <v>71</v>
      </c>
      <c r="D38" s="24" t="s">
        <v>98</v>
      </c>
      <c r="E38" s="24" t="s">
        <v>73</v>
      </c>
      <c r="F38" s="31">
        <v>15000</v>
      </c>
      <c r="G38" s="25">
        <v>142363</v>
      </c>
      <c r="H38" s="26">
        <v>199483</v>
      </c>
      <c r="I38" s="32">
        <f>IFERROR(+Table13101215[[#This Row],[Column G: 
Per Pupil Costs]]/Table13101215[[#This Row],[Column E: 
Estimated Number of Test Takers*]],0)</f>
        <v>13.298866666666667</v>
      </c>
      <c r="J38" s="27">
        <f>+Table13101215[[#This Row],[Column F: 
Fixed Costs]]+Table13101215[[#This Row],[Column G: 
Per Pupil Costs]]</f>
        <v>341846</v>
      </c>
      <c r="K38" s="32">
        <f t="shared" si="2"/>
        <v>22.79</v>
      </c>
    </row>
    <row r="39" spans="1:11" s="29" customFormat="1" ht="21" customHeight="1" x14ac:dyDescent="0.25">
      <c r="A39" s="63" t="s">
        <v>74</v>
      </c>
      <c r="B39" s="22">
        <v>8</v>
      </c>
      <c r="C39" s="22" t="s">
        <v>71</v>
      </c>
      <c r="D39" s="24" t="s">
        <v>98</v>
      </c>
      <c r="E39" s="24" t="s">
        <v>73</v>
      </c>
      <c r="F39" s="31">
        <v>15000</v>
      </c>
      <c r="G39" s="25">
        <v>66457</v>
      </c>
      <c r="H39" s="26">
        <v>11716</v>
      </c>
      <c r="I39" s="32">
        <f>IFERROR(+Table13101215[[#This Row],[Column G: 
Per Pupil Costs]]/Table13101215[[#This Row],[Column E: 
Estimated Number of Test Takers*]],0)</f>
        <v>0.78106666666666669</v>
      </c>
      <c r="J39" s="27">
        <f>+Table13101215[[#This Row],[Column F: 
Fixed Costs]]+Table13101215[[#This Row],[Column G: 
Per Pupil Costs]]</f>
        <v>78173</v>
      </c>
      <c r="K39" s="32">
        <f t="shared" si="2"/>
        <v>5.21</v>
      </c>
    </row>
    <row r="40" spans="1:11" s="29" customFormat="1" ht="21" customHeight="1" x14ac:dyDescent="0.25">
      <c r="A40" s="63" t="s">
        <v>74</v>
      </c>
      <c r="B40" s="22">
        <v>9</v>
      </c>
      <c r="C40" s="22" t="s">
        <v>71</v>
      </c>
      <c r="D40" s="24" t="s">
        <v>98</v>
      </c>
      <c r="E40" s="24" t="s">
        <v>73</v>
      </c>
      <c r="F40" s="31">
        <v>15000</v>
      </c>
      <c r="G40" s="25">
        <v>31450</v>
      </c>
      <c r="H40" s="26">
        <v>941</v>
      </c>
      <c r="I40" s="32">
        <f>IFERROR(+Table13101215[[#This Row],[Column G: 
Per Pupil Costs]]/Table13101215[[#This Row],[Column E: 
Estimated Number of Test Takers*]],0)</f>
        <v>6.2733333333333335E-2</v>
      </c>
      <c r="J40" s="27">
        <f>+Table13101215[[#This Row],[Column F: 
Fixed Costs]]+Table13101215[[#This Row],[Column G: 
Per Pupil Costs]]</f>
        <v>32391</v>
      </c>
      <c r="K40" s="32">
        <f t="shared" si="2"/>
        <v>2.16</v>
      </c>
    </row>
    <row r="41" spans="1:11" s="29" customFormat="1" ht="21" customHeight="1" x14ac:dyDescent="0.25">
      <c r="A41" s="63" t="s">
        <v>75</v>
      </c>
      <c r="B41" s="22">
        <v>7</v>
      </c>
      <c r="C41" s="22" t="s">
        <v>71</v>
      </c>
      <c r="D41" s="24" t="s">
        <v>102</v>
      </c>
      <c r="E41" s="24" t="s">
        <v>76</v>
      </c>
      <c r="F41" s="31">
        <v>45000</v>
      </c>
      <c r="G41" s="25">
        <v>369125</v>
      </c>
      <c r="H41" s="26">
        <v>511507</v>
      </c>
      <c r="I41" s="32">
        <f>IFERROR(+Table13101215[[#This Row],[Column G: 
Per Pupil Costs]]/Table13101215[[#This Row],[Column E: 
Estimated Number of Test Takers*]],0)</f>
        <v>11.366822222222222</v>
      </c>
      <c r="J41" s="27">
        <f>+Table13101215[[#This Row],[Column F: 
Fixed Costs]]+Table13101215[[#This Row],[Column G: 
Per Pupil Costs]]</f>
        <v>880632</v>
      </c>
      <c r="K41" s="32">
        <f t="shared" si="2"/>
        <v>19.57</v>
      </c>
    </row>
    <row r="42" spans="1:11" s="29" customFormat="1" ht="21" customHeight="1" x14ac:dyDescent="0.25">
      <c r="A42" s="63" t="s">
        <v>75</v>
      </c>
      <c r="B42" s="22">
        <v>8</v>
      </c>
      <c r="C42" s="22" t="s">
        <v>71</v>
      </c>
      <c r="D42" s="24" t="s">
        <v>102</v>
      </c>
      <c r="E42" s="24" t="s">
        <v>76</v>
      </c>
      <c r="F42" s="31">
        <v>45000</v>
      </c>
      <c r="G42" s="25">
        <v>137208</v>
      </c>
      <c r="H42" s="26">
        <v>47494</v>
      </c>
      <c r="I42" s="32">
        <f>IFERROR(+Table13101215[[#This Row],[Column G: 
Per Pupil Costs]]/Table13101215[[#This Row],[Column E: 
Estimated Number of Test Takers*]],0)</f>
        <v>1.0554222222222223</v>
      </c>
      <c r="J42" s="27">
        <f>+Table13101215[[#This Row],[Column F: 
Fixed Costs]]+Table13101215[[#This Row],[Column G: 
Per Pupil Costs]]</f>
        <v>184702</v>
      </c>
      <c r="K42" s="32">
        <f t="shared" si="2"/>
        <v>4.0999999999999996</v>
      </c>
    </row>
    <row r="43" spans="1:11" s="29" customFormat="1" ht="21" customHeight="1" x14ac:dyDescent="0.25">
      <c r="A43" s="63" t="s">
        <v>75</v>
      </c>
      <c r="B43" s="22">
        <v>9</v>
      </c>
      <c r="C43" s="22" t="s">
        <v>71</v>
      </c>
      <c r="D43" s="24" t="s">
        <v>102</v>
      </c>
      <c r="E43" s="24" t="s">
        <v>76</v>
      </c>
      <c r="F43" s="31">
        <v>45000</v>
      </c>
      <c r="G43" s="25">
        <v>66066</v>
      </c>
      <c r="H43" s="26">
        <v>3837</v>
      </c>
      <c r="I43" s="32">
        <f>IFERROR(+Table13101215[[#This Row],[Column G: 
Per Pupil Costs]]/Table13101215[[#This Row],[Column E: 
Estimated Number of Test Takers*]],0)</f>
        <v>8.5266666666666671E-2</v>
      </c>
      <c r="J43" s="27">
        <f>+Table13101215[[#This Row],[Column F: 
Fixed Costs]]+Table13101215[[#This Row],[Column G: 
Per Pupil Costs]]</f>
        <v>69903</v>
      </c>
      <c r="K43" s="32">
        <f t="shared" si="2"/>
        <v>1.55</v>
      </c>
    </row>
    <row r="44" spans="1:11" s="29" customFormat="1" ht="21" customHeight="1" x14ac:dyDescent="0.25">
      <c r="A44" s="69" t="s">
        <v>77</v>
      </c>
      <c r="B44" s="22" t="s">
        <v>48</v>
      </c>
      <c r="C44" s="22" t="s">
        <v>48</v>
      </c>
      <c r="D44" s="22" t="s">
        <v>48</v>
      </c>
      <c r="E44" s="22" t="s">
        <v>48</v>
      </c>
      <c r="F44" s="42">
        <f>+F41+F38+F35+F32+F29+F26+F19</f>
        <v>4683000</v>
      </c>
      <c r="G44" s="26">
        <f>SUBTOTAL(109,Table13101215[Column F: 
Fixed Costs])</f>
        <v>74060214</v>
      </c>
      <c r="H44" s="26">
        <f>SUBTOTAL(109,Table13101215[Column G: 
Per Pupil Costs])</f>
        <v>12358914</v>
      </c>
      <c r="I44" s="32">
        <f>Table13101215[[#Totals],[Column G: 
Per Pupil Costs]]/Table13101215[[#Totals],[Column E: 
Estimated Number of Test Takers*]]</f>
        <v>2.6391018577834719</v>
      </c>
      <c r="J44" s="26">
        <f>SUBTOTAL(109,Table13101215[Column I: 
Total Costs
(Column F plus Column G)])</f>
        <v>86419128</v>
      </c>
      <c r="K44" s="44">
        <f t="shared" ref="K44" si="5">ROUND(+J44/F44,2)</f>
        <v>18.45</v>
      </c>
    </row>
    <row r="45" spans="1:11" s="29" customFormat="1" ht="15.75" x14ac:dyDescent="0.25">
      <c r="A45" s="29" t="s">
        <v>206</v>
      </c>
      <c r="B45" s="23"/>
      <c r="C45" s="23"/>
      <c r="D45" s="23"/>
      <c r="E45" s="23"/>
      <c r="F45" s="35"/>
      <c r="G45" s="25"/>
      <c r="H45" s="26"/>
      <c r="I45" s="32"/>
      <c r="J45" s="33"/>
      <c r="K45" s="32"/>
    </row>
    <row r="46" spans="1:11" s="29" customFormat="1" ht="15.75" x14ac:dyDescent="0.25">
      <c r="A46" s="8" t="s">
        <v>207</v>
      </c>
      <c r="B46" s="8"/>
      <c r="C46" s="20"/>
      <c r="D46" s="20"/>
      <c r="E46" s="20"/>
      <c r="F46" s="20"/>
      <c r="G46" s="20"/>
      <c r="H46" s="19"/>
      <c r="I46" s="6"/>
      <c r="J46" s="6"/>
      <c r="K46" s="7"/>
    </row>
    <row r="47" spans="1:11" s="29" customFormat="1" ht="15.75" hidden="1" x14ac:dyDescent="0.25">
      <c r="A47" s="8"/>
      <c r="B47" s="8"/>
      <c r="C47" s="20"/>
      <c r="D47" s="20"/>
      <c r="E47" s="20"/>
      <c r="F47" s="20"/>
      <c r="G47" s="20"/>
      <c r="H47" s="19"/>
      <c r="I47" s="6"/>
      <c r="J47" s="6"/>
      <c r="K47" s="7"/>
    </row>
    <row r="48" spans="1:11" s="29" customFormat="1" ht="15.75" hidden="1" x14ac:dyDescent="0.25">
      <c r="A48" s="8"/>
      <c r="B48" s="8"/>
      <c r="C48" s="20"/>
      <c r="D48" s="20"/>
      <c r="E48" s="20"/>
      <c r="F48" s="20"/>
      <c r="G48" s="20"/>
      <c r="H48" s="19"/>
      <c r="I48" s="6"/>
      <c r="J48" s="6"/>
      <c r="K48" s="7"/>
    </row>
    <row r="49" spans="1:14" s="29" customFormat="1" ht="15" hidden="1" x14ac:dyDescent="0.2">
      <c r="A49" s="5"/>
      <c r="B49" s="5"/>
      <c r="C49" s="1"/>
      <c r="D49" s="1"/>
      <c r="E49" s="1"/>
      <c r="F49" s="1"/>
      <c r="G49" s="1"/>
      <c r="H49" s="2"/>
      <c r="I49" s="3"/>
      <c r="J49" s="3"/>
      <c r="K49" s="4"/>
    </row>
    <row r="50" spans="1:14" s="29" customFormat="1" ht="15" hidden="1" x14ac:dyDescent="0.2">
      <c r="A50" s="5"/>
      <c r="B50" s="5"/>
      <c r="C50" s="1"/>
      <c r="D50" s="1"/>
      <c r="E50" s="1"/>
      <c r="F50" s="1"/>
      <c r="G50" s="1"/>
      <c r="H50" s="2"/>
      <c r="I50" s="3"/>
      <c r="J50" s="3"/>
      <c r="K50" s="4"/>
    </row>
    <row r="51" spans="1:14" s="29" customFormat="1" ht="15" hidden="1" x14ac:dyDescent="0.2">
      <c r="A51" s="5"/>
      <c r="B51" s="5"/>
      <c r="C51" s="1"/>
      <c r="D51" s="1"/>
      <c r="E51" s="1"/>
      <c r="F51" s="1"/>
      <c r="G51" s="1"/>
      <c r="H51" s="2"/>
      <c r="I51" s="3"/>
      <c r="J51" s="3"/>
      <c r="K51" s="4"/>
    </row>
    <row r="52" spans="1:14" s="29" customFormat="1" ht="15" hidden="1" x14ac:dyDescent="0.2">
      <c r="A52" s="5"/>
      <c r="B52" s="5"/>
      <c r="C52" s="1"/>
      <c r="D52" s="1"/>
      <c r="E52" s="1"/>
      <c r="F52" s="1"/>
      <c r="G52" s="1"/>
      <c r="H52" s="2"/>
      <c r="I52" s="3"/>
      <c r="J52" s="3"/>
      <c r="K52" s="4"/>
    </row>
    <row r="53" spans="1:14" s="29" customFormat="1" ht="15" hidden="1" x14ac:dyDescent="0.2">
      <c r="A53" s="5"/>
      <c r="B53" s="5"/>
      <c r="C53" s="1"/>
      <c r="D53" s="1"/>
      <c r="E53" s="1"/>
      <c r="F53" s="1"/>
      <c r="G53" s="1"/>
      <c r="H53" s="2"/>
      <c r="I53" s="3"/>
      <c r="J53" s="3"/>
      <c r="K53" s="4"/>
    </row>
    <row r="54" spans="1:14" s="29" customFormat="1" ht="15" hidden="1" x14ac:dyDescent="0.2">
      <c r="A54" s="5"/>
      <c r="B54" s="5"/>
      <c r="C54" s="1"/>
      <c r="D54" s="1"/>
      <c r="E54" s="1"/>
      <c r="F54" s="1"/>
      <c r="G54" s="1"/>
      <c r="H54" s="2"/>
      <c r="I54" s="3"/>
      <c r="J54" s="3"/>
      <c r="K54" s="4"/>
    </row>
    <row r="55" spans="1:14" s="29" customFormat="1" ht="15" hidden="1" x14ac:dyDescent="0.2">
      <c r="A55" s="5"/>
      <c r="B55" s="5"/>
      <c r="C55" s="1"/>
      <c r="D55" s="1"/>
      <c r="E55" s="1"/>
      <c r="F55" s="1"/>
      <c r="G55" s="1"/>
      <c r="H55" s="2"/>
      <c r="I55" s="3"/>
      <c r="J55" s="3"/>
      <c r="K55" s="4"/>
    </row>
    <row r="56" spans="1:14" s="29" customFormat="1" ht="15" hidden="1" x14ac:dyDescent="0.2">
      <c r="A56" s="5"/>
      <c r="B56" s="5"/>
      <c r="C56" s="1"/>
      <c r="D56" s="1"/>
      <c r="E56" s="1"/>
      <c r="F56" s="1"/>
      <c r="G56" s="1"/>
      <c r="H56" s="2"/>
      <c r="I56" s="3"/>
      <c r="J56" s="3"/>
      <c r="K56" s="4"/>
    </row>
    <row r="57" spans="1:14" ht="13.15" hidden="1" customHeight="1" x14ac:dyDescent="0.2"/>
    <row r="58" spans="1:14" s="29" customFormat="1" ht="24.6" hidden="1" customHeight="1" x14ac:dyDescent="0.2">
      <c r="A58" s="5"/>
      <c r="B58" s="5"/>
      <c r="C58" s="1"/>
      <c r="D58" s="1"/>
      <c r="E58" s="1"/>
      <c r="F58" s="1"/>
      <c r="G58" s="1"/>
      <c r="H58" s="2"/>
      <c r="I58" s="3"/>
      <c r="J58" s="3"/>
      <c r="K58" s="4"/>
    </row>
    <row r="59" spans="1:14" s="6" customFormat="1" ht="15" hidden="1" x14ac:dyDescent="0.2">
      <c r="A59" s="5"/>
      <c r="B59" s="5"/>
      <c r="C59" s="1"/>
      <c r="D59" s="1"/>
      <c r="E59" s="1"/>
      <c r="F59" s="1"/>
      <c r="G59" s="1"/>
      <c r="H59" s="2"/>
      <c r="I59" s="3"/>
      <c r="J59" s="3"/>
      <c r="K59" s="4"/>
      <c r="M59" s="8"/>
      <c r="N59" s="8"/>
    </row>
    <row r="60" spans="1:14" s="6" customFormat="1" ht="15" hidden="1" x14ac:dyDescent="0.2">
      <c r="A60" s="5"/>
      <c r="B60" s="5"/>
      <c r="C60" s="1"/>
      <c r="D60" s="1"/>
      <c r="E60" s="1"/>
      <c r="F60" s="1"/>
      <c r="G60" s="1"/>
      <c r="H60" s="2"/>
      <c r="I60" s="3"/>
      <c r="J60" s="3"/>
      <c r="K60" s="4"/>
      <c r="M60" s="8"/>
      <c r="N60" s="8"/>
    </row>
    <row r="61" spans="1:14" s="6" customFormat="1" ht="15" hidden="1" x14ac:dyDescent="0.2">
      <c r="A61" s="5"/>
      <c r="B61" s="5"/>
      <c r="C61" s="1"/>
      <c r="D61" s="1"/>
      <c r="E61" s="1"/>
      <c r="F61" s="1"/>
      <c r="G61" s="1"/>
      <c r="H61" s="2"/>
      <c r="I61" s="3"/>
      <c r="J61" s="3"/>
      <c r="K61" s="4"/>
      <c r="M61" s="8"/>
      <c r="N61" s="8"/>
    </row>
    <row r="62" spans="1:14" s="3" customFormat="1" ht="12.75" hidden="1" x14ac:dyDescent="0.2">
      <c r="A62" s="5"/>
      <c r="B62" s="5"/>
      <c r="C62" s="1"/>
      <c r="D62" s="1"/>
      <c r="E62" s="1"/>
      <c r="F62" s="1"/>
      <c r="G62" s="1"/>
      <c r="H62" s="2"/>
      <c r="K62" s="4"/>
      <c r="M62" s="5"/>
      <c r="N62" s="5"/>
    </row>
    <row r="63" spans="1:14" ht="13.15" hidden="1" customHeight="1" x14ac:dyDescent="0.2"/>
    <row r="64" spans="1:14" ht="13.15" hidden="1" customHeight="1" x14ac:dyDescent="0.2"/>
    <row r="65" ht="13.15" hidden="1" customHeight="1" x14ac:dyDescent="0.2"/>
    <row r="66" ht="13.15" hidden="1" customHeight="1" x14ac:dyDescent="0.2"/>
    <row r="67" ht="13.15" hidden="1" customHeight="1" x14ac:dyDescent="0.2"/>
    <row r="68" ht="13.15" hidden="1" customHeight="1" x14ac:dyDescent="0.2"/>
    <row r="69" ht="13.15" hidden="1" customHeight="1" x14ac:dyDescent="0.2"/>
  </sheetData>
  <pageMargins left="0.5" right="0.25" top="1" bottom="0.75" header="0.3" footer="0.3"/>
  <pageSetup scale="68"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E26:E40" twoDigitTextYear="1"/>
  </ignoredErrors>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O37"/>
  <sheetViews>
    <sheetView showGridLines="0" zoomScale="99" zoomScaleNormal="99" workbookViewId="0"/>
  </sheetViews>
  <sheetFormatPr defaultColWidth="0" defaultRowHeight="12.75" zeroHeight="1" x14ac:dyDescent="0.2"/>
  <cols>
    <col min="1" max="1" width="43" style="9" customWidth="1"/>
    <col min="2" max="2" width="44.28515625" style="9" customWidth="1"/>
    <col min="3" max="3" width="10" style="9" bestFit="1" customWidth="1"/>
    <col min="4" max="4" width="9.140625" style="9" bestFit="1" customWidth="1"/>
    <col min="5" max="5" width="8.7109375" style="9" bestFit="1" customWidth="1"/>
    <col min="6" max="6" width="13.7109375" style="10" bestFit="1" customWidth="1"/>
    <col min="7" max="7" width="15.7109375" style="9" customWidth="1"/>
    <col min="8" max="8" width="17" style="9" customWidth="1"/>
    <col min="9" max="9" width="13.7109375" style="9" customWidth="1"/>
    <col min="10" max="16384" width="8.85546875" style="9" hidden="1"/>
  </cols>
  <sheetData>
    <row r="1" spans="1:15" ht="23.25" x14ac:dyDescent="0.35">
      <c r="A1" s="91" t="s">
        <v>114</v>
      </c>
      <c r="B1" s="5"/>
      <c r="C1" s="5"/>
      <c r="D1" s="5"/>
      <c r="E1" s="5"/>
      <c r="F1" s="1"/>
      <c r="G1" s="5"/>
      <c r="H1" s="5"/>
      <c r="I1" s="5"/>
      <c r="O1" s="86"/>
    </row>
    <row r="2" spans="1:15" ht="15.75" x14ac:dyDescent="0.25">
      <c r="A2" s="92" t="s">
        <v>213</v>
      </c>
      <c r="B2" s="5"/>
      <c r="C2" s="5"/>
      <c r="D2" s="5"/>
      <c r="E2" s="5"/>
      <c r="F2" s="1"/>
      <c r="G2" s="5"/>
      <c r="H2" s="5"/>
      <c r="I2" s="5"/>
      <c r="O2" s="86"/>
    </row>
    <row r="3" spans="1:15" ht="15.75" x14ac:dyDescent="0.25">
      <c r="A3" s="8" t="s">
        <v>1</v>
      </c>
      <c r="B3"/>
      <c r="C3"/>
      <c r="D3"/>
      <c r="E3"/>
      <c r="F3"/>
      <c r="G3"/>
      <c r="H3"/>
      <c r="I3"/>
    </row>
    <row r="4" spans="1:15" ht="15.75" x14ac:dyDescent="0.25">
      <c r="A4" s="59" t="s">
        <v>2</v>
      </c>
      <c r="B4"/>
      <c r="C4"/>
      <c r="D4"/>
      <c r="E4"/>
      <c r="F4"/>
      <c r="G4"/>
      <c r="H4"/>
      <c r="I4"/>
    </row>
    <row r="5" spans="1:15" s="52" customFormat="1" ht="15.75" x14ac:dyDescent="0.25">
      <c r="A5" s="8" t="s">
        <v>3</v>
      </c>
      <c r="B5"/>
      <c r="C5"/>
      <c r="D5"/>
      <c r="E5"/>
      <c r="F5"/>
      <c r="G5"/>
      <c r="H5"/>
      <c r="I5"/>
    </row>
    <row r="6" spans="1:15" s="52" customFormat="1" ht="15.75" x14ac:dyDescent="0.25">
      <c r="A6" s="12" t="s">
        <v>4</v>
      </c>
      <c r="B6"/>
      <c r="C6"/>
      <c r="D6"/>
      <c r="E6"/>
      <c r="F6"/>
      <c r="G6"/>
      <c r="H6"/>
      <c r="I6"/>
    </row>
    <row r="7" spans="1:15" ht="19.899999999999999" customHeight="1" x14ac:dyDescent="0.25">
      <c r="A7" s="8" t="s">
        <v>37</v>
      </c>
      <c r="B7" s="8"/>
      <c r="C7"/>
      <c r="D7"/>
      <c r="E7"/>
      <c r="F7"/>
      <c r="G7"/>
      <c r="H7"/>
      <c r="I7"/>
    </row>
    <row r="8" spans="1:15" s="55" customFormat="1" ht="60" x14ac:dyDescent="0.2">
      <c r="A8" s="13" t="s">
        <v>38</v>
      </c>
      <c r="B8" s="13" t="s">
        <v>39</v>
      </c>
      <c r="C8" s="13" t="s">
        <v>40</v>
      </c>
      <c r="D8" s="14" t="s">
        <v>41</v>
      </c>
      <c r="E8" s="14" t="s">
        <v>42</v>
      </c>
      <c r="F8" s="14" t="s">
        <v>43</v>
      </c>
      <c r="G8" s="14" t="s">
        <v>115</v>
      </c>
      <c r="H8" s="14" t="s">
        <v>116</v>
      </c>
      <c r="I8" s="13" t="s">
        <v>21</v>
      </c>
    </row>
    <row r="9" spans="1:15" ht="15" x14ac:dyDescent="0.2">
      <c r="A9" s="13" t="s">
        <v>46</v>
      </c>
      <c r="B9" s="8" t="s">
        <v>47</v>
      </c>
      <c r="C9" s="20">
        <v>1</v>
      </c>
      <c r="D9" s="20" t="s">
        <v>48</v>
      </c>
      <c r="E9" s="20" t="s">
        <v>48</v>
      </c>
      <c r="F9" s="20" t="s">
        <v>48</v>
      </c>
      <c r="G9" s="19">
        <v>4705232</v>
      </c>
      <c r="H9" s="19">
        <v>93868</v>
      </c>
      <c r="I9" s="19">
        <f>SUM(Table42[[#This Row],[Fiscal Year
2016–17
(7/1/16 to 6/30/17)]:[Fiscal Year
2017–18
(7/1/17 to 12/31/17)]])</f>
        <v>4799100</v>
      </c>
    </row>
    <row r="10" spans="1:15" ht="30" x14ac:dyDescent="0.2">
      <c r="A10" s="13" t="s">
        <v>46</v>
      </c>
      <c r="B10" s="13" t="s">
        <v>49</v>
      </c>
      <c r="C10" s="20">
        <v>2</v>
      </c>
      <c r="D10" s="20" t="s">
        <v>48</v>
      </c>
      <c r="E10" s="20" t="s">
        <v>48</v>
      </c>
      <c r="F10" s="20" t="s">
        <v>48</v>
      </c>
      <c r="G10" s="19">
        <v>6115925</v>
      </c>
      <c r="H10" s="19">
        <v>141730</v>
      </c>
      <c r="I10" s="19">
        <f>SUM(Table42[[#This Row],[Fiscal Year
2016–17
(7/1/16 to 6/30/17)]:[Fiscal Year
2017–18
(7/1/17 to 12/31/17)]])</f>
        <v>6257655</v>
      </c>
    </row>
    <row r="11" spans="1:15" ht="15" x14ac:dyDescent="0.2">
      <c r="A11" s="13" t="s">
        <v>46</v>
      </c>
      <c r="B11" s="8" t="s">
        <v>50</v>
      </c>
      <c r="C11" s="20">
        <v>3</v>
      </c>
      <c r="D11" s="20" t="s">
        <v>48</v>
      </c>
      <c r="E11" s="20" t="s">
        <v>48</v>
      </c>
      <c r="F11" s="20" t="s">
        <v>48</v>
      </c>
      <c r="G11" s="19">
        <v>4257302</v>
      </c>
      <c r="H11" s="19">
        <v>443722</v>
      </c>
      <c r="I11" s="19">
        <f>SUM(Table42[[#This Row],[Fiscal Year
2016–17
(7/1/16 to 6/30/17)]:[Fiscal Year
2017–18
(7/1/17 to 12/31/17)]])</f>
        <v>4701024</v>
      </c>
    </row>
    <row r="12" spans="1:15" ht="15" x14ac:dyDescent="0.2">
      <c r="A12" s="13" t="s">
        <v>46</v>
      </c>
      <c r="B12" s="8" t="s">
        <v>51</v>
      </c>
      <c r="C12" s="20">
        <v>4</v>
      </c>
      <c r="D12" s="20" t="s">
        <v>48</v>
      </c>
      <c r="E12" s="20" t="s">
        <v>48</v>
      </c>
      <c r="F12" s="20" t="s">
        <v>48</v>
      </c>
      <c r="G12" s="19">
        <v>100577</v>
      </c>
      <c r="H12" s="19">
        <v>0</v>
      </c>
      <c r="I12" s="19">
        <f>SUM(Table42[[#This Row],[Fiscal Year
2016–17
(7/1/16 to 6/30/17)]:[Fiscal Year
2017–18
(7/1/17 to 12/31/17)]])</f>
        <v>100577</v>
      </c>
    </row>
    <row r="13" spans="1:15" ht="15" x14ac:dyDescent="0.2">
      <c r="A13" s="13" t="s">
        <v>46</v>
      </c>
      <c r="B13" s="8" t="s">
        <v>52</v>
      </c>
      <c r="C13" s="20">
        <v>5</v>
      </c>
      <c r="D13" s="20" t="s">
        <v>48</v>
      </c>
      <c r="E13" s="20" t="s">
        <v>48</v>
      </c>
      <c r="F13" s="20" t="s">
        <v>48</v>
      </c>
      <c r="G13" s="19">
        <v>100491</v>
      </c>
      <c r="H13" s="19">
        <v>0</v>
      </c>
      <c r="I13" s="19">
        <f>SUM(Table42[[#This Row],[Fiscal Year
2016–17
(7/1/16 to 6/30/17)]:[Fiscal Year
2017–18
(7/1/17 to 12/31/17)]])</f>
        <v>100491</v>
      </c>
    </row>
    <row r="14" spans="1:15" ht="15" x14ac:dyDescent="0.2">
      <c r="A14" s="13" t="s">
        <v>53</v>
      </c>
      <c r="B14" s="8" t="s">
        <v>117</v>
      </c>
      <c r="C14" s="20">
        <v>6</v>
      </c>
      <c r="D14" s="20" t="s">
        <v>55</v>
      </c>
      <c r="E14" s="20" t="s">
        <v>56</v>
      </c>
      <c r="F14" s="20" t="s">
        <v>48</v>
      </c>
      <c r="G14" s="19">
        <v>916550</v>
      </c>
      <c r="H14" s="19">
        <v>467130</v>
      </c>
      <c r="I14" s="19">
        <f>SUM(Table42[[#This Row],[Fiscal Year
2016–17
(7/1/16 to 6/30/17)]:[Fiscal Year
2017–18
(7/1/17 to 12/31/17)]])</f>
        <v>1383680</v>
      </c>
    </row>
    <row r="15" spans="1:15" ht="15" x14ac:dyDescent="0.2">
      <c r="A15" s="13" t="s">
        <v>53</v>
      </c>
      <c r="B15" s="8" t="s">
        <v>118</v>
      </c>
      <c r="C15" s="20">
        <v>6</v>
      </c>
      <c r="D15" s="20" t="s">
        <v>55</v>
      </c>
      <c r="E15" s="20" t="s">
        <v>59</v>
      </c>
      <c r="F15" s="20" t="s">
        <v>48</v>
      </c>
      <c r="G15" s="19">
        <v>4821112</v>
      </c>
      <c r="H15" s="19">
        <v>609132</v>
      </c>
      <c r="I15" s="19">
        <f>SUM(Table42[[#This Row],[Fiscal Year
2016–17
(7/1/16 to 6/30/17)]:[Fiscal Year
2017–18
(7/1/17 to 12/31/17)]])</f>
        <v>5430244</v>
      </c>
    </row>
    <row r="16" spans="1:15" ht="15" x14ac:dyDescent="0.2">
      <c r="A16" s="13" t="s">
        <v>53</v>
      </c>
      <c r="B16" s="8" t="s">
        <v>119</v>
      </c>
      <c r="C16" s="20">
        <v>6</v>
      </c>
      <c r="D16" s="20" t="s">
        <v>55</v>
      </c>
      <c r="E16" s="20" t="s">
        <v>59</v>
      </c>
      <c r="F16" s="20" t="s">
        <v>48</v>
      </c>
      <c r="G16" s="19">
        <v>589835</v>
      </c>
      <c r="H16" s="19">
        <v>28457</v>
      </c>
      <c r="I16" s="19">
        <f>SUM(Table42[[#This Row],[Fiscal Year
2016–17
(7/1/16 to 6/30/17)]:[Fiscal Year
2017–18
(7/1/17 to 12/31/17)]])</f>
        <v>618292</v>
      </c>
    </row>
    <row r="17" spans="1:9" ht="15" x14ac:dyDescent="0.2">
      <c r="A17" s="13" t="s">
        <v>53</v>
      </c>
      <c r="B17" s="8" t="s">
        <v>61</v>
      </c>
      <c r="C17" s="20">
        <v>6</v>
      </c>
      <c r="D17" s="20" t="s">
        <v>55</v>
      </c>
      <c r="E17" s="20" t="s">
        <v>62</v>
      </c>
      <c r="F17" s="20" t="s">
        <v>48</v>
      </c>
      <c r="G17" s="19">
        <v>1049006</v>
      </c>
      <c r="H17" s="19">
        <v>37807</v>
      </c>
      <c r="I17" s="19">
        <f>SUM(Table42[[#This Row],[Fiscal Year
2016–17
(7/1/16 to 6/30/17)]:[Fiscal Year
2017–18
(7/1/17 to 12/31/17)]])</f>
        <v>1086813</v>
      </c>
    </row>
    <row r="18" spans="1:9" ht="30" x14ac:dyDescent="0.2">
      <c r="A18" s="13" t="s">
        <v>63</v>
      </c>
      <c r="B18" s="8" t="s">
        <v>64</v>
      </c>
      <c r="C18" s="20" t="s">
        <v>65</v>
      </c>
      <c r="D18" s="20" t="s">
        <v>55</v>
      </c>
      <c r="E18" s="20" t="s">
        <v>56</v>
      </c>
      <c r="F18" s="49">
        <v>3104000</v>
      </c>
      <c r="G18" s="19">
        <v>44463695</v>
      </c>
      <c r="H18" s="19">
        <v>3511441</v>
      </c>
      <c r="I18" s="19">
        <f>SUM(Table42[[#This Row],[Fiscal Year
2016–17
(7/1/16 to 6/30/17)]:[Fiscal Year
2017–18
(7/1/17 to 12/31/17)]])</f>
        <v>47975136</v>
      </c>
    </row>
    <row r="19" spans="1:9" ht="30" x14ac:dyDescent="0.2">
      <c r="A19" s="13" t="s">
        <v>66</v>
      </c>
      <c r="B19" s="8" t="s">
        <v>67</v>
      </c>
      <c r="C19" s="20" t="s">
        <v>68</v>
      </c>
      <c r="D19" s="20" t="s">
        <v>55</v>
      </c>
      <c r="E19" s="20" t="s">
        <v>69</v>
      </c>
      <c r="F19" s="20" t="s">
        <v>48</v>
      </c>
      <c r="G19" s="19">
        <v>1678581</v>
      </c>
      <c r="H19" s="19">
        <v>2741</v>
      </c>
      <c r="I19" s="19">
        <f>SUM(Table42[[#This Row],[Fiscal Year
2016–17
(7/1/16 to 6/30/17)]:[Fiscal Year
2017–18
(7/1/17 to 12/31/17)]])</f>
        <v>1681322</v>
      </c>
    </row>
    <row r="20" spans="1:9" ht="30" x14ac:dyDescent="0.2">
      <c r="A20" s="13" t="s">
        <v>63</v>
      </c>
      <c r="B20" s="8" t="s">
        <v>117</v>
      </c>
      <c r="C20" s="20" t="s">
        <v>65</v>
      </c>
      <c r="D20" s="20" t="s">
        <v>55</v>
      </c>
      <c r="E20" s="20" t="s">
        <v>56</v>
      </c>
      <c r="F20" s="49">
        <v>39000</v>
      </c>
      <c r="G20" s="56">
        <v>1030128</v>
      </c>
      <c r="H20" s="19">
        <v>30879</v>
      </c>
      <c r="I20" s="19">
        <f>SUM(Table42[[#This Row],[Fiscal Year
2016–17
(7/1/16 to 6/30/17)]:[Fiscal Year
2017–18
(7/1/17 to 12/31/17)]])</f>
        <v>1061007</v>
      </c>
    </row>
    <row r="21" spans="1:9" ht="30" x14ac:dyDescent="0.2">
      <c r="A21" s="13" t="s">
        <v>63</v>
      </c>
      <c r="B21" s="8" t="s">
        <v>64</v>
      </c>
      <c r="C21" s="20" t="s">
        <v>65</v>
      </c>
      <c r="D21" s="20" t="s">
        <v>71</v>
      </c>
      <c r="E21" s="20" t="s">
        <v>56</v>
      </c>
      <c r="F21" s="49">
        <v>96000</v>
      </c>
      <c r="G21" s="19">
        <v>1727731</v>
      </c>
      <c r="H21" s="19">
        <v>366421</v>
      </c>
      <c r="I21" s="19">
        <f>SUM(Table42[[#This Row],[Fiscal Year
2016–17
(7/1/16 to 6/30/17)]:[Fiscal Year
2017–18
(7/1/17 to 12/31/17)]])</f>
        <v>2094152</v>
      </c>
    </row>
    <row r="22" spans="1:9" ht="30" x14ac:dyDescent="0.2">
      <c r="A22" s="13" t="s">
        <v>63</v>
      </c>
      <c r="B22" s="8" t="s">
        <v>117</v>
      </c>
      <c r="C22" s="20" t="s">
        <v>65</v>
      </c>
      <c r="D22" s="20" t="s">
        <v>71</v>
      </c>
      <c r="E22" s="20" t="s">
        <v>56</v>
      </c>
      <c r="F22" s="49">
        <v>4000</v>
      </c>
      <c r="G22" s="19">
        <v>115549</v>
      </c>
      <c r="H22" s="19">
        <v>2851</v>
      </c>
      <c r="I22" s="19">
        <f>SUM(Table42[[#This Row],[Fiscal Year
2016–17
(7/1/16 to 6/30/17)]:[Fiscal Year
2017–18
(7/1/17 to 12/31/17)]])</f>
        <v>118400</v>
      </c>
    </row>
    <row r="23" spans="1:9" ht="30" x14ac:dyDescent="0.2">
      <c r="A23" s="13" t="s">
        <v>63</v>
      </c>
      <c r="B23" s="8" t="s">
        <v>72</v>
      </c>
      <c r="C23" s="20" t="s">
        <v>65</v>
      </c>
      <c r="D23" s="20" t="s">
        <v>71</v>
      </c>
      <c r="E23" s="20" t="s">
        <v>73</v>
      </c>
      <c r="F23" s="49">
        <v>1380000</v>
      </c>
      <c r="G23" s="19">
        <v>0</v>
      </c>
      <c r="H23" s="19">
        <v>0</v>
      </c>
      <c r="I23" s="19">
        <f>SUM(Table42[[#This Row],[Fiscal Year
2016–17
(7/1/16 to 6/30/17)]:[Fiscal Year
2017–18
(7/1/17 to 12/31/17)]])</f>
        <v>0</v>
      </c>
    </row>
    <row r="24" spans="1:9" ht="30" x14ac:dyDescent="0.2">
      <c r="A24" s="13" t="s">
        <v>63</v>
      </c>
      <c r="B24" s="8" t="s">
        <v>74</v>
      </c>
      <c r="C24" s="20" t="s">
        <v>65</v>
      </c>
      <c r="D24" s="20" t="s">
        <v>71</v>
      </c>
      <c r="E24" s="20" t="s">
        <v>73</v>
      </c>
      <c r="F24" s="49">
        <v>15000</v>
      </c>
      <c r="G24" s="19">
        <v>0</v>
      </c>
      <c r="H24" s="19">
        <v>0</v>
      </c>
      <c r="I24" s="19">
        <f>SUM(Table42[[#This Row],[Fiscal Year
2016–17
(7/1/16 to 6/30/17)]:[Fiscal Year
2017–18
(7/1/17 to 12/31/17)]])</f>
        <v>0</v>
      </c>
    </row>
    <row r="25" spans="1:9" ht="30" x14ac:dyDescent="0.2">
      <c r="A25" s="13" t="s">
        <v>63</v>
      </c>
      <c r="B25" s="8" t="s">
        <v>75</v>
      </c>
      <c r="C25" s="20" t="s">
        <v>65</v>
      </c>
      <c r="D25" s="20" t="s">
        <v>71</v>
      </c>
      <c r="E25" s="20" t="s">
        <v>76</v>
      </c>
      <c r="F25" s="49">
        <v>45000</v>
      </c>
      <c r="G25" s="19">
        <v>1166186</v>
      </c>
      <c r="H25" s="19">
        <v>18587</v>
      </c>
      <c r="I25" s="19">
        <f>SUM(Table42[[#This Row],[Fiscal Year
2016–17
(7/1/16 to 6/30/17)]:[Fiscal Year
2017–18
(7/1/17 to 12/31/17)]])</f>
        <v>1184773</v>
      </c>
    </row>
    <row r="26" spans="1:9" ht="30" x14ac:dyDescent="0.25">
      <c r="A26" s="73" t="s">
        <v>120</v>
      </c>
      <c r="B26" s="54" t="s">
        <v>48</v>
      </c>
      <c r="C26" s="54" t="s">
        <v>48</v>
      </c>
      <c r="D26" s="54" t="s">
        <v>48</v>
      </c>
      <c r="E26" s="54" t="s">
        <v>48</v>
      </c>
      <c r="F26" s="54" t="s">
        <v>48</v>
      </c>
      <c r="G26" s="61">
        <f>SUBTOTAL(109,Table42[Fiscal Year
2016–17
(7/1/16 to 6/30/17)])</f>
        <v>71671714</v>
      </c>
      <c r="H26" s="61">
        <f>SUBTOTAL(109,Table42[Fiscal Year
2017–18
(7/1/17 to 12/31/17)])</f>
        <v>5736179</v>
      </c>
      <c r="I26" s="61">
        <f>SUBTOTAL(109,Table42[Total Costs])</f>
        <v>78592666</v>
      </c>
    </row>
    <row r="27" spans="1:9" hidden="1" x14ac:dyDescent="0.2"/>
    <row r="28" spans="1:9" hidden="1" x14ac:dyDescent="0.2"/>
    <row r="29" spans="1:9" hidden="1" x14ac:dyDescent="0.2"/>
    <row r="30" spans="1:9" hidden="1" x14ac:dyDescent="0.2"/>
    <row r="31" spans="1:9" hidden="1" x14ac:dyDescent="0.2"/>
    <row r="32" spans="1:9" hidden="1" x14ac:dyDescent="0.2"/>
    <row r="33" hidden="1" x14ac:dyDescent="0.2"/>
    <row r="34" hidden="1" x14ac:dyDescent="0.2"/>
    <row r="35" hidden="1" x14ac:dyDescent="0.2"/>
    <row r="36" hidden="1" x14ac:dyDescent="0.2"/>
    <row r="37" hidden="1" x14ac:dyDescent="0.2"/>
  </sheetData>
  <pageMargins left="0.5" right="0.25" top="1" bottom="0.75" header="0.3" footer="0.3"/>
  <pageSetup scale="75"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C18:C25 E23:E24" twoDigitTextYear="1"/>
  </ignoredError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pageSetUpPr fitToPage="1"/>
  </sheetPr>
  <dimension ref="A1:O69"/>
  <sheetViews>
    <sheetView showGridLines="0" zoomScaleNormal="100" workbookViewId="0"/>
  </sheetViews>
  <sheetFormatPr defaultColWidth="0" defaultRowHeight="0" customHeight="1" zeroHeight="1" x14ac:dyDescent="0.2"/>
  <cols>
    <col min="1" max="1" width="51.140625" style="5" customWidth="1"/>
    <col min="2" max="2" width="11.85546875" style="5" bestFit="1" customWidth="1"/>
    <col min="3" max="5" width="12" style="1" bestFit="1" customWidth="1"/>
    <col min="6" max="6" width="13.7109375" style="1" bestFit="1" customWidth="1"/>
    <col min="7" max="7" width="14.140625" style="1" bestFit="1" customWidth="1"/>
    <col min="8" max="8" width="12.7109375" style="2" bestFit="1" customWidth="1"/>
    <col min="9" max="9" width="16" style="3" bestFit="1" customWidth="1"/>
    <col min="10" max="10" width="17" style="3" bestFit="1" customWidth="1"/>
    <col min="11" max="11" width="19.42578125" style="4" bestFit="1" customWidth="1"/>
    <col min="12" max="12" width="12.7109375" style="3" hidden="1" customWidth="1"/>
    <col min="13" max="13" width="0" style="5" hidden="1" customWidth="1"/>
    <col min="14" max="14" width="12.7109375" style="5" hidden="1" customWidth="1"/>
    <col min="15" max="16384" width="8.85546875" style="5" hidden="1"/>
  </cols>
  <sheetData>
    <row r="1" spans="1:15" ht="23.25" x14ac:dyDescent="0.35">
      <c r="A1" s="91" t="s">
        <v>121</v>
      </c>
      <c r="B1" s="1"/>
      <c r="O1" s="85"/>
    </row>
    <row r="2" spans="1:15" s="99" customFormat="1" ht="15.75" x14ac:dyDescent="0.25">
      <c r="A2" s="92" t="s">
        <v>213</v>
      </c>
      <c r="B2" s="95"/>
      <c r="C2" s="95"/>
      <c r="D2" s="95"/>
      <c r="E2" s="95"/>
      <c r="F2" s="95"/>
      <c r="G2" s="95"/>
      <c r="H2" s="96"/>
      <c r="I2" s="97"/>
      <c r="J2" s="97"/>
      <c r="K2" s="98"/>
      <c r="L2" s="97"/>
      <c r="O2" s="94"/>
    </row>
    <row r="3" spans="1:15" ht="15" x14ac:dyDescent="0.2">
      <c r="A3" s="8" t="s">
        <v>1</v>
      </c>
      <c r="B3" s="1"/>
    </row>
    <row r="4" spans="1:15" ht="14.45" customHeight="1" x14ac:dyDescent="0.2">
      <c r="A4" s="59" t="s">
        <v>2</v>
      </c>
      <c r="B4" s="1"/>
    </row>
    <row r="5" spans="1:15" ht="15" x14ac:dyDescent="0.2">
      <c r="A5" s="8" t="s">
        <v>3</v>
      </c>
      <c r="B5" s="1"/>
    </row>
    <row r="6" spans="1:15" ht="15" x14ac:dyDescent="0.2">
      <c r="A6" s="12" t="s">
        <v>4</v>
      </c>
      <c r="B6" s="1"/>
    </row>
    <row r="7" spans="1:15" ht="19.899999999999999" customHeight="1" x14ac:dyDescent="0.2">
      <c r="A7" s="21" t="s">
        <v>37</v>
      </c>
    </row>
    <row r="8" spans="1:15" ht="78.75" x14ac:dyDescent="0.25">
      <c r="A8" s="8" t="s">
        <v>39</v>
      </c>
      <c r="B8" s="14" t="s">
        <v>80</v>
      </c>
      <c r="C8" s="14" t="s">
        <v>81</v>
      </c>
      <c r="D8" s="14" t="s">
        <v>82</v>
      </c>
      <c r="E8" s="14" t="s">
        <v>83</v>
      </c>
      <c r="F8" s="14" t="s">
        <v>205</v>
      </c>
      <c r="G8" s="64" t="s">
        <v>84</v>
      </c>
      <c r="H8" s="14" t="s">
        <v>85</v>
      </c>
      <c r="I8" s="14" t="s">
        <v>86</v>
      </c>
      <c r="J8" s="65" t="s">
        <v>87</v>
      </c>
      <c r="K8" s="14" t="s">
        <v>88</v>
      </c>
      <c r="L8" s="5"/>
    </row>
    <row r="9" spans="1:15" s="29" customFormat="1" ht="30" x14ac:dyDescent="0.25">
      <c r="A9" s="63" t="s">
        <v>89</v>
      </c>
      <c r="B9" s="22">
        <v>1</v>
      </c>
      <c r="C9" s="24" t="s">
        <v>48</v>
      </c>
      <c r="D9" s="24" t="s">
        <v>48</v>
      </c>
      <c r="E9" s="24" t="s">
        <v>48</v>
      </c>
      <c r="F9" s="24" t="s">
        <v>48</v>
      </c>
      <c r="G9" s="25">
        <v>4799100</v>
      </c>
      <c r="H9" s="24" t="s">
        <v>48</v>
      </c>
      <c r="I9" s="32">
        <f>IFERROR(+Table1310121516[[#This Row],[Column G: 
Per Pupil Costs]]/Table1310121516[[#This Row],[Column E: 
Estimated Number of Test Takers*]],0)</f>
        <v>0</v>
      </c>
      <c r="J9" s="27">
        <f>+Table1310121516[[#This Row],[Column F: 
Fixed Costs]]</f>
        <v>4799100</v>
      </c>
      <c r="K9" s="28">
        <f>+J9/$F$43</f>
        <v>1.0247918001281231</v>
      </c>
    </row>
    <row r="10" spans="1:15" s="29" customFormat="1" ht="45" x14ac:dyDescent="0.25">
      <c r="A10" s="63" t="s">
        <v>90</v>
      </c>
      <c r="B10" s="22">
        <v>2</v>
      </c>
      <c r="C10" s="24" t="s">
        <v>48</v>
      </c>
      <c r="D10" s="24" t="s">
        <v>48</v>
      </c>
      <c r="E10" s="24" t="s">
        <v>48</v>
      </c>
      <c r="F10" s="24" t="s">
        <v>48</v>
      </c>
      <c r="G10" s="25">
        <v>6257655</v>
      </c>
      <c r="H10" s="24" t="s">
        <v>48</v>
      </c>
      <c r="I10" s="32">
        <f>IFERROR(+Table1310121516[[#This Row],[Column G: 
Per Pupil Costs]]/Table1310121516[[#This Row],[Column E: 
Estimated Number of Test Takers*]],0)</f>
        <v>0</v>
      </c>
      <c r="J10" s="27">
        <f>+Table1310121516[[#This Row],[Column F: 
Fixed Costs]]</f>
        <v>6257655</v>
      </c>
      <c r="K10" s="28">
        <f>+J10/$F$43</f>
        <v>1.336249199231262</v>
      </c>
    </row>
    <row r="11" spans="1:15" s="29" customFormat="1" ht="30" x14ac:dyDescent="0.25">
      <c r="A11" s="63" t="s">
        <v>91</v>
      </c>
      <c r="B11" s="22">
        <v>3</v>
      </c>
      <c r="C11" s="24" t="s">
        <v>48</v>
      </c>
      <c r="D11" s="24" t="s">
        <v>48</v>
      </c>
      <c r="E11" s="24" t="s">
        <v>48</v>
      </c>
      <c r="F11" s="24" t="s">
        <v>48</v>
      </c>
      <c r="G11" s="25">
        <v>4701024</v>
      </c>
      <c r="H11" s="24" t="s">
        <v>48</v>
      </c>
      <c r="I11" s="32">
        <f>IFERROR(+Table1310121516[[#This Row],[Column G: 
Per Pupil Costs]]/Table1310121516[[#This Row],[Column E: 
Estimated Number of Test Takers*]],0)</f>
        <v>0</v>
      </c>
      <c r="J11" s="27">
        <f>+Table1310121516[[#This Row],[Column F: 
Fixed Costs]]</f>
        <v>4701024</v>
      </c>
      <c r="K11" s="28">
        <f>+J11/$F$43</f>
        <v>1.0038488148622677</v>
      </c>
    </row>
    <row r="12" spans="1:15" s="29" customFormat="1" ht="30" x14ac:dyDescent="0.25">
      <c r="A12" s="63" t="s">
        <v>92</v>
      </c>
      <c r="B12" s="22">
        <v>4</v>
      </c>
      <c r="C12" s="24" t="s">
        <v>48</v>
      </c>
      <c r="D12" s="24" t="s">
        <v>48</v>
      </c>
      <c r="E12" s="24" t="s">
        <v>48</v>
      </c>
      <c r="F12" s="24" t="s">
        <v>48</v>
      </c>
      <c r="G12" s="25">
        <v>100577</v>
      </c>
      <c r="H12" s="24" t="s">
        <v>48</v>
      </c>
      <c r="I12" s="32">
        <f>IFERROR(+Table1310121516[[#This Row],[Column G: 
Per Pupil Costs]]/Table1310121516[[#This Row],[Column E: 
Estimated Number of Test Takers*]],0)</f>
        <v>0</v>
      </c>
      <c r="J12" s="27">
        <f>+Table1310121516[[#This Row],[Column F: 
Fixed Costs]]</f>
        <v>100577</v>
      </c>
      <c r="K12" s="28">
        <f>+J12/$F$43</f>
        <v>2.1477044629510996E-2</v>
      </c>
    </row>
    <row r="13" spans="1:15" s="29" customFormat="1" ht="30" x14ac:dyDescent="0.25">
      <c r="A13" s="63" t="s">
        <v>93</v>
      </c>
      <c r="B13" s="22">
        <v>5</v>
      </c>
      <c r="C13" s="24" t="s">
        <v>48</v>
      </c>
      <c r="D13" s="24" t="s">
        <v>48</v>
      </c>
      <c r="E13" s="24" t="s">
        <v>48</v>
      </c>
      <c r="F13" s="24" t="s">
        <v>48</v>
      </c>
      <c r="G13" s="25">
        <v>100491</v>
      </c>
      <c r="H13" s="24" t="s">
        <v>48</v>
      </c>
      <c r="I13" s="32">
        <f>IFERROR(+Table1310121516[[#This Row],[Column G: 
Per Pupil Costs]]/Table1310121516[[#This Row],[Column E: 
Estimated Number of Test Takers*]],0)</f>
        <v>0</v>
      </c>
      <c r="J13" s="27">
        <f>+Table1310121516[[#This Row],[Column F: 
Fixed Costs]]</f>
        <v>100491</v>
      </c>
      <c r="K13" s="28">
        <f>+J13/$F$43</f>
        <v>2.1458680333119796E-2</v>
      </c>
    </row>
    <row r="14" spans="1:15" s="29" customFormat="1" ht="30" x14ac:dyDescent="0.25">
      <c r="A14" s="63" t="s">
        <v>94</v>
      </c>
      <c r="B14" s="22">
        <v>6</v>
      </c>
      <c r="C14" s="22" t="s">
        <v>55</v>
      </c>
      <c r="D14" s="24" t="s">
        <v>95</v>
      </c>
      <c r="E14" s="24" t="s">
        <v>56</v>
      </c>
      <c r="F14" s="24" t="s">
        <v>48</v>
      </c>
      <c r="G14" s="25">
        <v>1383680</v>
      </c>
      <c r="H14" s="24" t="s">
        <v>48</v>
      </c>
      <c r="I14" s="32">
        <f>IFERROR(+Table1310121516[[#This Row],[Column G: 
Per Pupil Costs]]/Table1310121516[[#This Row],[Column E: 
Estimated Number of Test Takers*]],0)</f>
        <v>0</v>
      </c>
      <c r="J14" s="27">
        <f>+Table1310121516[[#This Row],[Column F: 
Fixed Costs]]</f>
        <v>1383680</v>
      </c>
      <c r="K14" s="30" t="s">
        <v>48</v>
      </c>
    </row>
    <row r="15" spans="1:15" s="29" customFormat="1" ht="15.75" x14ac:dyDescent="0.25">
      <c r="A15" s="66" t="s">
        <v>122</v>
      </c>
      <c r="B15" s="22">
        <v>6</v>
      </c>
      <c r="C15" s="22" t="s">
        <v>55</v>
      </c>
      <c r="D15" s="24" t="s">
        <v>98</v>
      </c>
      <c r="E15" s="24" t="s">
        <v>99</v>
      </c>
      <c r="F15" s="24" t="s">
        <v>48</v>
      </c>
      <c r="G15" s="25">
        <v>5430244</v>
      </c>
      <c r="H15" s="24" t="s">
        <v>48</v>
      </c>
      <c r="I15" s="32">
        <f>IFERROR(+Table1310121516[[#This Row],[Column G: 
Per Pupil Costs]]/Table1310121516[[#This Row],[Column E: 
Estimated Number of Test Takers*]],0)</f>
        <v>0</v>
      </c>
      <c r="J15" s="27">
        <f>+Table1310121516[[#This Row],[Column F: 
Fixed Costs]]</f>
        <v>5430244</v>
      </c>
      <c r="K15" s="30" t="s">
        <v>48</v>
      </c>
    </row>
    <row r="16" spans="1:15" s="29" customFormat="1" ht="15.75" x14ac:dyDescent="0.25">
      <c r="A16" s="63" t="s">
        <v>123</v>
      </c>
      <c r="B16" s="22">
        <v>6</v>
      </c>
      <c r="C16" s="22" t="s">
        <v>55</v>
      </c>
      <c r="D16" s="24" t="s">
        <v>98</v>
      </c>
      <c r="E16" s="24" t="s">
        <v>99</v>
      </c>
      <c r="F16" s="24" t="s">
        <v>48</v>
      </c>
      <c r="G16" s="25">
        <v>618292</v>
      </c>
      <c r="H16" s="24" t="s">
        <v>48</v>
      </c>
      <c r="I16" s="32">
        <f>IFERROR(+Table1310121516[[#This Row],[Column G: 
Per Pupil Costs]]/Table1310121516[[#This Row],[Column E: 
Estimated Number of Test Takers*]],0)</f>
        <v>0</v>
      </c>
      <c r="J16" s="27">
        <f>+Table1310121516[[#This Row],[Column F: 
Fixed Costs]]</f>
        <v>618292</v>
      </c>
      <c r="K16" s="30" t="s">
        <v>48</v>
      </c>
    </row>
    <row r="17" spans="1:11" s="29" customFormat="1" ht="15.75" x14ac:dyDescent="0.25">
      <c r="A17" s="63" t="s">
        <v>101</v>
      </c>
      <c r="B17" s="22">
        <v>6</v>
      </c>
      <c r="C17" s="22" t="s">
        <v>55</v>
      </c>
      <c r="D17" s="24" t="s">
        <v>102</v>
      </c>
      <c r="E17" s="24" t="s">
        <v>62</v>
      </c>
      <c r="F17" s="24" t="s">
        <v>48</v>
      </c>
      <c r="G17" s="25">
        <v>1086813</v>
      </c>
      <c r="H17" s="24" t="s">
        <v>48</v>
      </c>
      <c r="I17" s="32">
        <f>IFERROR(+Table1310121516[[#This Row],[Column G: 
Per Pupil Costs]]/Table1310121516[[#This Row],[Column E: 
Estimated Number of Test Takers*]],0)</f>
        <v>0</v>
      </c>
      <c r="J17" s="27">
        <f>+Table1310121516[[#This Row],[Column F: 
Fixed Costs]]</f>
        <v>1086813</v>
      </c>
      <c r="K17" s="30" t="s">
        <v>48</v>
      </c>
    </row>
    <row r="18" spans="1:11" s="29" customFormat="1" ht="30" x14ac:dyDescent="0.25">
      <c r="A18" s="63" t="s">
        <v>103</v>
      </c>
      <c r="B18" s="22">
        <v>7</v>
      </c>
      <c r="C18" s="22" t="s">
        <v>55</v>
      </c>
      <c r="D18" s="24" t="s">
        <v>95</v>
      </c>
      <c r="E18" s="24" t="s">
        <v>104</v>
      </c>
      <c r="F18" s="31">
        <v>3104000</v>
      </c>
      <c r="G18" s="25">
        <v>25098116</v>
      </c>
      <c r="H18" s="24" t="s">
        <v>48</v>
      </c>
      <c r="I18" s="32">
        <f>IFERROR(+Table1310121516[[#This Row],[Column G: 
Per Pupil Costs]]/Table1310121516[[#This Row],[Column E: 
Estimated Number of Test Takers*]],0)</f>
        <v>0</v>
      </c>
      <c r="J18" s="27">
        <f>+Table1310121516[[#This Row],[Column F: 
Fixed Costs]]</f>
        <v>25098116</v>
      </c>
      <c r="K18" s="32">
        <f>ROUND(+J18/F18,2)</f>
        <v>8.09</v>
      </c>
    </row>
    <row r="19" spans="1:11" s="29" customFormat="1" ht="30" x14ac:dyDescent="0.25">
      <c r="A19" s="63" t="s">
        <v>105</v>
      </c>
      <c r="B19" s="22">
        <v>8</v>
      </c>
      <c r="C19" s="22" t="s">
        <v>55</v>
      </c>
      <c r="D19" s="24" t="s">
        <v>95</v>
      </c>
      <c r="E19" s="24" t="s">
        <v>104</v>
      </c>
      <c r="F19" s="31">
        <v>3104000</v>
      </c>
      <c r="G19" s="25">
        <v>17631557</v>
      </c>
      <c r="H19" s="26">
        <v>2876716</v>
      </c>
      <c r="I19" s="32">
        <f>Table1310121516[[#This Row],[Column G: 
Per Pupil Costs]]/Table1310121516[[#This Row],[Column E: 
Estimated Number of Test Takers*]]</f>
        <v>0.9267770618556701</v>
      </c>
      <c r="J19" s="27">
        <f>+Table1310121516[[#This Row],[Column F: 
Fixed Costs]]+Table1310121516[[#This Row],[Column G: 
Per Pupil Costs]]</f>
        <v>20508273</v>
      </c>
      <c r="K19" s="32">
        <f t="shared" ref="K19:K20" si="0">ROUND(+J19/F19,2)</f>
        <v>6.61</v>
      </c>
    </row>
    <row r="20" spans="1:11" s="29" customFormat="1" ht="30" x14ac:dyDescent="0.25">
      <c r="A20" s="63" t="s">
        <v>106</v>
      </c>
      <c r="B20" s="22">
        <v>9</v>
      </c>
      <c r="C20" s="22" t="s">
        <v>55</v>
      </c>
      <c r="D20" s="24" t="s">
        <v>95</v>
      </c>
      <c r="E20" s="24" t="s">
        <v>104</v>
      </c>
      <c r="F20" s="31">
        <v>3104000</v>
      </c>
      <c r="G20" s="25">
        <v>2085054</v>
      </c>
      <c r="H20" s="26">
        <v>283693</v>
      </c>
      <c r="I20" s="32">
        <f>IFERROR(+Table1310121516[[#This Row],[Column G: 
Per Pupil Costs]]/Table1310121516[[#This Row],[Column E: 
Estimated Number of Test Takers*]],0)</f>
        <v>9.1395940721649485E-2</v>
      </c>
      <c r="J20" s="27">
        <f>+Table1310121516[[#This Row],[Column F: 
Fixed Costs]]+Table1310121516[[#This Row],[Column G: 
Per Pupil Costs]]</f>
        <v>2368747</v>
      </c>
      <c r="K20" s="32">
        <f t="shared" si="0"/>
        <v>0.76</v>
      </c>
    </row>
    <row r="21" spans="1:11" s="29" customFormat="1" ht="15.75" x14ac:dyDescent="0.25">
      <c r="A21" s="63" t="s">
        <v>107</v>
      </c>
      <c r="B21" s="22">
        <v>2</v>
      </c>
      <c r="C21" s="22" t="s">
        <v>55</v>
      </c>
      <c r="D21" s="24" t="s">
        <v>95</v>
      </c>
      <c r="E21" s="24" t="s">
        <v>69</v>
      </c>
      <c r="F21" s="24" t="s">
        <v>48</v>
      </c>
      <c r="G21" s="25">
        <v>1634495</v>
      </c>
      <c r="H21" s="24" t="s">
        <v>48</v>
      </c>
      <c r="I21" s="32">
        <f>IFERROR(+Table1310121516[[#This Row],[Column G: 
Per Pupil Costs]]/Table1310121516[[#This Row],[Column E: 
Estimated Number of Test Takers*]],0)</f>
        <v>0</v>
      </c>
      <c r="J21" s="27">
        <f>+Table1310121516[[#This Row],[Column F: 
Fixed Costs]]</f>
        <v>1634495</v>
      </c>
      <c r="K21" s="26" t="s">
        <v>48</v>
      </c>
    </row>
    <row r="22" spans="1:11" s="29" customFormat="1" ht="30" x14ac:dyDescent="0.25">
      <c r="A22" s="63" t="s">
        <v>108</v>
      </c>
      <c r="B22" s="22">
        <v>7</v>
      </c>
      <c r="C22" s="22" t="s">
        <v>55</v>
      </c>
      <c r="D22" s="24" t="s">
        <v>95</v>
      </c>
      <c r="E22" s="24" t="s">
        <v>69</v>
      </c>
      <c r="F22" s="24" t="s">
        <v>48</v>
      </c>
      <c r="G22" s="25">
        <v>19836</v>
      </c>
      <c r="H22" s="24" t="s">
        <v>48</v>
      </c>
      <c r="I22" s="32">
        <f>IFERROR(+Table1310121516[[#This Row],[Column G: 
Per Pupil Costs]]/Table1310121516[[#This Row],[Column E: 
Estimated Number of Test Takers*]],0)</f>
        <v>0</v>
      </c>
      <c r="J22" s="27">
        <f>+Table1310121516[[#This Row],[Column F: 
Fixed Costs]]</f>
        <v>19836</v>
      </c>
      <c r="K22" s="26" t="s">
        <v>48</v>
      </c>
    </row>
    <row r="23" spans="1:11" s="29" customFormat="1" ht="15.75" x14ac:dyDescent="0.25">
      <c r="A23" s="63" t="s">
        <v>109</v>
      </c>
      <c r="B23" s="22">
        <v>8</v>
      </c>
      <c r="C23" s="22" t="s">
        <v>55</v>
      </c>
      <c r="D23" s="24" t="s">
        <v>95</v>
      </c>
      <c r="E23" s="24" t="s">
        <v>69</v>
      </c>
      <c r="F23" s="24" t="s">
        <v>48</v>
      </c>
      <c r="G23" s="25">
        <v>26991</v>
      </c>
      <c r="H23" s="24" t="s">
        <v>48</v>
      </c>
      <c r="I23" s="32">
        <f>IFERROR(+Table1310121516[[#This Row],[Column G: 
Per Pupil Costs]]/Table1310121516[[#This Row],[Column E: 
Estimated Number of Test Takers*]],0)</f>
        <v>0</v>
      </c>
      <c r="J23" s="27">
        <f>+Table1310121516[[#This Row],[Column F: 
Fixed Costs]]</f>
        <v>26991</v>
      </c>
      <c r="K23" s="26" t="s">
        <v>48</v>
      </c>
    </row>
    <row r="24" spans="1:11" s="29" customFormat="1" ht="30" x14ac:dyDescent="0.25">
      <c r="A24" s="63" t="s">
        <v>110</v>
      </c>
      <c r="B24" s="22">
        <v>9</v>
      </c>
      <c r="C24" s="22" t="s">
        <v>55</v>
      </c>
      <c r="D24" s="24" t="s">
        <v>95</v>
      </c>
      <c r="E24" s="24" t="s">
        <v>69</v>
      </c>
      <c r="F24" s="24" t="s">
        <v>48</v>
      </c>
      <c r="G24" s="25">
        <v>0</v>
      </c>
      <c r="H24" s="24" t="s">
        <v>48</v>
      </c>
      <c r="I24" s="32">
        <f>IFERROR(+Table1310121516[[#This Row],[Column G: 
Per Pupil Costs]]/Table1310121516[[#This Row],[Column E: 
Estimated Number of Test Takers*]],0)</f>
        <v>0</v>
      </c>
      <c r="J24" s="27">
        <f>+Table1310121516[[#This Row],[Column F: 
Fixed Costs]]</f>
        <v>0</v>
      </c>
      <c r="K24" s="26" t="s">
        <v>48</v>
      </c>
    </row>
    <row r="25" spans="1:11" s="29" customFormat="1" ht="30" x14ac:dyDescent="0.25">
      <c r="A25" s="63" t="s">
        <v>111</v>
      </c>
      <c r="B25" s="22">
        <v>7</v>
      </c>
      <c r="C25" s="22" t="s">
        <v>55</v>
      </c>
      <c r="D25" s="24" t="s">
        <v>95</v>
      </c>
      <c r="E25" s="24" t="s">
        <v>104</v>
      </c>
      <c r="F25" s="31">
        <v>39000</v>
      </c>
      <c r="G25" s="25">
        <v>705060</v>
      </c>
      <c r="H25" s="24" t="s">
        <v>48</v>
      </c>
      <c r="I25" s="32">
        <f>IFERROR(+Table1310121516[[#This Row],[Column G: 
Per Pupil Costs]]/Table1310121516[[#This Row],[Column E: 
Estimated Number of Test Takers*]],0)</f>
        <v>0</v>
      </c>
      <c r="J25" s="27">
        <f>+Table1310121516[[#This Row],[Column F: 
Fixed Costs]]</f>
        <v>705060</v>
      </c>
      <c r="K25" s="32">
        <f>ROUND(+J25/F25,2)</f>
        <v>18.079999999999998</v>
      </c>
    </row>
    <row r="26" spans="1:11" s="29" customFormat="1" ht="15.75" x14ac:dyDescent="0.25">
      <c r="A26" s="63" t="s">
        <v>112</v>
      </c>
      <c r="B26" s="22">
        <v>8</v>
      </c>
      <c r="C26" s="22" t="s">
        <v>55</v>
      </c>
      <c r="D26" s="24" t="s">
        <v>95</v>
      </c>
      <c r="E26" s="24" t="s">
        <v>104</v>
      </c>
      <c r="F26" s="31">
        <v>39000</v>
      </c>
      <c r="G26" s="25">
        <v>146996</v>
      </c>
      <c r="H26" s="26">
        <v>7640</v>
      </c>
      <c r="I26" s="32">
        <f>IFERROR(+Table1310121516[[#This Row],[Column G: 
Per Pupil Costs]]/Table1310121516[[#This Row],[Column E: 
Estimated Number of Test Takers*]],0)</f>
        <v>0.19589743589743588</v>
      </c>
      <c r="J26" s="27">
        <f>+Table1310121516[[#This Row],[Column F: 
Fixed Costs]]+Table1310121516[[#This Row],[Column G: 
Per Pupil Costs]]</f>
        <v>154636</v>
      </c>
      <c r="K26" s="32">
        <f t="shared" ref="K26:K43" si="1">ROUND(+J26/F26,2)</f>
        <v>3.97</v>
      </c>
    </row>
    <row r="27" spans="1:11" s="29" customFormat="1" ht="15.75" x14ac:dyDescent="0.25">
      <c r="A27" s="63" t="s">
        <v>113</v>
      </c>
      <c r="B27" s="22">
        <v>9</v>
      </c>
      <c r="C27" s="22" t="s">
        <v>55</v>
      </c>
      <c r="D27" s="24" t="s">
        <v>95</v>
      </c>
      <c r="E27" s="24" t="s">
        <v>104</v>
      </c>
      <c r="F27" s="31">
        <v>39000</v>
      </c>
      <c r="G27" s="25">
        <v>196915</v>
      </c>
      <c r="H27" s="26">
        <v>4396</v>
      </c>
      <c r="I27" s="32">
        <f>IFERROR(+Table1310121516[[#This Row],[Column G: 
Per Pupil Costs]]/Table1310121516[[#This Row],[Column E: 
Estimated Number of Test Takers*]],0)</f>
        <v>0.11271794871794871</v>
      </c>
      <c r="J27" s="27">
        <f>+Table1310121516[[#This Row],[Column F: 
Fixed Costs]]+Table1310121516[[#This Row],[Column G: 
Per Pupil Costs]]</f>
        <v>201311</v>
      </c>
      <c r="K27" s="32">
        <f t="shared" si="1"/>
        <v>5.16</v>
      </c>
    </row>
    <row r="28" spans="1:11" s="29" customFormat="1" ht="30" x14ac:dyDescent="0.25">
      <c r="A28" s="63" t="s">
        <v>103</v>
      </c>
      <c r="B28" s="22">
        <v>7</v>
      </c>
      <c r="C28" s="22" t="s">
        <v>71</v>
      </c>
      <c r="D28" s="24" t="s">
        <v>95</v>
      </c>
      <c r="E28" s="24" t="s">
        <v>104</v>
      </c>
      <c r="F28" s="72">
        <v>96000</v>
      </c>
      <c r="G28" s="25">
        <v>1248643</v>
      </c>
      <c r="H28" s="26">
        <v>638012</v>
      </c>
      <c r="I28" s="32">
        <f>IFERROR(+Table1310121516[[#This Row],[Column G: 
Per Pupil Costs]]/Table1310121516[[#This Row],[Column E: 
Estimated Number of Test Takers*]],0)</f>
        <v>6.6459583333333336</v>
      </c>
      <c r="J28" s="27">
        <f>+Table1310121516[[#This Row],[Column F: 
Fixed Costs]]+Table1310121516[[#This Row],[Column G: 
Per Pupil Costs]]</f>
        <v>1886655</v>
      </c>
      <c r="K28" s="32">
        <f t="shared" si="1"/>
        <v>19.649999999999999</v>
      </c>
    </row>
    <row r="29" spans="1:11" s="29" customFormat="1" ht="30" x14ac:dyDescent="0.25">
      <c r="A29" s="66" t="s">
        <v>105</v>
      </c>
      <c r="B29" s="22">
        <v>8</v>
      </c>
      <c r="C29" s="22" t="s">
        <v>71</v>
      </c>
      <c r="D29" s="24" t="s">
        <v>95</v>
      </c>
      <c r="E29" s="24" t="s">
        <v>104</v>
      </c>
      <c r="F29" s="72">
        <v>96000</v>
      </c>
      <c r="G29" s="25">
        <v>164111</v>
      </c>
      <c r="H29" s="26">
        <v>29058</v>
      </c>
      <c r="I29" s="32">
        <f>IFERROR(+Table1310121516[[#This Row],[Column G: 
Per Pupil Costs]]/Table1310121516[[#This Row],[Column E: 
Estimated Number of Test Takers*]],0)</f>
        <v>0.3026875</v>
      </c>
      <c r="J29" s="27">
        <f>+Table1310121516[[#This Row],[Column F: 
Fixed Costs]]+Table1310121516[[#This Row],[Column G: 
Per Pupil Costs]]</f>
        <v>193169</v>
      </c>
      <c r="K29" s="32">
        <f t="shared" si="1"/>
        <v>2.0099999999999998</v>
      </c>
    </row>
    <row r="30" spans="1:11" s="29" customFormat="1" ht="30" x14ac:dyDescent="0.25">
      <c r="A30" s="66" t="s">
        <v>106</v>
      </c>
      <c r="B30" s="22">
        <v>9</v>
      </c>
      <c r="C30" s="22" t="s">
        <v>71</v>
      </c>
      <c r="D30" s="24" t="s">
        <v>95</v>
      </c>
      <c r="E30" s="24" t="s">
        <v>104</v>
      </c>
      <c r="F30" s="72">
        <v>96000</v>
      </c>
      <c r="G30" s="25">
        <v>11462</v>
      </c>
      <c r="H30" s="26">
        <v>2866</v>
      </c>
      <c r="I30" s="32">
        <f>IFERROR(+Table1310121516[[#This Row],[Column G: 
Per Pupil Costs]]/Table1310121516[[#This Row],[Column E: 
Estimated Number of Test Takers*]],0)</f>
        <v>2.9854166666666668E-2</v>
      </c>
      <c r="J30" s="27">
        <f>+Table1310121516[[#This Row],[Column F: 
Fixed Costs]]+Table1310121516[[#This Row],[Column G: 
Per Pupil Costs]]</f>
        <v>14328</v>
      </c>
      <c r="K30" s="32">
        <f t="shared" si="1"/>
        <v>0.15</v>
      </c>
    </row>
    <row r="31" spans="1:11" s="29" customFormat="1" ht="30" x14ac:dyDescent="0.25">
      <c r="A31" s="66" t="s">
        <v>111</v>
      </c>
      <c r="B31" s="22">
        <v>7</v>
      </c>
      <c r="C31" s="22" t="s">
        <v>71</v>
      </c>
      <c r="D31" s="24" t="s">
        <v>95</v>
      </c>
      <c r="E31" s="24" t="s">
        <v>104</v>
      </c>
      <c r="F31" s="72">
        <v>4000</v>
      </c>
      <c r="G31" s="25">
        <v>49593</v>
      </c>
      <c r="H31" s="26">
        <v>59512</v>
      </c>
      <c r="I31" s="32">
        <f>IFERROR(+Table1310121516[[#This Row],[Column G: 
Per Pupil Costs]]/Table1310121516[[#This Row],[Column E: 
Estimated Number of Test Takers*]],0)</f>
        <v>14.878</v>
      </c>
      <c r="J31" s="27">
        <f>+Table1310121516[[#This Row],[Column F: 
Fixed Costs]]+Table1310121516[[#This Row],[Column G: 
Per Pupil Costs]]</f>
        <v>109105</v>
      </c>
      <c r="K31" s="32">
        <f t="shared" si="1"/>
        <v>27.28</v>
      </c>
    </row>
    <row r="32" spans="1:11" s="29" customFormat="1" ht="15.75" x14ac:dyDescent="0.25">
      <c r="A32" s="63" t="s">
        <v>112</v>
      </c>
      <c r="B32" s="22">
        <v>8</v>
      </c>
      <c r="C32" s="22" t="s">
        <v>71</v>
      </c>
      <c r="D32" s="24" t="s">
        <v>95</v>
      </c>
      <c r="E32" s="24" t="s">
        <v>104</v>
      </c>
      <c r="F32" s="72">
        <v>4000</v>
      </c>
      <c r="G32" s="25">
        <v>7737</v>
      </c>
      <c r="H32" s="26">
        <v>402</v>
      </c>
      <c r="I32" s="32">
        <f>IFERROR(+Table1310121516[[#This Row],[Column G: 
Per Pupil Costs]]/Table1310121516[[#This Row],[Column E: 
Estimated Number of Test Takers*]],0)</f>
        <v>0.10050000000000001</v>
      </c>
      <c r="J32" s="27">
        <f>+Table1310121516[[#This Row],[Column F: 
Fixed Costs]]+Table1310121516[[#This Row],[Column G: 
Per Pupil Costs]]</f>
        <v>8139</v>
      </c>
      <c r="K32" s="32">
        <f t="shared" si="1"/>
        <v>2.0299999999999998</v>
      </c>
    </row>
    <row r="33" spans="1:11" s="29" customFormat="1" ht="15.75" x14ac:dyDescent="0.25">
      <c r="A33" s="63" t="s">
        <v>113</v>
      </c>
      <c r="B33" s="22">
        <v>9</v>
      </c>
      <c r="C33" s="22" t="s">
        <v>71</v>
      </c>
      <c r="D33" s="24" t="s">
        <v>95</v>
      </c>
      <c r="E33" s="24" t="s">
        <v>104</v>
      </c>
      <c r="F33" s="72">
        <v>4000</v>
      </c>
      <c r="G33" s="25">
        <v>925</v>
      </c>
      <c r="H33" s="26">
        <v>231</v>
      </c>
      <c r="I33" s="32">
        <f>IFERROR(+Table1310121516[[#This Row],[Column G: 
Per Pupil Costs]]/Table1310121516[[#This Row],[Column E: 
Estimated Number of Test Takers*]],0)</f>
        <v>5.7750000000000003E-2</v>
      </c>
      <c r="J33" s="27">
        <f>+Table1310121516[[#This Row],[Column F: 
Fixed Costs]]+Table1310121516[[#This Row],[Column G: 
Per Pupil Costs]]</f>
        <v>1156</v>
      </c>
      <c r="K33" s="32">
        <f t="shared" si="1"/>
        <v>0.28999999999999998</v>
      </c>
    </row>
    <row r="34" spans="1:11" s="29" customFormat="1" ht="15.75" x14ac:dyDescent="0.25">
      <c r="A34" s="63" t="s">
        <v>72</v>
      </c>
      <c r="B34" s="22">
        <v>7</v>
      </c>
      <c r="C34" s="22" t="s">
        <v>71</v>
      </c>
      <c r="D34" s="24" t="s">
        <v>98</v>
      </c>
      <c r="E34" s="24" t="s">
        <v>73</v>
      </c>
      <c r="F34" s="31">
        <v>1380000</v>
      </c>
      <c r="G34" s="25">
        <v>0</v>
      </c>
      <c r="H34" s="26">
        <v>0</v>
      </c>
      <c r="I34" s="32">
        <f>IFERROR(+Table1310121516[[#This Row],[Column G: 
Per Pupil Costs]]/Table1310121516[[#This Row],[Column E: 
Estimated Number of Test Takers*]],0)</f>
        <v>0</v>
      </c>
      <c r="J34" s="27">
        <f>+Table1310121516[[#This Row],[Column F: 
Fixed Costs]]+Table1310121516[[#This Row],[Column G: 
Per Pupil Costs]]</f>
        <v>0</v>
      </c>
      <c r="K34" s="26" t="s">
        <v>48</v>
      </c>
    </row>
    <row r="35" spans="1:11" s="29" customFormat="1" ht="15.75" x14ac:dyDescent="0.25">
      <c r="A35" s="63" t="s">
        <v>72</v>
      </c>
      <c r="B35" s="22">
        <v>8</v>
      </c>
      <c r="C35" s="22" t="s">
        <v>71</v>
      </c>
      <c r="D35" s="24" t="s">
        <v>98</v>
      </c>
      <c r="E35" s="24" t="s">
        <v>73</v>
      </c>
      <c r="F35" s="31">
        <v>1380000</v>
      </c>
      <c r="G35" s="25">
        <v>0</v>
      </c>
      <c r="H35" s="26">
        <v>0</v>
      </c>
      <c r="I35" s="32">
        <f>IFERROR(+Table1310121516[[#This Row],[Column G: 
Per Pupil Costs]]/Table1310121516[[#This Row],[Column E: 
Estimated Number of Test Takers*]],0)</f>
        <v>0</v>
      </c>
      <c r="J35" s="27">
        <f>+Table1310121516[[#This Row],[Column F: 
Fixed Costs]]+Table1310121516[[#This Row],[Column G: 
Per Pupil Costs]]</f>
        <v>0</v>
      </c>
      <c r="K35" s="26" t="s">
        <v>48</v>
      </c>
    </row>
    <row r="36" spans="1:11" s="29" customFormat="1" ht="15.75" x14ac:dyDescent="0.25">
      <c r="A36" s="63" t="s">
        <v>72</v>
      </c>
      <c r="B36" s="22">
        <v>9</v>
      </c>
      <c r="C36" s="22" t="s">
        <v>71</v>
      </c>
      <c r="D36" s="24" t="s">
        <v>98</v>
      </c>
      <c r="E36" s="24" t="s">
        <v>73</v>
      </c>
      <c r="F36" s="31">
        <v>1380000</v>
      </c>
      <c r="G36" s="25">
        <v>0</v>
      </c>
      <c r="H36" s="26">
        <v>0</v>
      </c>
      <c r="I36" s="32">
        <f>IFERROR(+Table1310121516[[#This Row],[Column G: 
Per Pupil Costs]]/Table1310121516[[#This Row],[Column E: 
Estimated Number of Test Takers*]],0)</f>
        <v>0</v>
      </c>
      <c r="J36" s="27">
        <f>+Table1310121516[[#This Row],[Column F: 
Fixed Costs]]+Table1310121516[[#This Row],[Column G: 
Per Pupil Costs]]</f>
        <v>0</v>
      </c>
      <c r="K36" s="26" t="s">
        <v>48</v>
      </c>
    </row>
    <row r="37" spans="1:11" s="29" customFormat="1" ht="15.75" x14ac:dyDescent="0.25">
      <c r="A37" s="63" t="s">
        <v>74</v>
      </c>
      <c r="B37" s="22">
        <v>7</v>
      </c>
      <c r="C37" s="22" t="s">
        <v>71</v>
      </c>
      <c r="D37" s="24" t="s">
        <v>98</v>
      </c>
      <c r="E37" s="24" t="s">
        <v>73</v>
      </c>
      <c r="F37" s="31">
        <v>15000</v>
      </c>
      <c r="G37" s="25">
        <v>0</v>
      </c>
      <c r="H37" s="26">
        <v>0</v>
      </c>
      <c r="I37" s="32">
        <f>IFERROR(+Table1310121516[[#This Row],[Column G: 
Per Pupil Costs]]/Table1310121516[[#This Row],[Column E: 
Estimated Number of Test Takers*]],0)</f>
        <v>0</v>
      </c>
      <c r="J37" s="27">
        <f>+Table1310121516[[#This Row],[Column F: 
Fixed Costs]]+Table1310121516[[#This Row],[Column G: 
Per Pupil Costs]]</f>
        <v>0</v>
      </c>
      <c r="K37" s="26" t="s">
        <v>48</v>
      </c>
    </row>
    <row r="38" spans="1:11" s="29" customFormat="1" ht="15.75" x14ac:dyDescent="0.25">
      <c r="A38" s="63" t="s">
        <v>74</v>
      </c>
      <c r="B38" s="22">
        <v>8</v>
      </c>
      <c r="C38" s="22" t="s">
        <v>71</v>
      </c>
      <c r="D38" s="24" t="s">
        <v>98</v>
      </c>
      <c r="E38" s="24" t="s">
        <v>73</v>
      </c>
      <c r="F38" s="31">
        <v>15000</v>
      </c>
      <c r="G38" s="25">
        <v>0</v>
      </c>
      <c r="H38" s="26">
        <v>0</v>
      </c>
      <c r="I38" s="32">
        <f>IFERROR(+Table1310121516[[#This Row],[Column G: 
Per Pupil Costs]]/Table1310121516[[#This Row],[Column E: 
Estimated Number of Test Takers*]],0)</f>
        <v>0</v>
      </c>
      <c r="J38" s="27">
        <f>+Table1310121516[[#This Row],[Column F: 
Fixed Costs]]+Table1310121516[[#This Row],[Column G: 
Per Pupil Costs]]</f>
        <v>0</v>
      </c>
      <c r="K38" s="26" t="s">
        <v>48</v>
      </c>
    </row>
    <row r="39" spans="1:11" s="29" customFormat="1" ht="15.75" x14ac:dyDescent="0.25">
      <c r="A39" s="63" t="s">
        <v>74</v>
      </c>
      <c r="B39" s="22">
        <v>9</v>
      </c>
      <c r="C39" s="22" t="s">
        <v>71</v>
      </c>
      <c r="D39" s="24" t="s">
        <v>98</v>
      </c>
      <c r="E39" s="24" t="s">
        <v>73</v>
      </c>
      <c r="F39" s="31">
        <v>15000</v>
      </c>
      <c r="G39" s="25">
        <v>0</v>
      </c>
      <c r="H39" s="26">
        <v>0</v>
      </c>
      <c r="I39" s="32">
        <f>IFERROR(+Table1310121516[[#This Row],[Column G: 
Per Pupil Costs]]/Table1310121516[[#This Row],[Column E: 
Estimated Number of Test Takers*]],0)</f>
        <v>0</v>
      </c>
      <c r="J39" s="27">
        <f>+Table1310121516[[#This Row],[Column F: 
Fixed Costs]]+Table1310121516[[#This Row],[Column G: 
Per Pupil Costs]]</f>
        <v>0</v>
      </c>
      <c r="K39" s="26" t="s">
        <v>48</v>
      </c>
    </row>
    <row r="40" spans="1:11" s="29" customFormat="1" ht="15.75" x14ac:dyDescent="0.25">
      <c r="A40" s="63" t="s">
        <v>75</v>
      </c>
      <c r="B40" s="22">
        <v>7</v>
      </c>
      <c r="C40" s="22" t="s">
        <v>71</v>
      </c>
      <c r="D40" s="24" t="s">
        <v>102</v>
      </c>
      <c r="E40" s="24" t="s">
        <v>76</v>
      </c>
      <c r="F40" s="31">
        <v>45000</v>
      </c>
      <c r="G40" s="25">
        <v>378007</v>
      </c>
      <c r="H40" s="26">
        <v>522378</v>
      </c>
      <c r="I40" s="32">
        <f>IFERROR(+Table1310121516[[#This Row],[Column G: 
Per Pupil Costs]]/Table1310121516[[#This Row],[Column E: 
Estimated Number of Test Takers*]],0)</f>
        <v>11.6084</v>
      </c>
      <c r="J40" s="27">
        <f>+Table1310121516[[#This Row],[Column F: 
Fixed Costs]]+Table1310121516[[#This Row],[Column G: 
Per Pupil Costs]]</f>
        <v>900385</v>
      </c>
      <c r="K40" s="32">
        <f t="shared" si="1"/>
        <v>20.010000000000002</v>
      </c>
    </row>
    <row r="41" spans="1:11" s="29" customFormat="1" ht="15.75" x14ac:dyDescent="0.25">
      <c r="A41" s="63" t="s">
        <v>75</v>
      </c>
      <c r="B41" s="22">
        <v>8</v>
      </c>
      <c r="C41" s="22" t="s">
        <v>71</v>
      </c>
      <c r="D41" s="24" t="s">
        <v>102</v>
      </c>
      <c r="E41" s="24" t="s">
        <v>76</v>
      </c>
      <c r="F41" s="31">
        <v>45000</v>
      </c>
      <c r="G41" s="25">
        <v>140191</v>
      </c>
      <c r="H41" s="26">
        <v>48858</v>
      </c>
      <c r="I41" s="32">
        <f>IFERROR(+Table1310121516[[#This Row],[Column G: 
Per Pupil Costs]]/Table1310121516[[#This Row],[Column E: 
Estimated Number of Test Takers*]],0)</f>
        <v>1.0857333333333334</v>
      </c>
      <c r="J41" s="27">
        <f>+Table1310121516[[#This Row],[Column F: 
Fixed Costs]]+Table1310121516[[#This Row],[Column G: 
Per Pupil Costs]]</f>
        <v>189049</v>
      </c>
      <c r="K41" s="32">
        <f t="shared" si="1"/>
        <v>4.2</v>
      </c>
    </row>
    <row r="42" spans="1:11" s="29" customFormat="1" ht="15.75" x14ac:dyDescent="0.25">
      <c r="A42" s="63" t="s">
        <v>75</v>
      </c>
      <c r="B42" s="22">
        <v>9</v>
      </c>
      <c r="C42" s="22" t="s">
        <v>71</v>
      </c>
      <c r="D42" s="24" t="s">
        <v>102</v>
      </c>
      <c r="E42" s="24" t="s">
        <v>76</v>
      </c>
      <c r="F42" s="31">
        <v>45000</v>
      </c>
      <c r="G42" s="25">
        <v>91543</v>
      </c>
      <c r="H42" s="26">
        <v>3796</v>
      </c>
      <c r="I42" s="32">
        <f>IFERROR(+Table1310121516[[#This Row],[Column G: 
Per Pupil Costs]]/Table1310121516[[#This Row],[Column E: 
Estimated Number of Test Takers*]],0)</f>
        <v>8.4355555555555559E-2</v>
      </c>
      <c r="J42" s="27">
        <f>+Table1310121516[[#This Row],[Column F: 
Fixed Costs]]+Table1310121516[[#This Row],[Column G: 
Per Pupil Costs]]</f>
        <v>95339</v>
      </c>
      <c r="K42" s="32">
        <f t="shared" si="1"/>
        <v>2.12</v>
      </c>
    </row>
    <row r="43" spans="1:11" s="29" customFormat="1" ht="31.5" x14ac:dyDescent="0.25">
      <c r="A43" s="63" t="s">
        <v>120</v>
      </c>
      <c r="B43" s="22" t="s">
        <v>48</v>
      </c>
      <c r="C43" s="22" t="s">
        <v>48</v>
      </c>
      <c r="D43" s="22" t="s">
        <v>48</v>
      </c>
      <c r="E43" s="22" t="s">
        <v>48</v>
      </c>
      <c r="F43" s="42">
        <f>+F40+F37+F34+F31+F28+F25+F18</f>
        <v>4683000</v>
      </c>
      <c r="G43" s="26">
        <f>SUBTOTAL(109,Table1310121516[Column F: 
Fixed Costs])</f>
        <v>74115108</v>
      </c>
      <c r="H43" s="26">
        <f>SUBTOTAL(109,Table1310121516[Column G: 
Per Pupil Costs])</f>
        <v>4477558</v>
      </c>
      <c r="I43" s="32">
        <f>Table1310121516[[#Totals],[Column G: 
Per Pupil Costs]]/Table1310121516[[#Totals],[Column E: 
Estimated Number of Test Takers*]]</f>
        <v>0.95613025838137944</v>
      </c>
      <c r="J43" s="26">
        <f>SUBTOTAL(109,Table1310121516[Column I: 
Total Costs
(Column F plus Column G)])</f>
        <v>78592666</v>
      </c>
      <c r="K43" s="44">
        <f t="shared" si="1"/>
        <v>16.78</v>
      </c>
    </row>
    <row r="44" spans="1:11" s="29" customFormat="1" ht="15.75" x14ac:dyDescent="0.25">
      <c r="A44" s="29" t="s">
        <v>206</v>
      </c>
      <c r="B44" s="23"/>
      <c r="C44" s="23"/>
      <c r="D44" s="23"/>
      <c r="E44" s="23"/>
      <c r="F44" s="35"/>
      <c r="G44" s="25"/>
      <c r="H44" s="26"/>
      <c r="I44" s="32"/>
      <c r="J44" s="33"/>
      <c r="K44" s="32"/>
    </row>
    <row r="45" spans="1:11" s="29" customFormat="1" ht="15.75" x14ac:dyDescent="0.25">
      <c r="A45" s="8" t="s">
        <v>207</v>
      </c>
      <c r="B45" s="8"/>
      <c r="C45" s="20"/>
      <c r="D45" s="20"/>
      <c r="E45" s="20"/>
      <c r="F45" s="20"/>
      <c r="G45" s="20"/>
      <c r="H45" s="19"/>
      <c r="I45" s="6"/>
      <c r="J45" s="6"/>
      <c r="K45" s="7"/>
    </row>
    <row r="46" spans="1:11" s="29" customFormat="1" ht="15.75" hidden="1" x14ac:dyDescent="0.25">
      <c r="A46" s="8"/>
      <c r="B46" s="8"/>
      <c r="C46" s="20"/>
      <c r="D46" s="20"/>
      <c r="E46" s="20"/>
      <c r="F46" s="20"/>
      <c r="G46" s="20"/>
      <c r="H46" s="19"/>
      <c r="I46" s="6"/>
      <c r="J46" s="6"/>
      <c r="K46" s="7"/>
    </row>
    <row r="47" spans="1:11" s="29" customFormat="1" ht="15.75" hidden="1" x14ac:dyDescent="0.25">
      <c r="A47" s="8"/>
      <c r="B47" s="8"/>
      <c r="C47" s="20"/>
      <c r="D47" s="20"/>
      <c r="E47" s="20"/>
      <c r="F47" s="20"/>
      <c r="G47" s="20"/>
      <c r="H47" s="19"/>
      <c r="I47" s="6"/>
      <c r="J47" s="6"/>
      <c r="K47" s="7"/>
    </row>
    <row r="48" spans="1:11" s="29" customFormat="1" ht="15" hidden="1" x14ac:dyDescent="0.2">
      <c r="A48" s="8"/>
      <c r="B48" s="5"/>
      <c r="C48" s="1"/>
      <c r="D48" s="1"/>
      <c r="E48" s="1"/>
      <c r="F48" s="1"/>
      <c r="G48" s="1"/>
      <c r="H48" s="2"/>
      <c r="I48" s="3"/>
      <c r="J48" s="3"/>
      <c r="K48" s="4"/>
    </row>
    <row r="49" spans="1:14" s="29" customFormat="1" ht="15" hidden="1" x14ac:dyDescent="0.2">
      <c r="A49" s="5"/>
      <c r="B49" s="5"/>
      <c r="C49" s="1"/>
      <c r="D49" s="1"/>
      <c r="E49" s="1"/>
      <c r="F49" s="1"/>
      <c r="G49" s="1"/>
      <c r="H49" s="2"/>
      <c r="I49" s="3"/>
      <c r="J49" s="3"/>
      <c r="K49" s="4"/>
    </row>
    <row r="50" spans="1:14" s="29" customFormat="1" ht="15" hidden="1" x14ac:dyDescent="0.2">
      <c r="A50" s="5"/>
      <c r="B50" s="5"/>
      <c r="C50" s="1"/>
      <c r="D50" s="1"/>
      <c r="E50" s="1"/>
      <c r="F50" s="1"/>
      <c r="G50" s="1"/>
      <c r="H50" s="2"/>
      <c r="I50" s="3"/>
      <c r="J50" s="3"/>
      <c r="K50" s="4"/>
    </row>
    <row r="51" spans="1:14" s="29" customFormat="1" ht="15" hidden="1" x14ac:dyDescent="0.2">
      <c r="A51" s="5"/>
      <c r="B51" s="5"/>
      <c r="C51" s="1"/>
      <c r="D51" s="1"/>
      <c r="E51" s="1"/>
      <c r="F51" s="1"/>
      <c r="G51" s="1"/>
      <c r="H51" s="2"/>
      <c r="I51" s="3"/>
      <c r="J51" s="3"/>
      <c r="K51" s="4"/>
    </row>
    <row r="52" spans="1:14" s="29" customFormat="1" ht="15" hidden="1" x14ac:dyDescent="0.2">
      <c r="A52" s="5"/>
      <c r="B52" s="5"/>
      <c r="C52" s="1"/>
      <c r="D52" s="1"/>
      <c r="E52" s="1"/>
      <c r="F52" s="1"/>
      <c r="G52" s="1"/>
      <c r="H52" s="2"/>
      <c r="I52" s="3"/>
      <c r="J52" s="3"/>
      <c r="K52" s="4"/>
    </row>
    <row r="53" spans="1:14" s="29" customFormat="1" ht="15" hidden="1" x14ac:dyDescent="0.2">
      <c r="A53" s="5"/>
      <c r="B53" s="5"/>
      <c r="C53" s="1"/>
      <c r="D53" s="1"/>
      <c r="E53" s="1"/>
      <c r="F53" s="1"/>
      <c r="G53" s="1"/>
      <c r="H53" s="2"/>
      <c r="I53" s="3"/>
      <c r="J53" s="3"/>
      <c r="K53" s="4"/>
    </row>
    <row r="54" spans="1:14" s="29" customFormat="1" ht="15" hidden="1" x14ac:dyDescent="0.2">
      <c r="A54" s="5"/>
      <c r="B54" s="5"/>
      <c r="C54" s="1"/>
      <c r="D54" s="1"/>
      <c r="E54" s="1"/>
      <c r="F54" s="1"/>
      <c r="G54" s="1"/>
      <c r="H54" s="2"/>
      <c r="I54" s="3"/>
      <c r="J54" s="3"/>
      <c r="K54" s="4"/>
    </row>
    <row r="55" spans="1:14" s="29" customFormat="1" ht="15" hidden="1" x14ac:dyDescent="0.2">
      <c r="A55" s="5"/>
      <c r="B55" s="5"/>
      <c r="C55" s="1"/>
      <c r="D55" s="1"/>
      <c r="E55" s="1"/>
      <c r="F55" s="1"/>
      <c r="G55" s="1"/>
      <c r="H55" s="2"/>
      <c r="I55" s="3"/>
      <c r="J55" s="3"/>
      <c r="K55" s="4"/>
    </row>
    <row r="56" spans="1:14" s="29" customFormat="1" ht="15" hidden="1" x14ac:dyDescent="0.2">
      <c r="A56" s="5"/>
      <c r="B56" s="5"/>
      <c r="C56" s="1"/>
      <c r="D56" s="1"/>
      <c r="E56" s="1"/>
      <c r="F56" s="1"/>
      <c r="G56" s="1"/>
      <c r="H56" s="2"/>
      <c r="I56" s="3"/>
      <c r="J56" s="3"/>
      <c r="K56" s="4"/>
    </row>
    <row r="57" spans="1:14" ht="13.15" hidden="1" customHeight="1" x14ac:dyDescent="0.2"/>
    <row r="58" spans="1:14" s="29" customFormat="1" ht="24.6" hidden="1" customHeight="1" x14ac:dyDescent="0.2">
      <c r="A58" s="5"/>
      <c r="B58" s="5"/>
      <c r="C58" s="1"/>
      <c r="D58" s="1"/>
      <c r="E58" s="1"/>
      <c r="F58" s="1"/>
      <c r="G58" s="1"/>
      <c r="H58" s="2"/>
      <c r="I58" s="3"/>
      <c r="J58" s="3"/>
      <c r="K58" s="4"/>
    </row>
    <row r="59" spans="1:14" s="6" customFormat="1" ht="15" hidden="1" x14ac:dyDescent="0.2">
      <c r="A59" s="5"/>
      <c r="B59" s="5"/>
      <c r="C59" s="1"/>
      <c r="D59" s="1"/>
      <c r="E59" s="1"/>
      <c r="F59" s="1"/>
      <c r="G59" s="1"/>
      <c r="H59" s="2"/>
      <c r="I59" s="3"/>
      <c r="J59" s="3"/>
      <c r="K59" s="4"/>
      <c r="M59" s="8"/>
      <c r="N59" s="8"/>
    </row>
    <row r="60" spans="1:14" s="6" customFormat="1" ht="15" hidden="1" x14ac:dyDescent="0.2">
      <c r="A60" s="5"/>
      <c r="B60" s="5"/>
      <c r="C60" s="1"/>
      <c r="D60" s="1"/>
      <c r="E60" s="1"/>
      <c r="F60" s="1"/>
      <c r="G60" s="1"/>
      <c r="H60" s="2"/>
      <c r="I60" s="3"/>
      <c r="J60" s="3"/>
      <c r="K60" s="4"/>
      <c r="M60" s="8"/>
      <c r="N60" s="8"/>
    </row>
    <row r="61" spans="1:14" s="6" customFormat="1" ht="15" hidden="1" x14ac:dyDescent="0.2">
      <c r="A61" s="5"/>
      <c r="B61" s="5"/>
      <c r="C61" s="1"/>
      <c r="D61" s="1"/>
      <c r="E61" s="1"/>
      <c r="F61" s="1"/>
      <c r="G61" s="1"/>
      <c r="H61" s="2"/>
      <c r="I61" s="3"/>
      <c r="J61" s="3"/>
      <c r="K61" s="4"/>
      <c r="M61" s="8"/>
      <c r="N61" s="8"/>
    </row>
    <row r="62" spans="1:14" s="3" customFormat="1" ht="12.75" hidden="1" x14ac:dyDescent="0.2">
      <c r="A62" s="5"/>
      <c r="B62" s="5"/>
      <c r="C62" s="1"/>
      <c r="D62" s="1"/>
      <c r="E62" s="1"/>
      <c r="F62" s="1"/>
      <c r="G62" s="1"/>
      <c r="H62" s="2"/>
      <c r="K62" s="4"/>
      <c r="M62" s="5"/>
      <c r="N62" s="5"/>
    </row>
    <row r="63" spans="1:14" ht="13.15" hidden="1" customHeight="1" x14ac:dyDescent="0.2"/>
    <row r="64" spans="1:14" ht="13.15" hidden="1" customHeight="1" x14ac:dyDescent="0.2"/>
    <row r="65" ht="13.15" hidden="1" customHeight="1" x14ac:dyDescent="0.2"/>
    <row r="66" ht="13.15" hidden="1" customHeight="1" x14ac:dyDescent="0.2"/>
    <row r="67" ht="13.15" hidden="1" customHeight="1" x14ac:dyDescent="0.2"/>
    <row r="68" ht="13.15" hidden="1" customHeight="1" x14ac:dyDescent="0.2"/>
    <row r="69" ht="13.15" hidden="1" customHeight="1" x14ac:dyDescent="0.2"/>
  </sheetData>
  <pageMargins left="0.5" right="0.25" top="1" bottom="1" header="0.3" footer="0.3"/>
  <pageSetup scale="68"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E18:H42" twoDigitTextYear="1"/>
    <ignoredError sqref="I19" formula="1"/>
  </ignoredError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O40"/>
  <sheetViews>
    <sheetView showGridLines="0" zoomScaleNormal="100" workbookViewId="0"/>
  </sheetViews>
  <sheetFormatPr defaultColWidth="0" defaultRowHeight="13.9" customHeight="1" zeroHeight="1" x14ac:dyDescent="0.2"/>
  <cols>
    <col min="1" max="1" width="40.7109375" style="9" customWidth="1"/>
    <col min="2" max="2" width="46.28515625" style="9" customWidth="1"/>
    <col min="3" max="3" width="9.85546875" style="9" bestFit="1" customWidth="1"/>
    <col min="4" max="4" width="12" style="9" customWidth="1"/>
    <col min="5" max="5" width="9" style="9" bestFit="1" customWidth="1"/>
    <col min="6" max="6" width="14.140625" style="10" bestFit="1" customWidth="1"/>
    <col min="7" max="7" width="15.28515625" style="10" customWidth="1"/>
    <col min="8" max="8" width="17.85546875" style="10" customWidth="1"/>
    <col min="9" max="9" width="13.85546875" style="9" bestFit="1" customWidth="1"/>
    <col min="10" max="11" width="0" style="9" hidden="1" customWidth="1"/>
    <col min="12" max="16384" width="8.85546875" style="9" hidden="1"/>
  </cols>
  <sheetData>
    <row r="1" spans="1:15" ht="23.25" x14ac:dyDescent="0.35">
      <c r="A1" s="91" t="s">
        <v>124</v>
      </c>
      <c r="B1"/>
      <c r="C1" s="5"/>
      <c r="D1" s="5"/>
      <c r="E1" s="5"/>
      <c r="F1" s="1"/>
      <c r="G1" s="1"/>
      <c r="H1" s="1"/>
      <c r="I1" s="5"/>
      <c r="O1" s="86"/>
    </row>
    <row r="2" spans="1:15" s="52" customFormat="1" ht="15.75" x14ac:dyDescent="0.25">
      <c r="A2" s="92" t="s">
        <v>213</v>
      </c>
      <c r="C2" s="8"/>
      <c r="D2" s="8"/>
      <c r="E2" s="8"/>
      <c r="F2" s="20"/>
      <c r="G2" s="20"/>
      <c r="H2" s="20"/>
      <c r="I2" s="8"/>
      <c r="O2" s="100"/>
    </row>
    <row r="3" spans="1:15" customFormat="1" ht="15.75" x14ac:dyDescent="0.25">
      <c r="A3" s="8" t="s">
        <v>1</v>
      </c>
    </row>
    <row r="4" spans="1:15" customFormat="1" ht="15.75" x14ac:dyDescent="0.25">
      <c r="A4" s="59" t="s">
        <v>2</v>
      </c>
    </row>
    <row r="5" spans="1:15" customFormat="1" ht="15.75" x14ac:dyDescent="0.25">
      <c r="A5" s="8" t="s">
        <v>3</v>
      </c>
    </row>
    <row r="6" spans="1:15" customFormat="1" ht="15.75" x14ac:dyDescent="0.25">
      <c r="A6" s="12" t="s">
        <v>4</v>
      </c>
    </row>
    <row r="7" spans="1:15" ht="19.149999999999999" customHeight="1" x14ac:dyDescent="0.25">
      <c r="A7" s="8" t="s">
        <v>37</v>
      </c>
      <c r="B7" s="52"/>
      <c r="C7" s="5"/>
      <c r="D7" s="5"/>
      <c r="E7" s="5"/>
      <c r="F7" s="1"/>
      <c r="G7" s="1"/>
      <c r="H7" s="1"/>
      <c r="I7" s="5"/>
    </row>
    <row r="8" spans="1:15" s="68" customFormat="1" ht="60" x14ac:dyDescent="0.2">
      <c r="A8" s="13" t="s">
        <v>38</v>
      </c>
      <c r="B8" s="13" t="s">
        <v>39</v>
      </c>
      <c r="C8" s="13" t="s">
        <v>40</v>
      </c>
      <c r="D8" s="14" t="s">
        <v>41</v>
      </c>
      <c r="E8" s="14" t="s">
        <v>42</v>
      </c>
      <c r="F8" s="14" t="s">
        <v>43</v>
      </c>
      <c r="G8" s="14" t="s">
        <v>125</v>
      </c>
      <c r="H8" s="14" t="s">
        <v>126</v>
      </c>
      <c r="I8" s="14" t="s">
        <v>21</v>
      </c>
    </row>
    <row r="9" spans="1:15" ht="15" x14ac:dyDescent="0.2">
      <c r="A9" s="57" t="s">
        <v>46</v>
      </c>
      <c r="B9" s="8" t="s">
        <v>47</v>
      </c>
      <c r="C9" s="20">
        <v>1</v>
      </c>
      <c r="D9" s="20" t="s">
        <v>48</v>
      </c>
      <c r="E9" s="20" t="s">
        <v>48</v>
      </c>
      <c r="F9" s="20" t="s">
        <v>48</v>
      </c>
      <c r="G9" s="19">
        <v>4775131</v>
      </c>
      <c r="H9" s="19">
        <v>1615287</v>
      </c>
      <c r="I9" s="19">
        <f>SUM(Table468[[#This Row],[Fiscal Year 2017-18 (7/1/17 to 6/30/18)]:[Fiscal Year
2018–19
(7/1/18 to 12/31/18)]])</f>
        <v>6390418</v>
      </c>
    </row>
    <row r="10" spans="1:15" ht="30" x14ac:dyDescent="0.2">
      <c r="A10" s="57" t="s">
        <v>46</v>
      </c>
      <c r="B10" s="13" t="s">
        <v>49</v>
      </c>
      <c r="C10" s="20">
        <v>2</v>
      </c>
      <c r="D10" s="20" t="s">
        <v>48</v>
      </c>
      <c r="E10" s="20" t="s">
        <v>48</v>
      </c>
      <c r="F10" s="20" t="s">
        <v>48</v>
      </c>
      <c r="G10" s="19">
        <v>6827689</v>
      </c>
      <c r="H10" s="19">
        <v>383410</v>
      </c>
      <c r="I10" s="19">
        <f>SUM(Table468[[#This Row],[Fiscal Year 2017-18 (7/1/17 to 6/30/18)]:[Fiscal Year
2018–19
(7/1/18 to 12/31/18)]])</f>
        <v>7211099</v>
      </c>
    </row>
    <row r="11" spans="1:15" ht="15" x14ac:dyDescent="0.2">
      <c r="A11" s="57" t="s">
        <v>46</v>
      </c>
      <c r="B11" s="8" t="s">
        <v>50</v>
      </c>
      <c r="C11" s="20">
        <v>3</v>
      </c>
      <c r="D11" s="20" t="s">
        <v>48</v>
      </c>
      <c r="E11" s="20" t="s">
        <v>48</v>
      </c>
      <c r="F11" s="20" t="s">
        <v>48</v>
      </c>
      <c r="G11" s="19">
        <v>3850059</v>
      </c>
      <c r="H11" s="19">
        <v>601494</v>
      </c>
      <c r="I11" s="19">
        <f>SUM(Table468[[#This Row],[Fiscal Year 2017-18 (7/1/17 to 6/30/18)]:[Fiscal Year
2018–19
(7/1/18 to 12/31/18)]])</f>
        <v>4451553</v>
      </c>
    </row>
    <row r="12" spans="1:15" ht="15" x14ac:dyDescent="0.2">
      <c r="A12" s="57" t="s">
        <v>46</v>
      </c>
      <c r="B12" s="8" t="s">
        <v>51</v>
      </c>
      <c r="C12" s="20">
        <v>4</v>
      </c>
      <c r="D12" s="20" t="s">
        <v>48</v>
      </c>
      <c r="E12" s="20" t="s">
        <v>48</v>
      </c>
      <c r="F12" s="20" t="s">
        <v>48</v>
      </c>
      <c r="G12" s="19">
        <v>102411</v>
      </c>
      <c r="H12" s="19">
        <v>0</v>
      </c>
      <c r="I12" s="19">
        <f>SUM(Table468[[#This Row],[Fiscal Year 2017-18 (7/1/17 to 6/30/18)]:[Fiscal Year
2018–19
(7/1/18 to 12/31/18)]])</f>
        <v>102411</v>
      </c>
    </row>
    <row r="13" spans="1:15" ht="15" x14ac:dyDescent="0.2">
      <c r="A13" s="57" t="s">
        <v>46</v>
      </c>
      <c r="B13" s="8" t="s">
        <v>52</v>
      </c>
      <c r="C13" s="20">
        <v>5</v>
      </c>
      <c r="D13" s="20" t="s">
        <v>48</v>
      </c>
      <c r="E13" s="20" t="s">
        <v>48</v>
      </c>
      <c r="F13" s="20" t="s">
        <v>48</v>
      </c>
      <c r="G13" s="19">
        <v>110763</v>
      </c>
      <c r="H13" s="19">
        <v>0</v>
      </c>
      <c r="I13" s="19">
        <f>SUM(Table468[[#This Row],[Fiscal Year 2017-18 (7/1/17 to 6/30/18)]:[Fiscal Year
2018–19
(7/1/18 to 12/31/18)]])</f>
        <v>110763</v>
      </c>
    </row>
    <row r="14" spans="1:15" ht="15" x14ac:dyDescent="0.2">
      <c r="A14" s="57" t="s">
        <v>53</v>
      </c>
      <c r="B14" s="8" t="s">
        <v>127</v>
      </c>
      <c r="C14" s="20">
        <v>6</v>
      </c>
      <c r="D14" s="20" t="s">
        <v>55</v>
      </c>
      <c r="E14" s="20" t="s">
        <v>56</v>
      </c>
      <c r="F14" s="20" t="s">
        <v>48</v>
      </c>
      <c r="G14" s="19">
        <v>846859</v>
      </c>
      <c r="H14" s="19">
        <v>517726</v>
      </c>
      <c r="I14" s="19">
        <f>SUM(Table468[[#This Row],[Fiscal Year 2017-18 (7/1/17 to 6/30/18)]:[Fiscal Year
2018–19
(7/1/18 to 12/31/18)]])</f>
        <v>1364585</v>
      </c>
    </row>
    <row r="15" spans="1:15" ht="15" x14ac:dyDescent="0.2">
      <c r="A15" s="57" t="s">
        <v>53</v>
      </c>
      <c r="B15" s="8" t="s">
        <v>118</v>
      </c>
      <c r="C15" s="20">
        <v>6</v>
      </c>
      <c r="D15" s="20" t="s">
        <v>55</v>
      </c>
      <c r="E15" s="20" t="s">
        <v>59</v>
      </c>
      <c r="F15" s="49">
        <v>1380000</v>
      </c>
      <c r="G15" s="19">
        <v>5143955</v>
      </c>
      <c r="H15" s="19">
        <v>282314</v>
      </c>
      <c r="I15" s="19">
        <f>SUM(Table468[[#This Row],[Fiscal Year 2017-18 (7/1/17 to 6/30/18)]:[Fiscal Year
2018–19
(7/1/18 to 12/31/18)]])</f>
        <v>5426269</v>
      </c>
    </row>
    <row r="16" spans="1:15" ht="15" x14ac:dyDescent="0.2">
      <c r="A16" s="57" t="s">
        <v>53</v>
      </c>
      <c r="B16" s="8" t="s">
        <v>119</v>
      </c>
      <c r="C16" s="20">
        <v>6</v>
      </c>
      <c r="D16" s="20" t="s">
        <v>55</v>
      </c>
      <c r="E16" s="20" t="s">
        <v>59</v>
      </c>
      <c r="F16" s="49">
        <v>15000</v>
      </c>
      <c r="G16" s="19">
        <v>730553</v>
      </c>
      <c r="H16" s="19">
        <v>113421</v>
      </c>
      <c r="I16" s="19">
        <f>SUM(Table468[[#This Row],[Fiscal Year 2017-18 (7/1/17 to 6/30/18)]:[Fiscal Year
2018–19
(7/1/18 to 12/31/18)]])</f>
        <v>843974</v>
      </c>
    </row>
    <row r="17" spans="1:9" ht="15" x14ac:dyDescent="0.2">
      <c r="A17" s="57" t="s">
        <v>53</v>
      </c>
      <c r="B17" s="8" t="s">
        <v>128</v>
      </c>
      <c r="C17" s="20">
        <v>6</v>
      </c>
      <c r="D17" s="20" t="s">
        <v>55</v>
      </c>
      <c r="E17" s="20" t="s">
        <v>62</v>
      </c>
      <c r="F17" s="49">
        <v>45000</v>
      </c>
      <c r="G17" s="19">
        <v>1199287</v>
      </c>
      <c r="H17" s="19">
        <v>488386</v>
      </c>
      <c r="I17" s="19">
        <f>SUM(Table468[[#This Row],[Fiscal Year 2017-18 (7/1/17 to 6/30/18)]:[Fiscal Year
2018–19
(7/1/18 to 12/31/18)]])</f>
        <v>1687673</v>
      </c>
    </row>
    <row r="18" spans="1:9" ht="30" x14ac:dyDescent="0.2">
      <c r="A18" s="13" t="s">
        <v>63</v>
      </c>
      <c r="B18" s="8" t="s">
        <v>64</v>
      </c>
      <c r="C18" s="20" t="s">
        <v>65</v>
      </c>
      <c r="D18" s="20" t="s">
        <v>55</v>
      </c>
      <c r="E18" s="20" t="s">
        <v>56</v>
      </c>
      <c r="F18" s="49">
        <v>3200000</v>
      </c>
      <c r="G18" s="19">
        <v>44703380</v>
      </c>
      <c r="H18" s="19">
        <v>1348822</v>
      </c>
      <c r="I18" s="19">
        <f>SUM(Table468[[#This Row],[Fiscal Year 2017-18 (7/1/17 to 6/30/18)]:[Fiscal Year
2018–19
(7/1/18 to 12/31/18)]])</f>
        <v>46052202</v>
      </c>
    </row>
    <row r="19" spans="1:9" ht="30" x14ac:dyDescent="0.2">
      <c r="A19" s="57" t="s">
        <v>66</v>
      </c>
      <c r="B19" s="8" t="s">
        <v>67</v>
      </c>
      <c r="C19" s="20" t="s">
        <v>68</v>
      </c>
      <c r="D19" s="20" t="s">
        <v>55</v>
      </c>
      <c r="E19" s="20" t="s">
        <v>69</v>
      </c>
      <c r="F19" s="20" t="s">
        <v>48</v>
      </c>
      <c r="G19" s="19">
        <v>1682500</v>
      </c>
      <c r="H19" s="19">
        <v>3844</v>
      </c>
      <c r="I19" s="19">
        <f>SUM(Table468[[#This Row],[Fiscal Year 2017-18 (7/1/17 to 6/30/18)]:[Fiscal Year
2018–19
(7/1/18 to 12/31/18)]])</f>
        <v>1686344</v>
      </c>
    </row>
    <row r="20" spans="1:9" ht="30" x14ac:dyDescent="0.2">
      <c r="A20" s="13" t="s">
        <v>63</v>
      </c>
      <c r="B20" s="8" t="s">
        <v>117</v>
      </c>
      <c r="C20" s="20" t="s">
        <v>65</v>
      </c>
      <c r="D20" s="20" t="s">
        <v>55</v>
      </c>
      <c r="E20" s="20" t="s">
        <v>56</v>
      </c>
      <c r="F20" s="49">
        <v>39000</v>
      </c>
      <c r="G20" s="19">
        <v>1037787</v>
      </c>
      <c r="H20" s="19">
        <v>22566</v>
      </c>
      <c r="I20" s="19">
        <f>SUM(Table468[[#This Row],[Fiscal Year 2017-18 (7/1/17 to 6/30/18)]:[Fiscal Year
2018–19
(7/1/18 to 12/31/18)]])</f>
        <v>1060353</v>
      </c>
    </row>
    <row r="21" spans="1:9" ht="30" x14ac:dyDescent="0.2">
      <c r="A21" s="13" t="s">
        <v>63</v>
      </c>
      <c r="B21" s="8" t="s">
        <v>64</v>
      </c>
      <c r="C21" s="20" t="s">
        <v>65</v>
      </c>
      <c r="D21" s="20" t="s">
        <v>71</v>
      </c>
      <c r="E21" s="20" t="s">
        <v>56</v>
      </c>
      <c r="F21" s="20" t="s">
        <v>48</v>
      </c>
      <c r="G21" s="19">
        <v>0</v>
      </c>
      <c r="H21" s="19">
        <v>0</v>
      </c>
      <c r="I21" s="19">
        <f>SUM(Table468[[#This Row],[Fiscal Year 2017-18 (7/1/17 to 6/30/18)]:[Fiscal Year
2018–19
(7/1/18 to 12/31/18)]])</f>
        <v>0</v>
      </c>
    </row>
    <row r="22" spans="1:9" ht="30" x14ac:dyDescent="0.2">
      <c r="A22" s="13" t="s">
        <v>63</v>
      </c>
      <c r="B22" s="8" t="s">
        <v>117</v>
      </c>
      <c r="C22" s="20" t="s">
        <v>65</v>
      </c>
      <c r="D22" s="20" t="s">
        <v>71</v>
      </c>
      <c r="E22" s="20" t="s">
        <v>56</v>
      </c>
      <c r="F22" s="49">
        <v>4000</v>
      </c>
      <c r="G22" s="19">
        <v>109494</v>
      </c>
      <c r="H22" s="19">
        <v>2908</v>
      </c>
      <c r="I22" s="19">
        <f>SUM(Table468[[#This Row],[Fiscal Year 2017-18 (7/1/17 to 6/30/18)]:[Fiscal Year
2018–19
(7/1/18 to 12/31/18)]])</f>
        <v>112402</v>
      </c>
    </row>
    <row r="23" spans="1:9" ht="30" x14ac:dyDescent="0.2">
      <c r="A23" s="13" t="s">
        <v>63</v>
      </c>
      <c r="B23" s="8" t="s">
        <v>118</v>
      </c>
      <c r="C23" s="20">
        <v>9</v>
      </c>
      <c r="D23" s="20" t="s">
        <v>48</v>
      </c>
      <c r="E23" s="20" t="s">
        <v>48</v>
      </c>
      <c r="F23" s="20" t="s">
        <v>48</v>
      </c>
      <c r="G23" s="19">
        <v>53234</v>
      </c>
      <c r="H23" s="19">
        <v>0</v>
      </c>
      <c r="I23" s="19">
        <f>SUM(Table468[[#This Row],[Fiscal Year 2017-18 (7/1/17 to 6/30/18)]:[Fiscal Year
2018–19
(7/1/18 to 12/31/18)]])</f>
        <v>53234</v>
      </c>
    </row>
    <row r="24" spans="1:9" ht="30" x14ac:dyDescent="0.2">
      <c r="A24" s="13" t="s">
        <v>63</v>
      </c>
      <c r="B24" s="8" t="s">
        <v>119</v>
      </c>
      <c r="C24" s="20">
        <v>9</v>
      </c>
      <c r="D24" s="20" t="s">
        <v>48</v>
      </c>
      <c r="E24" s="20" t="s">
        <v>48</v>
      </c>
      <c r="F24" s="20" t="s">
        <v>48</v>
      </c>
      <c r="G24" s="19">
        <v>2802</v>
      </c>
      <c r="H24" s="19">
        <v>0</v>
      </c>
      <c r="I24" s="19">
        <f>SUM(Table468[[#This Row],[Fiscal Year 2017-18 (7/1/17 to 6/30/18)]:[Fiscal Year
2018–19
(7/1/18 to 12/31/18)]])</f>
        <v>2802</v>
      </c>
    </row>
    <row r="25" spans="1:9" ht="30" x14ac:dyDescent="0.2">
      <c r="A25" s="13" t="s">
        <v>63</v>
      </c>
      <c r="B25" s="8" t="s">
        <v>128</v>
      </c>
      <c r="C25" s="20">
        <v>9</v>
      </c>
      <c r="D25" s="20" t="s">
        <v>48</v>
      </c>
      <c r="E25" s="20" t="s">
        <v>48</v>
      </c>
      <c r="F25" s="20" t="s">
        <v>48</v>
      </c>
      <c r="G25" s="19">
        <v>17810</v>
      </c>
      <c r="H25" s="19">
        <v>0</v>
      </c>
      <c r="I25" s="19">
        <f>SUM(Table468[[#This Row],[Fiscal Year 2017-18 (7/1/17 to 6/30/18)]:[Fiscal Year
2018–19
(7/1/18 to 12/31/18)]])</f>
        <v>17810</v>
      </c>
    </row>
    <row r="26" spans="1:9" ht="30" x14ac:dyDescent="0.2">
      <c r="A26" s="13" t="s">
        <v>63</v>
      </c>
      <c r="B26" s="8" t="s">
        <v>75</v>
      </c>
      <c r="C26" s="20" t="s">
        <v>65</v>
      </c>
      <c r="D26" s="20" t="s">
        <v>71</v>
      </c>
      <c r="E26" s="20" t="s">
        <v>76</v>
      </c>
      <c r="F26" s="49">
        <v>10000</v>
      </c>
      <c r="G26" s="19">
        <v>325298</v>
      </c>
      <c r="H26" s="19">
        <v>0</v>
      </c>
      <c r="I26" s="19">
        <f>SUM(Table468[[#This Row],[Fiscal Year 2017-18 (7/1/17 to 6/30/18)]:[Fiscal Year
2018–19
(7/1/18 to 12/31/18)]])</f>
        <v>325298</v>
      </c>
    </row>
    <row r="27" spans="1:9" s="58" customFormat="1" ht="30.6" customHeight="1" x14ac:dyDescent="0.2">
      <c r="A27" s="13" t="s">
        <v>129</v>
      </c>
      <c r="B27" s="54" t="s">
        <v>48</v>
      </c>
      <c r="C27" s="54" t="s">
        <v>48</v>
      </c>
      <c r="D27" s="54" t="s">
        <v>48</v>
      </c>
      <c r="E27" s="54" t="s">
        <v>48</v>
      </c>
      <c r="F27" s="54" t="s">
        <v>48</v>
      </c>
      <c r="G27" s="19">
        <f>SUBTOTAL(109,Table468[Fiscal Year 2017-18 (7/1/17 to 6/30/18)])</f>
        <v>71519012</v>
      </c>
      <c r="H27" s="19">
        <f>SUBTOTAL(109,Table468[Fiscal Year
2018–19
(7/1/18 to 12/31/18)])</f>
        <v>5380178</v>
      </c>
      <c r="I27" s="19">
        <f>SUBTOTAL(109,Table468[Total Costs])</f>
        <v>76899190</v>
      </c>
    </row>
    <row r="28" spans="1:9" ht="12.75" hidden="1" x14ac:dyDescent="0.2"/>
    <row r="29" spans="1:9" ht="12.75" hidden="1" x14ac:dyDescent="0.2"/>
    <row r="30" spans="1:9" ht="12.75" hidden="1" x14ac:dyDescent="0.2"/>
    <row r="31" spans="1:9" ht="12.75" hidden="1" x14ac:dyDescent="0.2"/>
    <row r="32" spans="1:9" ht="12.75" hidden="1" x14ac:dyDescent="0.2"/>
    <row r="33" ht="12.75" hidden="1" x14ac:dyDescent="0.2"/>
    <row r="34" ht="12.75" hidden="1" x14ac:dyDescent="0.2"/>
    <row r="35" ht="12.75" hidden="1" x14ac:dyDescent="0.2"/>
    <row r="36" ht="12.75" hidden="1" x14ac:dyDescent="0.2"/>
    <row r="37" ht="12.75" hidden="1" x14ac:dyDescent="0.2"/>
    <row r="38" ht="12.75" hidden="1" x14ac:dyDescent="0.2"/>
    <row r="39" ht="13.9" hidden="1" customHeight="1" x14ac:dyDescent="0.2"/>
    <row r="40" ht="13.9" hidden="1" customHeight="1" x14ac:dyDescent="0.2"/>
  </sheetData>
  <pageMargins left="0.5" right="0.25" top="1" bottom="0.75" header="0.3" footer="0.3"/>
  <pageSetup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C18:C22 C26" twoDigitTextYear="1"/>
  </ignoredErrors>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63"/>
  <sheetViews>
    <sheetView showGridLines="0" zoomScaleNormal="100" workbookViewId="0">
      <pane xSplit="2" ySplit="8" topLeftCell="C24" activePane="bottomRight" state="frozen"/>
      <selection activeCell="L3" sqref="L3"/>
      <selection pane="topRight" activeCell="L3" sqref="L3"/>
      <selection pane="bottomLeft" activeCell="L3" sqref="L3"/>
      <selection pane="bottomRight"/>
    </sheetView>
  </sheetViews>
  <sheetFormatPr defaultColWidth="0" defaultRowHeight="0" customHeight="1" zeroHeight="1" x14ac:dyDescent="0.2"/>
  <cols>
    <col min="1" max="1" width="51.140625" style="5" customWidth="1"/>
    <col min="2" max="2" width="11.85546875" style="5" bestFit="1" customWidth="1"/>
    <col min="3" max="5" width="12" style="1" bestFit="1" customWidth="1"/>
    <col min="6" max="6" width="13.7109375" style="1" bestFit="1" customWidth="1"/>
    <col min="7" max="7" width="14.140625" style="1" bestFit="1" customWidth="1"/>
    <col min="8" max="8" width="12.7109375" style="2" bestFit="1" customWidth="1"/>
    <col min="9" max="9" width="16" style="3" bestFit="1" customWidth="1"/>
    <col min="10" max="10" width="17" style="3" bestFit="1" customWidth="1"/>
    <col min="11" max="11" width="19.42578125" style="4" bestFit="1" customWidth="1"/>
    <col min="12" max="12" width="12.7109375" style="3" hidden="1" customWidth="1"/>
    <col min="13" max="13" width="0" style="5" hidden="1" customWidth="1"/>
    <col min="14" max="14" width="12.7109375" style="5" hidden="1" customWidth="1"/>
    <col min="15" max="16384" width="8.85546875" style="5" hidden="1"/>
  </cols>
  <sheetData>
    <row r="1" spans="1:15" ht="23.25" x14ac:dyDescent="0.35">
      <c r="A1" s="91" t="s">
        <v>130</v>
      </c>
      <c r="B1" s="1"/>
      <c r="O1" s="85"/>
    </row>
    <row r="2" spans="1:15" ht="15.75" x14ac:dyDescent="0.25">
      <c r="A2" s="92" t="s">
        <v>213</v>
      </c>
      <c r="B2" s="1"/>
      <c r="O2" s="85"/>
    </row>
    <row r="3" spans="1:15" ht="15" x14ac:dyDescent="0.2">
      <c r="A3" s="8" t="s">
        <v>1</v>
      </c>
      <c r="B3" s="1"/>
    </row>
    <row r="4" spans="1:15" ht="14.45" customHeight="1" x14ac:dyDescent="0.2">
      <c r="A4" s="59" t="s">
        <v>2</v>
      </c>
      <c r="B4" s="1"/>
    </row>
    <row r="5" spans="1:15" ht="15" x14ac:dyDescent="0.2">
      <c r="A5" s="8" t="s">
        <v>3</v>
      </c>
      <c r="B5" s="1"/>
    </row>
    <row r="6" spans="1:15" ht="15" x14ac:dyDescent="0.2">
      <c r="A6" s="12" t="s">
        <v>4</v>
      </c>
      <c r="B6" s="1"/>
      <c r="F6" s="83"/>
    </row>
    <row r="7" spans="1:15" ht="18.600000000000001" customHeight="1" x14ac:dyDescent="0.2">
      <c r="A7" s="21" t="s">
        <v>37</v>
      </c>
    </row>
    <row r="8" spans="1:15" ht="96" customHeight="1" x14ac:dyDescent="0.25">
      <c r="A8" s="8" t="s">
        <v>39</v>
      </c>
      <c r="B8" s="14" t="s">
        <v>80</v>
      </c>
      <c r="C8" s="14" t="s">
        <v>81</v>
      </c>
      <c r="D8" s="14" t="s">
        <v>82</v>
      </c>
      <c r="E8" s="14" t="s">
        <v>83</v>
      </c>
      <c r="F8" s="14" t="s">
        <v>205</v>
      </c>
      <c r="G8" s="64" t="s">
        <v>84</v>
      </c>
      <c r="H8" s="14" t="s">
        <v>85</v>
      </c>
      <c r="I8" s="14" t="s">
        <v>208</v>
      </c>
      <c r="J8" s="65" t="s">
        <v>87</v>
      </c>
      <c r="K8" s="14" t="s">
        <v>88</v>
      </c>
      <c r="L8" s="5"/>
    </row>
    <row r="9" spans="1:15" s="29" customFormat="1" ht="30" x14ac:dyDescent="0.25">
      <c r="A9" s="63" t="s">
        <v>89</v>
      </c>
      <c r="B9" s="22">
        <v>1</v>
      </c>
      <c r="C9" s="24" t="s">
        <v>48</v>
      </c>
      <c r="D9" s="24" t="s">
        <v>48</v>
      </c>
      <c r="E9" s="24" t="s">
        <v>48</v>
      </c>
      <c r="F9" s="24" t="s">
        <v>48</v>
      </c>
      <c r="G9" s="25">
        <v>6390418</v>
      </c>
      <c r="H9" s="26">
        <v>0</v>
      </c>
      <c r="I9" s="32">
        <f>IFERROR(+Table13101217[[#This Row],[Column G: 
Per Pupil Costs]]/Table13101217[[#This Row],[Column E: 
Estimated Number of Test Takers*]],0)</f>
        <v>0</v>
      </c>
      <c r="J9" s="27">
        <f>+Table13101217[[#This Row],[Column F: 
Fixed Costs]]+Table13101217[[#This Row],[Column G: 
Per Pupil Costs]]</f>
        <v>6390418</v>
      </c>
      <c r="K9" s="32">
        <f>ROUND(+J9/$F$37,2)</f>
        <v>1.36</v>
      </c>
    </row>
    <row r="10" spans="1:15" s="29" customFormat="1" ht="45" x14ac:dyDescent="0.25">
      <c r="A10" s="63" t="s">
        <v>90</v>
      </c>
      <c r="B10" s="22">
        <v>2</v>
      </c>
      <c r="C10" s="24" t="s">
        <v>48</v>
      </c>
      <c r="D10" s="24" t="s">
        <v>48</v>
      </c>
      <c r="E10" s="24" t="s">
        <v>48</v>
      </c>
      <c r="F10" s="24" t="s">
        <v>48</v>
      </c>
      <c r="G10" s="25">
        <v>7211099</v>
      </c>
      <c r="H10" s="26">
        <v>0</v>
      </c>
      <c r="I10" s="32">
        <f>IFERROR(+Table13101217[[#This Row],[Column G: 
Per Pupil Costs]]/Table13101217[[#This Row],[Column E: 
Estimated Number of Test Takers*]],0)</f>
        <v>0</v>
      </c>
      <c r="J10" s="27">
        <f>+Table13101217[[#This Row],[Column F: 
Fixed Costs]]+Table13101217[[#This Row],[Column G: 
Per Pupil Costs]]</f>
        <v>7211099</v>
      </c>
      <c r="K10" s="32">
        <f t="shared" ref="K10:K13" si="0">ROUND(+J10/$F$37,2)</f>
        <v>1.54</v>
      </c>
    </row>
    <row r="11" spans="1:15" s="29" customFormat="1" ht="30" x14ac:dyDescent="0.25">
      <c r="A11" s="63" t="s">
        <v>91</v>
      </c>
      <c r="B11" s="22">
        <v>3</v>
      </c>
      <c r="C11" s="24" t="s">
        <v>48</v>
      </c>
      <c r="D11" s="24" t="s">
        <v>48</v>
      </c>
      <c r="E11" s="24" t="s">
        <v>48</v>
      </c>
      <c r="F11" s="24" t="s">
        <v>48</v>
      </c>
      <c r="G11" s="25">
        <v>4451553</v>
      </c>
      <c r="H11" s="26">
        <v>0</v>
      </c>
      <c r="I11" s="32">
        <f>IFERROR(+Table13101217[[#This Row],[Column G: 
Per Pupil Costs]]/Table13101217[[#This Row],[Column E: 
Estimated Number of Test Takers*]],0)</f>
        <v>0</v>
      </c>
      <c r="J11" s="27">
        <f>+Table13101217[[#This Row],[Column F: 
Fixed Costs]]+Table13101217[[#This Row],[Column G: 
Per Pupil Costs]]</f>
        <v>4451553</v>
      </c>
      <c r="K11" s="32">
        <f t="shared" si="0"/>
        <v>0.95</v>
      </c>
    </row>
    <row r="12" spans="1:15" s="29" customFormat="1" ht="30" x14ac:dyDescent="0.25">
      <c r="A12" s="63" t="s">
        <v>92</v>
      </c>
      <c r="B12" s="22">
        <v>4</v>
      </c>
      <c r="C12" s="24" t="s">
        <v>48</v>
      </c>
      <c r="D12" s="24" t="s">
        <v>48</v>
      </c>
      <c r="E12" s="24" t="s">
        <v>48</v>
      </c>
      <c r="F12" s="24" t="s">
        <v>48</v>
      </c>
      <c r="G12" s="25">
        <v>102411</v>
      </c>
      <c r="H12" s="26">
        <v>0</v>
      </c>
      <c r="I12" s="32">
        <f>IFERROR(+Table13101217[[#This Row],[Column G: 
Per Pupil Costs]]/Table13101217[[#This Row],[Column E: 
Estimated Number of Test Takers*]],0)</f>
        <v>0</v>
      </c>
      <c r="J12" s="27">
        <f>+Table13101217[[#This Row],[Column F: 
Fixed Costs]]+Table13101217[[#This Row],[Column G: 
Per Pupil Costs]]</f>
        <v>102411</v>
      </c>
      <c r="K12" s="32">
        <f t="shared" si="0"/>
        <v>0.02</v>
      </c>
    </row>
    <row r="13" spans="1:15" s="29" customFormat="1" ht="30" x14ac:dyDescent="0.25">
      <c r="A13" s="63" t="s">
        <v>93</v>
      </c>
      <c r="B13" s="22">
        <v>5</v>
      </c>
      <c r="C13" s="24" t="s">
        <v>48</v>
      </c>
      <c r="D13" s="24" t="s">
        <v>48</v>
      </c>
      <c r="E13" s="24" t="s">
        <v>48</v>
      </c>
      <c r="F13" s="24" t="s">
        <v>48</v>
      </c>
      <c r="G13" s="25">
        <v>110763</v>
      </c>
      <c r="H13" s="26">
        <v>0</v>
      </c>
      <c r="I13" s="32">
        <f>IFERROR(+Table13101217[[#This Row],[Column G: 
Per Pupil Costs]]/Table13101217[[#This Row],[Column E: 
Estimated Number of Test Takers*]],0)</f>
        <v>0</v>
      </c>
      <c r="J13" s="27">
        <f>+Table13101217[[#This Row],[Column F: 
Fixed Costs]]+Table13101217[[#This Row],[Column G: 
Per Pupil Costs]]</f>
        <v>110763</v>
      </c>
      <c r="K13" s="32">
        <f t="shared" si="0"/>
        <v>0.02</v>
      </c>
    </row>
    <row r="14" spans="1:15" s="29" customFormat="1" ht="30" x14ac:dyDescent="0.25">
      <c r="A14" s="63" t="s">
        <v>94</v>
      </c>
      <c r="B14" s="22">
        <v>6</v>
      </c>
      <c r="C14" s="24" t="s">
        <v>48</v>
      </c>
      <c r="D14" s="24" t="s">
        <v>95</v>
      </c>
      <c r="E14" s="24" t="s">
        <v>56</v>
      </c>
      <c r="F14" s="24" t="s">
        <v>48</v>
      </c>
      <c r="G14" s="25">
        <v>1364585</v>
      </c>
      <c r="H14" s="26">
        <v>0</v>
      </c>
      <c r="I14" s="32">
        <f>IFERROR(+Table13101217[[#This Row],[Column G: 
Per Pupil Costs]]/Table13101217[[#This Row],[Column E: 
Estimated Number of Test Takers*]],0)</f>
        <v>0</v>
      </c>
      <c r="J14" s="27">
        <f>+Table13101217[[#This Row],[Column F: 
Fixed Costs]]+Table13101217[[#This Row],[Column G: 
Per Pupil Costs]]</f>
        <v>1364585</v>
      </c>
      <c r="K14" s="32" t="s">
        <v>48</v>
      </c>
    </row>
    <row r="15" spans="1:15" s="29" customFormat="1" ht="15.75" x14ac:dyDescent="0.25">
      <c r="A15" s="66" t="s">
        <v>97</v>
      </c>
      <c r="B15" s="22">
        <v>6</v>
      </c>
      <c r="C15" s="24" t="s">
        <v>48</v>
      </c>
      <c r="D15" s="24" t="s">
        <v>98</v>
      </c>
      <c r="E15" s="24" t="s">
        <v>99</v>
      </c>
      <c r="F15" s="31">
        <v>1380000</v>
      </c>
      <c r="G15" s="25">
        <v>5426269</v>
      </c>
      <c r="H15" s="26">
        <v>0</v>
      </c>
      <c r="I15" s="32">
        <f>IFERROR(+Table13101217[[#This Row],[Column G: 
Per Pupil Costs]]/Table13101217[[#This Row],[Column E: 
Estimated Number of Test Takers*]],0)</f>
        <v>0</v>
      </c>
      <c r="J15" s="27">
        <f>+Table13101217[[#This Row],[Column F: 
Fixed Costs]]+Table13101217[[#This Row],[Column G: 
Per Pupil Costs]]</f>
        <v>5426269</v>
      </c>
      <c r="K15" s="32">
        <f t="shared" ref="K15:K17" si="1">ROUND(+J15/F15,2)</f>
        <v>3.93</v>
      </c>
    </row>
    <row r="16" spans="1:15" s="29" customFormat="1" ht="15.75" x14ac:dyDescent="0.25">
      <c r="A16" s="63" t="s">
        <v>100</v>
      </c>
      <c r="B16" s="22">
        <v>6</v>
      </c>
      <c r="C16" s="24" t="s">
        <v>48</v>
      </c>
      <c r="D16" s="24" t="s">
        <v>98</v>
      </c>
      <c r="E16" s="24" t="s">
        <v>99</v>
      </c>
      <c r="F16" s="31">
        <v>15000</v>
      </c>
      <c r="G16" s="25">
        <v>843974</v>
      </c>
      <c r="H16" s="26">
        <v>0</v>
      </c>
      <c r="I16" s="32">
        <f>IFERROR(+Table13101217[[#This Row],[Column G: 
Per Pupil Costs]]/Table13101217[[#This Row],[Column E: 
Estimated Number of Test Takers*]],0)</f>
        <v>0</v>
      </c>
      <c r="J16" s="27">
        <f>+Table13101217[[#This Row],[Column F: 
Fixed Costs]]+Table13101217[[#This Row],[Column G: 
Per Pupil Costs]]</f>
        <v>843974</v>
      </c>
      <c r="K16" s="32">
        <f t="shared" si="1"/>
        <v>56.26</v>
      </c>
    </row>
    <row r="17" spans="1:11" s="29" customFormat="1" ht="15.75" x14ac:dyDescent="0.25">
      <c r="A17" s="63" t="s">
        <v>101</v>
      </c>
      <c r="B17" s="22">
        <v>6</v>
      </c>
      <c r="C17" s="24" t="s">
        <v>48</v>
      </c>
      <c r="D17" s="24" t="s">
        <v>102</v>
      </c>
      <c r="E17" s="24" t="s">
        <v>62</v>
      </c>
      <c r="F17" s="31">
        <v>45000</v>
      </c>
      <c r="G17" s="25">
        <v>1687673</v>
      </c>
      <c r="H17" s="26">
        <v>0</v>
      </c>
      <c r="I17" s="32">
        <f>IFERROR(+Table13101217[[#This Row],[Column G: 
Per Pupil Costs]]/Table13101217[[#This Row],[Column E: 
Estimated Number of Test Takers*]],0)</f>
        <v>0</v>
      </c>
      <c r="J17" s="27">
        <f>+Table13101217[[#This Row],[Column F: 
Fixed Costs]]+Table13101217[[#This Row],[Column G: 
Per Pupil Costs]]</f>
        <v>1687673</v>
      </c>
      <c r="K17" s="32">
        <f t="shared" si="1"/>
        <v>37.5</v>
      </c>
    </row>
    <row r="18" spans="1:11" s="29" customFormat="1" ht="30" x14ac:dyDescent="0.25">
      <c r="A18" s="63" t="s">
        <v>103</v>
      </c>
      <c r="B18" s="22">
        <v>7</v>
      </c>
      <c r="C18" s="22" t="s">
        <v>55</v>
      </c>
      <c r="D18" s="24" t="s">
        <v>95</v>
      </c>
      <c r="E18" s="24" t="s">
        <v>104</v>
      </c>
      <c r="F18" s="31">
        <v>3200000</v>
      </c>
      <c r="G18" s="25">
        <v>25908530</v>
      </c>
      <c r="H18" s="26">
        <v>0</v>
      </c>
      <c r="I18" s="32">
        <f>IFERROR(+Table13101217[[#This Row],[Column G: 
Per Pupil Costs]]/Table13101217[[#This Row],[Column E: 
Estimated Number of Test Takers*]],0)</f>
        <v>0</v>
      </c>
      <c r="J18" s="27">
        <f>+Table13101217[[#This Row],[Column F: 
Fixed Costs]]+Table13101217[[#This Row],[Column G: 
Per Pupil Costs]]</f>
        <v>25908530</v>
      </c>
      <c r="K18" s="32">
        <f>ROUND(+J18/F18,2)</f>
        <v>8.1</v>
      </c>
    </row>
    <row r="19" spans="1:11" s="29" customFormat="1" ht="30" x14ac:dyDescent="0.25">
      <c r="A19" s="63" t="s">
        <v>105</v>
      </c>
      <c r="B19" s="22">
        <v>8</v>
      </c>
      <c r="C19" s="22" t="s">
        <v>55</v>
      </c>
      <c r="D19" s="24" t="s">
        <v>95</v>
      </c>
      <c r="E19" s="24" t="s">
        <v>104</v>
      </c>
      <c r="F19" s="31">
        <v>3200000</v>
      </c>
      <c r="G19" s="25">
        <v>16897061</v>
      </c>
      <c r="H19" s="26">
        <v>818301</v>
      </c>
      <c r="I19" s="32">
        <f>Table13101217[[#This Row],[Column G: 
Per Pupil Costs]]/Table13101217[[#This Row],[Column E: 
Estimated Number of Test Takers*]]</f>
        <v>0.25571906249999998</v>
      </c>
      <c r="J19" s="27">
        <f>+Table13101217[[#This Row],[Column F: 
Fixed Costs]]+Table13101217[[#This Row],[Column G: 
Per Pupil Costs]]</f>
        <v>17715362</v>
      </c>
      <c r="K19" s="32">
        <f t="shared" ref="K19:K20" si="2">ROUND(+J19/F19,2)</f>
        <v>5.54</v>
      </c>
    </row>
    <row r="20" spans="1:11" s="29" customFormat="1" ht="30" x14ac:dyDescent="0.25">
      <c r="A20" s="63" t="s">
        <v>106</v>
      </c>
      <c r="B20" s="22">
        <v>9</v>
      </c>
      <c r="C20" s="22" t="s">
        <v>55</v>
      </c>
      <c r="D20" s="24" t="s">
        <v>95</v>
      </c>
      <c r="E20" s="24" t="s">
        <v>104</v>
      </c>
      <c r="F20" s="31">
        <v>3200000</v>
      </c>
      <c r="G20" s="25">
        <v>2113301</v>
      </c>
      <c r="H20" s="26">
        <v>315009</v>
      </c>
      <c r="I20" s="32">
        <f>IFERROR(+Table13101217[[#This Row],[Column G: 
Per Pupil Costs]]/Table13101217[[#This Row],[Column E: 
Estimated Number of Test Takers*]],0)</f>
        <v>9.8440312500000002E-2</v>
      </c>
      <c r="J20" s="27">
        <f>+Table13101217[[#This Row],[Column F: 
Fixed Costs]]+Table13101217[[#This Row],[Column G: 
Per Pupil Costs]]</f>
        <v>2428310</v>
      </c>
      <c r="K20" s="32">
        <f t="shared" si="2"/>
        <v>0.76</v>
      </c>
    </row>
    <row r="21" spans="1:11" s="29" customFormat="1" ht="15.75" x14ac:dyDescent="0.25">
      <c r="A21" s="63" t="s">
        <v>107</v>
      </c>
      <c r="B21" s="22">
        <v>2</v>
      </c>
      <c r="C21" s="22" t="s">
        <v>55</v>
      </c>
      <c r="D21" s="24" t="s">
        <v>95</v>
      </c>
      <c r="E21" s="24" t="s">
        <v>69</v>
      </c>
      <c r="F21" s="24" t="s">
        <v>48</v>
      </c>
      <c r="G21" s="25">
        <v>1640237</v>
      </c>
      <c r="H21" s="26">
        <v>0</v>
      </c>
      <c r="I21" s="32">
        <f>IFERROR(+Table13101217[[#This Row],[Column G: 
Per Pupil Costs]]/Table13101217[[#This Row],[Column E: 
Estimated Number of Test Takers*]],0)</f>
        <v>0</v>
      </c>
      <c r="J21" s="27">
        <f>+Table13101217[[#This Row],[Column F: 
Fixed Costs]]+Table13101217[[#This Row],[Column G: 
Per Pupil Costs]]</f>
        <v>1640237</v>
      </c>
      <c r="K21" s="26" t="s">
        <v>48</v>
      </c>
    </row>
    <row r="22" spans="1:11" s="29" customFormat="1" ht="30" x14ac:dyDescent="0.25">
      <c r="A22" s="63" t="s">
        <v>108</v>
      </c>
      <c r="B22" s="22">
        <v>7</v>
      </c>
      <c r="C22" s="22" t="s">
        <v>55</v>
      </c>
      <c r="D22" s="24" t="s">
        <v>95</v>
      </c>
      <c r="E22" s="24" t="s">
        <v>69</v>
      </c>
      <c r="F22" s="24" t="s">
        <v>48</v>
      </c>
      <c r="G22" s="25">
        <v>15650</v>
      </c>
      <c r="H22" s="26">
        <v>0</v>
      </c>
      <c r="I22" s="32">
        <f>IFERROR(+Table13101217[[#This Row],[Column G: 
Per Pupil Costs]]/Table13101217[[#This Row],[Column E: 
Estimated Number of Test Takers*]],0)</f>
        <v>0</v>
      </c>
      <c r="J22" s="27">
        <f>+Table13101217[[#This Row],[Column F: 
Fixed Costs]]+Table13101217[[#This Row],[Column G: 
Per Pupil Costs]]</f>
        <v>15650</v>
      </c>
      <c r="K22" s="26" t="s">
        <v>48</v>
      </c>
    </row>
    <row r="23" spans="1:11" s="29" customFormat="1" ht="15.75" x14ac:dyDescent="0.25">
      <c r="A23" s="63" t="s">
        <v>109</v>
      </c>
      <c r="B23" s="22">
        <v>8</v>
      </c>
      <c r="C23" s="22" t="s">
        <v>55</v>
      </c>
      <c r="D23" s="24" t="s">
        <v>95</v>
      </c>
      <c r="E23" s="24" t="s">
        <v>69</v>
      </c>
      <c r="F23" s="24" t="s">
        <v>48</v>
      </c>
      <c r="G23" s="25">
        <v>30457</v>
      </c>
      <c r="H23" s="26">
        <v>0</v>
      </c>
      <c r="I23" s="32">
        <f>IFERROR(+Table13101217[[#This Row],[Column G: 
Per Pupil Costs]]/Table13101217[[#This Row],[Column E: 
Estimated Number of Test Takers*]],0)</f>
        <v>0</v>
      </c>
      <c r="J23" s="27">
        <f>+Table13101217[[#This Row],[Column F: 
Fixed Costs]]+Table13101217[[#This Row],[Column G: 
Per Pupil Costs]]</f>
        <v>30457</v>
      </c>
      <c r="K23" s="26" t="s">
        <v>48</v>
      </c>
    </row>
    <row r="24" spans="1:11" s="29" customFormat="1" ht="22.9" customHeight="1" x14ac:dyDescent="0.25">
      <c r="A24" s="63" t="s">
        <v>110</v>
      </c>
      <c r="B24" s="22">
        <v>9</v>
      </c>
      <c r="C24" s="22" t="s">
        <v>55</v>
      </c>
      <c r="D24" s="24" t="s">
        <v>95</v>
      </c>
      <c r="E24" s="24" t="s">
        <v>69</v>
      </c>
      <c r="F24" s="24" t="s">
        <v>48</v>
      </c>
      <c r="G24" s="25">
        <v>0</v>
      </c>
      <c r="H24" s="26">
        <v>0</v>
      </c>
      <c r="I24" s="32">
        <f>IFERROR(+Table13101217[[#This Row],[Column G: 
Per Pupil Costs]]/Table13101217[[#This Row],[Column E: 
Estimated Number of Test Takers*]],0)</f>
        <v>0</v>
      </c>
      <c r="J24" s="27">
        <f>+Table13101217[[#This Row],[Column F: 
Fixed Costs]]+Table13101217[[#This Row],[Column G: 
Per Pupil Costs]]</f>
        <v>0</v>
      </c>
      <c r="K24" s="26" t="s">
        <v>48</v>
      </c>
    </row>
    <row r="25" spans="1:11" s="29" customFormat="1" ht="22.9" customHeight="1" x14ac:dyDescent="0.25">
      <c r="A25" s="63" t="s">
        <v>111</v>
      </c>
      <c r="B25" s="22">
        <v>7</v>
      </c>
      <c r="C25" s="22" t="s">
        <v>55</v>
      </c>
      <c r="D25" s="24" t="s">
        <v>95</v>
      </c>
      <c r="E25" s="24" t="s">
        <v>104</v>
      </c>
      <c r="F25" s="31">
        <v>39000</v>
      </c>
      <c r="G25" s="25">
        <v>721305</v>
      </c>
      <c r="H25" s="26">
        <v>0</v>
      </c>
      <c r="I25" s="32">
        <f>IFERROR(+Table13101217[[#This Row],[Column G: 
Per Pupil Costs]]/Table13101217[[#This Row],[Column E: 
Estimated Number of Test Takers*]],0)</f>
        <v>0</v>
      </c>
      <c r="J25" s="27">
        <f>+Table13101217[[#This Row],[Column F: 
Fixed Costs]]+Table13101217[[#This Row],[Column G: 
Per Pupil Costs]]</f>
        <v>721305</v>
      </c>
      <c r="K25" s="32">
        <f>ROUND(+J25/F25,2)</f>
        <v>18.5</v>
      </c>
    </row>
    <row r="26" spans="1:11" s="29" customFormat="1" ht="15.75" x14ac:dyDescent="0.25">
      <c r="A26" s="63" t="s">
        <v>112</v>
      </c>
      <c r="B26" s="22">
        <v>8</v>
      </c>
      <c r="C26" s="22" t="s">
        <v>55</v>
      </c>
      <c r="D26" s="24" t="s">
        <v>95</v>
      </c>
      <c r="E26" s="24" t="s">
        <v>104</v>
      </c>
      <c r="F26" s="31">
        <v>39000</v>
      </c>
      <c r="G26" s="25">
        <v>189556</v>
      </c>
      <c r="H26" s="26">
        <v>5990</v>
      </c>
      <c r="I26" s="32">
        <f>IFERROR(+Table13101217[[#This Row],[Column G: 
Per Pupil Costs]]/Table13101217[[#This Row],[Column E: 
Estimated Number of Test Takers*]],0)</f>
        <v>0.15358974358974359</v>
      </c>
      <c r="J26" s="27">
        <f>+Table13101217[[#This Row],[Column F: 
Fixed Costs]]+Table13101217[[#This Row],[Column G: 
Per Pupil Costs]]</f>
        <v>195546</v>
      </c>
      <c r="K26" s="32">
        <f t="shared" ref="K26:K36" si="3">ROUND(+J26/F26,2)</f>
        <v>5.01</v>
      </c>
    </row>
    <row r="27" spans="1:11" s="29" customFormat="1" ht="15.75" x14ac:dyDescent="0.25">
      <c r="A27" s="63" t="s">
        <v>113</v>
      </c>
      <c r="B27" s="22">
        <v>9</v>
      </c>
      <c r="C27" s="22" t="s">
        <v>55</v>
      </c>
      <c r="D27" s="24" t="s">
        <v>95</v>
      </c>
      <c r="E27" s="24" t="s">
        <v>104</v>
      </c>
      <c r="F27" s="31">
        <v>39000</v>
      </c>
      <c r="G27" s="25">
        <v>134041</v>
      </c>
      <c r="H27" s="26">
        <v>9461</v>
      </c>
      <c r="I27" s="32">
        <f>IFERROR(+Table13101217[[#This Row],[Column G: 
Per Pupil Costs]]/Table13101217[[#This Row],[Column E: 
Estimated Number of Test Takers*]],0)</f>
        <v>0.24258974358974358</v>
      </c>
      <c r="J27" s="27">
        <f>+Table13101217[[#This Row],[Column F: 
Fixed Costs]]+Table13101217[[#This Row],[Column G: 
Per Pupil Costs]]</f>
        <v>143502</v>
      </c>
      <c r="K27" s="32">
        <f t="shared" si="3"/>
        <v>3.68</v>
      </c>
    </row>
    <row r="28" spans="1:11" s="29" customFormat="1" ht="18.600000000000001" customHeight="1" x14ac:dyDescent="0.25">
      <c r="A28" s="63" t="s">
        <v>111</v>
      </c>
      <c r="B28" s="22">
        <v>7</v>
      </c>
      <c r="C28" s="22" t="s">
        <v>71</v>
      </c>
      <c r="D28" s="24" t="s">
        <v>95</v>
      </c>
      <c r="E28" s="24" t="s">
        <v>104</v>
      </c>
      <c r="F28" s="72">
        <v>4000</v>
      </c>
      <c r="G28" s="25">
        <v>44543</v>
      </c>
      <c r="H28" s="26">
        <v>55077</v>
      </c>
      <c r="I28" s="32">
        <f>IFERROR(+Table13101217[[#This Row],[Column G: 
Per Pupil Costs]]/Table13101217[[#This Row],[Column E: 
Estimated Number of Test Takers*]],0)</f>
        <v>13.76925</v>
      </c>
      <c r="J28" s="27">
        <f>+Table13101217[[#This Row],[Column F: 
Fixed Costs]]+Table13101217[[#This Row],[Column G: 
Per Pupil Costs]]</f>
        <v>99620</v>
      </c>
      <c r="K28" s="32">
        <f t="shared" ref="K28:K30" si="4">ROUND(+J28/F28,2)</f>
        <v>24.91</v>
      </c>
    </row>
    <row r="29" spans="1:11" s="29" customFormat="1" ht="15.75" x14ac:dyDescent="0.25">
      <c r="A29" s="66" t="s">
        <v>112</v>
      </c>
      <c r="B29" s="22">
        <v>8</v>
      </c>
      <c r="C29" s="22" t="s">
        <v>71</v>
      </c>
      <c r="D29" s="24" t="s">
        <v>95</v>
      </c>
      <c r="E29" s="24" t="s">
        <v>104</v>
      </c>
      <c r="F29" s="72">
        <v>4000</v>
      </c>
      <c r="G29" s="25">
        <v>9977</v>
      </c>
      <c r="H29" s="26">
        <v>315</v>
      </c>
      <c r="I29" s="32">
        <f>IFERROR(+Table13101217[[#This Row],[Column G: 
Per Pupil Costs]]/Table13101217[[#This Row],[Column E: 
Estimated Number of Test Takers*]],0)</f>
        <v>7.8750000000000001E-2</v>
      </c>
      <c r="J29" s="27">
        <f>+Table13101217[[#This Row],[Column F: 
Fixed Costs]]+Table13101217[[#This Row],[Column G: 
Per Pupil Costs]]</f>
        <v>10292</v>
      </c>
      <c r="K29" s="32">
        <f t="shared" si="4"/>
        <v>2.57</v>
      </c>
    </row>
    <row r="30" spans="1:11" s="29" customFormat="1" ht="15.75" x14ac:dyDescent="0.25">
      <c r="A30" s="66" t="s">
        <v>113</v>
      </c>
      <c r="B30" s="22">
        <v>9</v>
      </c>
      <c r="C30" s="22" t="s">
        <v>71</v>
      </c>
      <c r="D30" s="24" t="s">
        <v>95</v>
      </c>
      <c r="E30" s="24" t="s">
        <v>104</v>
      </c>
      <c r="F30" s="72">
        <v>4000</v>
      </c>
      <c r="G30" s="25">
        <v>1992</v>
      </c>
      <c r="H30" s="26">
        <v>498</v>
      </c>
      <c r="I30" s="32">
        <f>IFERROR(+Table13101217[[#This Row],[Column G: 
Per Pupil Costs]]/Table13101217[[#This Row],[Column E: 
Estimated Number of Test Takers*]],0)</f>
        <v>0.1245</v>
      </c>
      <c r="J30" s="27">
        <f>+Table13101217[[#This Row],[Column F: 
Fixed Costs]]+Table13101217[[#This Row],[Column G: 
Per Pupil Costs]]</f>
        <v>2490</v>
      </c>
      <c r="K30" s="32">
        <f t="shared" si="4"/>
        <v>0.62</v>
      </c>
    </row>
    <row r="31" spans="1:11" s="29" customFormat="1" ht="15.75" x14ac:dyDescent="0.25">
      <c r="A31" s="66" t="s">
        <v>131</v>
      </c>
      <c r="B31" s="22">
        <v>9</v>
      </c>
      <c r="C31" s="22" t="s">
        <v>55</v>
      </c>
      <c r="D31" s="24" t="s">
        <v>98</v>
      </c>
      <c r="E31" s="24" t="s">
        <v>99</v>
      </c>
      <c r="F31" s="24" t="s">
        <v>48</v>
      </c>
      <c r="G31" s="25">
        <v>53234</v>
      </c>
      <c r="H31" s="26">
        <v>0</v>
      </c>
      <c r="I31" s="32">
        <f>IFERROR(+Table13101217[[#This Row],[Column G: 
Per Pupil Costs]]/Table13101217[[#This Row],[Column E: 
Estimated Number of Test Takers*]],0)</f>
        <v>0</v>
      </c>
      <c r="J31" s="27">
        <f>+Table13101217[[#This Row],[Column F: 
Fixed Costs]]+Table13101217[[#This Row],[Column G: 
Per Pupil Costs]]</f>
        <v>53234</v>
      </c>
      <c r="K31" s="32">
        <f>+Table13101217[[#This Row],[Column F: 
Fixed Costs]]/F15</f>
        <v>3.8575362318840581E-2</v>
      </c>
    </row>
    <row r="32" spans="1:11" s="29" customFormat="1" ht="15.75" x14ac:dyDescent="0.25">
      <c r="A32" s="63" t="s">
        <v>132</v>
      </c>
      <c r="B32" s="22">
        <v>9</v>
      </c>
      <c r="C32" s="22" t="s">
        <v>55</v>
      </c>
      <c r="D32" s="24" t="s">
        <v>98</v>
      </c>
      <c r="E32" s="24" t="s">
        <v>99</v>
      </c>
      <c r="F32" s="24" t="s">
        <v>48</v>
      </c>
      <c r="G32" s="25">
        <v>2802</v>
      </c>
      <c r="H32" s="26">
        <v>0</v>
      </c>
      <c r="I32" s="32">
        <f>IFERROR(+Table13101217[[#This Row],[Column G: 
Per Pupil Costs]]/Table13101217[[#This Row],[Column E: 
Estimated Number of Test Takers*]],0)</f>
        <v>0</v>
      </c>
      <c r="J32" s="27">
        <f>+Table13101217[[#This Row],[Column F: 
Fixed Costs]]+Table13101217[[#This Row],[Column G: 
Per Pupil Costs]]</f>
        <v>2802</v>
      </c>
      <c r="K32" s="32">
        <f>+Table13101217[[#This Row],[Column F: 
Fixed Costs]]/F16</f>
        <v>0.18679999999999999</v>
      </c>
    </row>
    <row r="33" spans="1:11" s="29" customFormat="1" ht="15.75" x14ac:dyDescent="0.25">
      <c r="A33" s="63" t="s">
        <v>133</v>
      </c>
      <c r="B33" s="22">
        <v>9</v>
      </c>
      <c r="C33" s="22" t="s">
        <v>55</v>
      </c>
      <c r="D33" s="24" t="s">
        <v>102</v>
      </c>
      <c r="E33" s="34" t="s">
        <v>62</v>
      </c>
      <c r="F33" s="24" t="s">
        <v>48</v>
      </c>
      <c r="G33" s="25">
        <v>17810</v>
      </c>
      <c r="H33" s="26">
        <v>0</v>
      </c>
      <c r="I33" s="32">
        <f>IFERROR(+Table13101217[[#This Row],[Column G: 
Per Pupil Costs]]/Table13101217[[#This Row],[Column E: 
Estimated Number of Test Takers*]],0)</f>
        <v>0</v>
      </c>
      <c r="J33" s="27">
        <f>+Table13101217[[#This Row],[Column F: 
Fixed Costs]]+Table13101217[[#This Row],[Column G: 
Per Pupil Costs]]</f>
        <v>17810</v>
      </c>
      <c r="K33" s="32">
        <f>+Table13101217[[#This Row],[Column F: 
Fixed Costs]]/F17</f>
        <v>0.39577777777777778</v>
      </c>
    </row>
    <row r="34" spans="1:11" s="29" customFormat="1" ht="30" x14ac:dyDescent="0.25">
      <c r="A34" s="63" t="s">
        <v>134</v>
      </c>
      <c r="B34" s="22">
        <v>7</v>
      </c>
      <c r="C34" s="22" t="s">
        <v>71</v>
      </c>
      <c r="D34" s="24" t="s">
        <v>102</v>
      </c>
      <c r="E34" s="24" t="s">
        <v>76</v>
      </c>
      <c r="F34" s="31">
        <v>10000</v>
      </c>
      <c r="G34" s="25">
        <v>209127</v>
      </c>
      <c r="H34" s="26">
        <v>0</v>
      </c>
      <c r="I34" s="32">
        <f>IFERROR(+Table13101217[[#This Row],[Column G: 
Per Pupil Costs]]/Table13101217[[#This Row],[Column E: 
Estimated Number of Test Takers*]],0)</f>
        <v>0</v>
      </c>
      <c r="J34" s="27">
        <f>+Table13101217[[#This Row],[Column F: 
Fixed Costs]]+Table13101217[[#This Row],[Column G: 
Per Pupil Costs]]</f>
        <v>209127</v>
      </c>
      <c r="K34" s="32">
        <f t="shared" si="3"/>
        <v>20.91</v>
      </c>
    </row>
    <row r="35" spans="1:11" s="29" customFormat="1" ht="15.75" x14ac:dyDescent="0.25">
      <c r="A35" s="63" t="s">
        <v>135</v>
      </c>
      <c r="B35" s="22">
        <v>8</v>
      </c>
      <c r="C35" s="22" t="s">
        <v>71</v>
      </c>
      <c r="D35" s="24" t="s">
        <v>102</v>
      </c>
      <c r="E35" s="24" t="s">
        <v>76</v>
      </c>
      <c r="F35" s="31">
        <v>10000</v>
      </c>
      <c r="G35" s="25">
        <v>0</v>
      </c>
      <c r="H35" s="26">
        <v>0</v>
      </c>
      <c r="I35" s="32">
        <f>IFERROR(+Table13101217[[#This Row],[Column G: 
Per Pupil Costs]]/Table13101217[[#This Row],[Column E: 
Estimated Number of Test Takers*]],0)</f>
        <v>0</v>
      </c>
      <c r="J35" s="27">
        <f>+Table13101217[[#This Row],[Column F: 
Fixed Costs]]+Table13101217[[#This Row],[Column G: 
Per Pupil Costs]]</f>
        <v>0</v>
      </c>
      <c r="K35" s="32">
        <f t="shared" ref="K35" si="5">ROUND(+J35/F35,2)</f>
        <v>0</v>
      </c>
    </row>
    <row r="36" spans="1:11" s="29" customFormat="1" ht="15.75" x14ac:dyDescent="0.25">
      <c r="A36" s="63" t="s">
        <v>136</v>
      </c>
      <c r="B36" s="22">
        <v>9</v>
      </c>
      <c r="C36" s="22" t="s">
        <v>71</v>
      </c>
      <c r="D36" s="24" t="s">
        <v>102</v>
      </c>
      <c r="E36" s="34" t="s">
        <v>62</v>
      </c>
      <c r="F36" s="31">
        <v>10000</v>
      </c>
      <c r="G36" s="25">
        <v>116171</v>
      </c>
      <c r="H36" s="26">
        <v>0</v>
      </c>
      <c r="I36" s="32">
        <f>IFERROR(+Table13101217[[#This Row],[Column G: 
Per Pupil Costs]]/Table13101217[[#This Row],[Column E: 
Estimated Number of Test Takers*]],0)</f>
        <v>0</v>
      </c>
      <c r="J36" s="27">
        <f>+Table13101217[[#This Row],[Column F: 
Fixed Costs]]+Table13101217[[#This Row],[Column G: 
Per Pupil Costs]]</f>
        <v>116171</v>
      </c>
      <c r="K36" s="32">
        <f t="shared" si="3"/>
        <v>11.62</v>
      </c>
    </row>
    <row r="37" spans="1:11" s="29" customFormat="1" ht="15.75" x14ac:dyDescent="0.25">
      <c r="A37" s="63" t="s">
        <v>129</v>
      </c>
      <c r="B37" s="22" t="s">
        <v>48</v>
      </c>
      <c r="C37" s="22" t="s">
        <v>48</v>
      </c>
      <c r="D37" s="22" t="s">
        <v>48</v>
      </c>
      <c r="E37" s="22" t="s">
        <v>48</v>
      </c>
      <c r="F37" s="42">
        <f>+F34+F28+F25+F18+F17+F16+F15</f>
        <v>4693000</v>
      </c>
      <c r="G37" s="26">
        <f>SUBTOTAL(109,Table13101217[Column F: 
Fixed Costs])</f>
        <v>75694539</v>
      </c>
      <c r="H37" s="26">
        <f>SUBTOTAL(109,Table13101217[Column G: 
Per Pupil Costs])</f>
        <v>1204651</v>
      </c>
      <c r="I37" s="32">
        <f>Table13101217[[#Totals],[Column G: 
Per Pupil Costs]]/(Table13101217[[#Totals],[Column E: 
Estimated Number of Test Takers*]]-F15-F16-F17)</f>
        <v>0.37032001229634182</v>
      </c>
      <c r="J37" s="26">
        <f>SUBTOTAL(109,Table13101217[Column I: 
Total Costs
(Column F plus Column G)])</f>
        <v>76899190</v>
      </c>
      <c r="K37" s="44">
        <f t="shared" ref="K37" si="6">ROUND(+J37/F37,2)</f>
        <v>16.39</v>
      </c>
    </row>
    <row r="38" spans="1:11" s="29" customFormat="1" ht="15.75" x14ac:dyDescent="0.25">
      <c r="A38" s="29" t="s">
        <v>206</v>
      </c>
      <c r="B38" s="23"/>
      <c r="C38" s="23"/>
      <c r="D38" s="23"/>
      <c r="E38" s="23"/>
      <c r="F38" s="35"/>
      <c r="G38" s="25"/>
      <c r="H38" s="26"/>
      <c r="I38" s="32"/>
      <c r="J38" s="33"/>
      <c r="K38" s="32"/>
    </row>
    <row r="39" spans="1:11" s="29" customFormat="1" ht="15.75" x14ac:dyDescent="0.25">
      <c r="A39" s="8" t="s">
        <v>207</v>
      </c>
      <c r="B39" s="8"/>
      <c r="C39" s="20"/>
      <c r="D39" s="20"/>
      <c r="E39" s="20"/>
      <c r="F39" s="20"/>
      <c r="G39" s="20"/>
      <c r="H39" s="19"/>
      <c r="I39" s="6"/>
      <c r="J39" s="6"/>
      <c r="K39" s="7"/>
    </row>
    <row r="40" spans="1:11" s="29" customFormat="1" ht="15.75" x14ac:dyDescent="0.25">
      <c r="A40" s="60" t="s">
        <v>209</v>
      </c>
      <c r="B40" s="8"/>
      <c r="C40" s="20"/>
      <c r="D40" s="20"/>
      <c r="E40" s="20"/>
      <c r="F40" s="20"/>
      <c r="G40" s="20"/>
      <c r="H40" s="19"/>
      <c r="I40" s="6"/>
      <c r="J40" s="6"/>
      <c r="K40" s="7"/>
    </row>
    <row r="41" spans="1:11" s="29" customFormat="1" ht="15.75" x14ac:dyDescent="0.25">
      <c r="A41" s="60" t="s">
        <v>210</v>
      </c>
      <c r="B41" s="8"/>
      <c r="C41" s="20"/>
      <c r="D41" s="20"/>
      <c r="E41" s="20"/>
      <c r="F41" s="20"/>
      <c r="G41" s="20"/>
      <c r="H41" s="19"/>
      <c r="I41" s="6"/>
      <c r="J41" s="6"/>
      <c r="K41" s="7"/>
    </row>
    <row r="42" spans="1:11" s="29" customFormat="1" ht="15" x14ac:dyDescent="0.2">
      <c r="A42" s="60" t="s">
        <v>211</v>
      </c>
      <c r="B42" s="5"/>
      <c r="C42" s="1"/>
      <c r="D42" s="1"/>
      <c r="E42" s="1"/>
      <c r="F42" s="1"/>
      <c r="G42" s="1"/>
      <c r="H42" s="2"/>
      <c r="I42" s="3"/>
      <c r="J42" s="3"/>
      <c r="K42" s="4"/>
    </row>
    <row r="43" spans="1:11" s="29" customFormat="1" ht="15" hidden="1" x14ac:dyDescent="0.2">
      <c r="A43" s="63"/>
      <c r="B43" s="5"/>
      <c r="C43" s="1"/>
      <c r="D43" s="1"/>
      <c r="E43" s="1"/>
      <c r="F43" s="1"/>
      <c r="G43" s="1"/>
      <c r="H43" s="2"/>
      <c r="I43" s="3"/>
      <c r="J43" s="3"/>
      <c r="K43" s="4"/>
    </row>
    <row r="44" spans="1:11" s="29" customFormat="1" ht="15" hidden="1" x14ac:dyDescent="0.2">
      <c r="A44" s="69"/>
      <c r="B44" s="5"/>
      <c r="C44" s="1"/>
      <c r="D44" s="1"/>
      <c r="E44" s="1"/>
      <c r="F44" s="1"/>
      <c r="G44" s="1"/>
      <c r="H44" s="2"/>
      <c r="I44" s="3"/>
      <c r="J44" s="3"/>
      <c r="K44" s="4"/>
    </row>
    <row r="45" spans="1:11" s="29" customFormat="1" ht="15" hidden="1" x14ac:dyDescent="0.2">
      <c r="B45" s="5"/>
      <c r="C45" s="1"/>
      <c r="D45" s="1"/>
      <c r="E45" s="1"/>
      <c r="F45" s="1"/>
      <c r="G45" s="1"/>
      <c r="H45" s="2"/>
      <c r="I45" s="3"/>
      <c r="J45" s="3"/>
      <c r="K45" s="4"/>
    </row>
    <row r="46" spans="1:11" s="29" customFormat="1" ht="15" hidden="1" x14ac:dyDescent="0.2">
      <c r="A46" s="8"/>
      <c r="B46" s="5"/>
      <c r="C46" s="1"/>
      <c r="D46" s="1"/>
      <c r="E46" s="1"/>
      <c r="F46" s="1"/>
      <c r="G46" s="1"/>
      <c r="H46" s="2"/>
      <c r="I46" s="3"/>
      <c r="J46" s="3"/>
      <c r="K46" s="4"/>
    </row>
    <row r="47" spans="1:11" s="29" customFormat="1" ht="15" hidden="1" x14ac:dyDescent="0.2">
      <c r="A47" s="8"/>
      <c r="B47" s="5"/>
      <c r="C47" s="1"/>
      <c r="D47" s="1"/>
      <c r="E47" s="1"/>
      <c r="F47" s="1"/>
      <c r="G47" s="1"/>
      <c r="H47" s="2"/>
      <c r="I47" s="3"/>
      <c r="J47" s="3"/>
      <c r="K47" s="4"/>
    </row>
    <row r="48" spans="1:11" s="29" customFormat="1" ht="15" hidden="1" x14ac:dyDescent="0.2">
      <c r="A48" s="8"/>
      <c r="B48" s="5"/>
      <c r="C48" s="1"/>
      <c r="D48" s="1"/>
      <c r="E48" s="1"/>
      <c r="F48" s="1"/>
      <c r="G48" s="1"/>
      <c r="H48" s="2"/>
      <c r="I48" s="3"/>
      <c r="J48" s="3"/>
      <c r="K48" s="4"/>
    </row>
    <row r="49" spans="1:14" s="29" customFormat="1" ht="15" hidden="1" x14ac:dyDescent="0.2">
      <c r="A49" s="5"/>
      <c r="B49" s="5"/>
      <c r="C49" s="1"/>
      <c r="D49" s="1"/>
      <c r="E49" s="1"/>
      <c r="F49" s="1"/>
      <c r="G49" s="1"/>
      <c r="H49" s="2"/>
      <c r="I49" s="3"/>
      <c r="J49" s="3"/>
      <c r="K49" s="4"/>
    </row>
    <row r="50" spans="1:14" s="29" customFormat="1" ht="15" hidden="1" x14ac:dyDescent="0.2">
      <c r="A50" s="5"/>
      <c r="B50" s="5"/>
      <c r="C50" s="1"/>
      <c r="D50" s="1"/>
      <c r="E50" s="1"/>
      <c r="F50" s="1"/>
      <c r="G50" s="1"/>
      <c r="H50" s="2"/>
      <c r="I50" s="3"/>
      <c r="J50" s="3"/>
      <c r="K50" s="4"/>
    </row>
    <row r="51" spans="1:14" ht="13.15" hidden="1" customHeight="1" x14ac:dyDescent="0.2"/>
    <row r="52" spans="1:14" s="29" customFormat="1" ht="24.6" hidden="1" customHeight="1" x14ac:dyDescent="0.2">
      <c r="A52" s="5"/>
      <c r="B52" s="5"/>
      <c r="C52" s="1"/>
      <c r="D52" s="1"/>
      <c r="E52" s="1"/>
      <c r="F52" s="1"/>
      <c r="G52" s="1"/>
      <c r="H52" s="2"/>
      <c r="I52" s="3"/>
      <c r="J52" s="3"/>
      <c r="K52" s="4"/>
    </row>
    <row r="53" spans="1:14" s="6" customFormat="1" ht="15" hidden="1" x14ac:dyDescent="0.2">
      <c r="A53" s="5"/>
      <c r="B53" s="5"/>
      <c r="C53" s="1"/>
      <c r="D53" s="1"/>
      <c r="E53" s="1"/>
      <c r="F53" s="1"/>
      <c r="G53" s="1"/>
      <c r="H53" s="2"/>
      <c r="I53" s="3"/>
      <c r="J53" s="3"/>
      <c r="K53" s="4"/>
      <c r="M53" s="8"/>
      <c r="N53" s="8"/>
    </row>
    <row r="54" spans="1:14" s="6" customFormat="1" ht="15" hidden="1" x14ac:dyDescent="0.2">
      <c r="A54" s="5"/>
      <c r="B54" s="5"/>
      <c r="C54" s="1"/>
      <c r="D54" s="1"/>
      <c r="E54" s="1"/>
      <c r="F54" s="1"/>
      <c r="G54" s="1"/>
      <c r="H54" s="2"/>
      <c r="I54" s="3"/>
      <c r="J54" s="3"/>
      <c r="K54" s="4"/>
      <c r="M54" s="8"/>
      <c r="N54" s="8"/>
    </row>
    <row r="55" spans="1:14" s="6" customFormat="1" ht="15" hidden="1" x14ac:dyDescent="0.2">
      <c r="A55" s="5"/>
      <c r="B55" s="5"/>
      <c r="C55" s="1"/>
      <c r="D55" s="1"/>
      <c r="E55" s="1"/>
      <c r="F55" s="1"/>
      <c r="G55" s="1"/>
      <c r="H55" s="2"/>
      <c r="I55" s="3"/>
      <c r="J55" s="3"/>
      <c r="K55" s="4"/>
      <c r="M55" s="8"/>
      <c r="N55" s="8"/>
    </row>
    <row r="56" spans="1:14" s="3" customFormat="1" ht="12.75" hidden="1" x14ac:dyDescent="0.2">
      <c r="A56" s="5"/>
      <c r="B56" s="5"/>
      <c r="C56" s="1"/>
      <c r="D56" s="1"/>
      <c r="E56" s="1"/>
      <c r="F56" s="1"/>
      <c r="G56" s="1"/>
      <c r="H56" s="2"/>
      <c r="K56" s="4"/>
      <c r="M56" s="5"/>
      <c r="N56" s="5"/>
    </row>
    <row r="57" spans="1:14" ht="13.15" hidden="1" customHeight="1" x14ac:dyDescent="0.2"/>
    <row r="58" spans="1:14" ht="13.15" hidden="1" customHeight="1" x14ac:dyDescent="0.2"/>
    <row r="59" spans="1:14" ht="13.15" hidden="1" customHeight="1" x14ac:dyDescent="0.2"/>
    <row r="60" spans="1:14" ht="13.15" hidden="1" customHeight="1" x14ac:dyDescent="0.2"/>
    <row r="61" spans="1:14" ht="13.15" hidden="1" customHeight="1" x14ac:dyDescent="0.2"/>
    <row r="62" spans="1:14" ht="13.15" hidden="1" customHeight="1" x14ac:dyDescent="0.2"/>
    <row r="63" spans="1:14" ht="13.15" hidden="1" customHeight="1" x14ac:dyDescent="0.2"/>
  </sheetData>
  <pageMargins left="0.5" right="0.25" top="0.75" bottom="0.75" header="0.3" footer="0.3"/>
  <pageSetup scale="68" fitToHeight="0" orientation="landscape" r:id="rId1"/>
  <headerFooter>
    <oddHeader xml:space="preserve">&amp;R&amp;"Arial,Regular"&amp;12pptb-adad-nov18item03
Attachment 4
Page &amp;P of &amp;N
</oddHeader>
  </headerFooter>
  <rowBreaks count="1" manualBreakCount="1">
    <brk id="33" max="10" man="1"/>
  </rowBreaks>
  <ignoredErrors>
    <ignoredError sqref="E18:I18 E20:I36 E19:H19 E37:H37" twoDigitTextYear="1"/>
    <ignoredError sqref="I19" twoDigitTextYear="1" formula="1"/>
  </ignoredErrors>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P52"/>
  <sheetViews>
    <sheetView showGridLines="0" zoomScaleNormal="100" workbookViewId="0"/>
  </sheetViews>
  <sheetFormatPr defaultColWidth="0" defaultRowHeight="13.9" customHeight="1" zeroHeight="1" x14ac:dyDescent="0.2"/>
  <cols>
    <col min="1" max="1" width="39.7109375" style="9" customWidth="1"/>
    <col min="2" max="2" width="45.28515625" style="9" customWidth="1"/>
    <col min="3" max="3" width="9.85546875" style="9" bestFit="1" customWidth="1"/>
    <col min="4" max="4" width="11.5703125" style="9" customWidth="1"/>
    <col min="5" max="5" width="9" style="9" bestFit="1" customWidth="1"/>
    <col min="6" max="6" width="13.7109375" style="10" bestFit="1" customWidth="1"/>
    <col min="7" max="7" width="14" style="9" customWidth="1"/>
    <col min="8" max="8" width="13.7109375" style="10" customWidth="1"/>
    <col min="9" max="9" width="15.140625" style="9" customWidth="1"/>
    <col min="10" max="12" width="12.5703125" style="9" bestFit="1" customWidth="1"/>
    <col min="13" max="13" width="15.28515625" style="9" customWidth="1"/>
    <col min="14" max="14" width="3.85546875" style="9" hidden="1" customWidth="1"/>
    <col min="15" max="16" width="7.7109375" style="9" hidden="1" customWidth="1"/>
    <col min="17" max="16384" width="0" style="9" hidden="1"/>
  </cols>
  <sheetData>
    <row r="1" spans="1:16" ht="23.25" x14ac:dyDescent="0.35">
      <c r="A1" s="91" t="s">
        <v>137</v>
      </c>
      <c r="B1"/>
      <c r="C1" s="5"/>
      <c r="D1" s="5"/>
      <c r="E1" s="5"/>
      <c r="F1" s="1"/>
      <c r="G1" s="5"/>
      <c r="H1" s="1"/>
      <c r="I1" s="5"/>
      <c r="J1" s="5"/>
      <c r="K1" s="5"/>
      <c r="L1" s="5"/>
      <c r="M1" s="5"/>
      <c r="O1" s="86"/>
    </row>
    <row r="2" spans="1:16" s="101" customFormat="1" ht="15.75" x14ac:dyDescent="0.25">
      <c r="A2" s="92" t="s">
        <v>213</v>
      </c>
      <c r="C2" s="99"/>
      <c r="D2" s="99"/>
      <c r="E2" s="99"/>
      <c r="F2" s="95"/>
      <c r="G2" s="99"/>
      <c r="H2" s="95"/>
      <c r="I2" s="99"/>
      <c r="J2" s="99"/>
      <c r="K2" s="99"/>
      <c r="L2" s="99"/>
      <c r="M2" s="99"/>
      <c r="O2" s="100"/>
    </row>
    <row r="3" spans="1:16" ht="15.75" x14ac:dyDescent="0.25">
      <c r="A3" s="8" t="s">
        <v>1</v>
      </c>
      <c r="B3"/>
      <c r="C3"/>
      <c r="D3"/>
      <c r="E3"/>
      <c r="F3"/>
      <c r="G3"/>
      <c r="H3"/>
      <c r="I3"/>
      <c r="J3"/>
      <c r="K3" s="5"/>
      <c r="L3" s="5"/>
      <c r="M3" s="5"/>
    </row>
    <row r="4" spans="1:16" ht="15.75" x14ac:dyDescent="0.25">
      <c r="A4" s="59" t="s">
        <v>2</v>
      </c>
      <c r="B4"/>
      <c r="C4"/>
      <c r="D4"/>
      <c r="E4"/>
      <c r="F4"/>
      <c r="G4"/>
      <c r="H4"/>
      <c r="I4"/>
      <c r="J4"/>
      <c r="K4" s="5"/>
      <c r="L4" s="5"/>
      <c r="M4" s="5"/>
    </row>
    <row r="5" spans="1:16" s="52" customFormat="1" ht="15.75" x14ac:dyDescent="0.25">
      <c r="A5" s="8" t="s">
        <v>3</v>
      </c>
      <c r="B5"/>
      <c r="C5"/>
      <c r="D5"/>
      <c r="E5"/>
      <c r="F5"/>
      <c r="G5"/>
      <c r="H5"/>
      <c r="I5"/>
      <c r="J5"/>
      <c r="K5" s="51"/>
      <c r="L5" s="51"/>
      <c r="M5" s="51"/>
    </row>
    <row r="6" spans="1:16" s="52" customFormat="1" ht="15.75" x14ac:dyDescent="0.25">
      <c r="A6" s="12" t="s">
        <v>4</v>
      </c>
      <c r="B6"/>
      <c r="C6"/>
      <c r="D6"/>
      <c r="E6"/>
      <c r="F6"/>
      <c r="G6"/>
      <c r="H6"/>
      <c r="I6"/>
      <c r="J6"/>
      <c r="K6" s="51"/>
      <c r="L6" s="51"/>
      <c r="M6" s="51"/>
    </row>
    <row r="7" spans="1:16" ht="21" customHeight="1" x14ac:dyDescent="0.25">
      <c r="A7" s="8" t="s">
        <v>37</v>
      </c>
      <c r="B7"/>
      <c r="C7" s="5"/>
      <c r="D7" s="5"/>
      <c r="E7" s="5"/>
      <c r="F7" s="1"/>
      <c r="G7" s="5"/>
      <c r="H7" s="1"/>
      <c r="I7" s="5"/>
      <c r="J7" s="5"/>
      <c r="K7" s="5"/>
      <c r="L7" s="5"/>
      <c r="M7" s="5"/>
    </row>
    <row r="8" spans="1:16" s="14" customFormat="1" ht="66.599999999999994" customHeight="1" x14ac:dyDescent="0.2">
      <c r="A8" s="14" t="s">
        <v>38</v>
      </c>
      <c r="B8" s="14" t="s">
        <v>39</v>
      </c>
      <c r="C8" s="14" t="s">
        <v>40</v>
      </c>
      <c r="D8" s="14" t="s">
        <v>41</v>
      </c>
      <c r="E8" s="14" t="s">
        <v>42</v>
      </c>
      <c r="F8" s="14" t="s">
        <v>43</v>
      </c>
      <c r="G8" s="14" t="s">
        <v>138</v>
      </c>
      <c r="H8" s="14" t="s">
        <v>139</v>
      </c>
      <c r="I8" s="14" t="s">
        <v>12</v>
      </c>
      <c r="J8" s="14" t="s">
        <v>140</v>
      </c>
      <c r="K8" s="14" t="s">
        <v>141</v>
      </c>
      <c r="L8" s="14" t="s">
        <v>15</v>
      </c>
      <c r="M8" s="14" t="s">
        <v>21</v>
      </c>
      <c r="N8" s="14" t="s">
        <v>142</v>
      </c>
      <c r="O8" s="14" t="s">
        <v>143</v>
      </c>
      <c r="P8" s="14" t="s">
        <v>144</v>
      </c>
    </row>
    <row r="9" spans="1:16" s="19" customFormat="1" ht="22.15" customHeight="1" x14ac:dyDescent="0.2">
      <c r="A9" s="13" t="s">
        <v>46</v>
      </c>
      <c r="B9" s="8" t="s">
        <v>47</v>
      </c>
      <c r="C9" s="20">
        <v>1</v>
      </c>
      <c r="D9" s="20" t="s">
        <v>48</v>
      </c>
      <c r="E9" s="20" t="s">
        <v>48</v>
      </c>
      <c r="F9" s="20" t="s">
        <v>48</v>
      </c>
      <c r="G9" s="19">
        <v>3930487</v>
      </c>
      <c r="H9" s="19">
        <v>0</v>
      </c>
      <c r="I9" s="19">
        <f>SUM(Table46[[#This Row],[Fiscal Year
2018–19
(7/1/18 to 6/30/19)]:[Fiscal Year   2018-19 Amend 6]])</f>
        <v>3930487</v>
      </c>
      <c r="J9" s="19">
        <v>172189</v>
      </c>
      <c r="K9" s="19">
        <v>0</v>
      </c>
      <c r="L9" s="19">
        <f>SUM(Table46[[#This Row],[Fiscal Year
2019–20
(7/1/19 to 12/31/19)]:[Fiscal Year   2019-20 Amend 6]])</f>
        <v>172189</v>
      </c>
      <c r="M9" s="19">
        <f>SUM(L9,I9)</f>
        <v>4102676</v>
      </c>
    </row>
    <row r="10" spans="1:16" s="19" customFormat="1" ht="33.6" customHeight="1" x14ac:dyDescent="0.2">
      <c r="A10" s="13" t="s">
        <v>46</v>
      </c>
      <c r="B10" s="13" t="s">
        <v>49</v>
      </c>
      <c r="C10" s="20">
        <v>2</v>
      </c>
      <c r="D10" s="20" t="s">
        <v>48</v>
      </c>
      <c r="E10" s="20" t="s">
        <v>48</v>
      </c>
      <c r="F10" s="20" t="s">
        <v>48</v>
      </c>
      <c r="G10" s="19">
        <v>3960568</v>
      </c>
      <c r="H10" s="19">
        <v>0</v>
      </c>
      <c r="I10" s="19">
        <f>SUM(Table46[[#This Row],[Fiscal Year
2018–19
(7/1/18 to 6/30/19)]:[Fiscal Year   2018-19 Amend 6]])</f>
        <v>3960568</v>
      </c>
      <c r="J10" s="19">
        <v>185179</v>
      </c>
      <c r="K10" s="19">
        <v>0</v>
      </c>
      <c r="L10" s="19">
        <f>SUM(Table46[[#This Row],[Fiscal Year
2019–20
(7/1/19 to 12/31/19)]:[Fiscal Year   2019-20 Amend 6]])</f>
        <v>185179</v>
      </c>
      <c r="M10" s="19">
        <f>SUM(L10,I10)</f>
        <v>4145747</v>
      </c>
    </row>
    <row r="11" spans="1:16" s="19" customFormat="1" ht="22.15" customHeight="1" x14ac:dyDescent="0.2">
      <c r="A11" s="13" t="s">
        <v>46</v>
      </c>
      <c r="B11" s="8" t="s">
        <v>50</v>
      </c>
      <c r="C11" s="20">
        <v>3</v>
      </c>
      <c r="D11" s="20" t="s">
        <v>48</v>
      </c>
      <c r="E11" s="20" t="s">
        <v>48</v>
      </c>
      <c r="F11" s="20" t="s">
        <v>48</v>
      </c>
      <c r="G11" s="19">
        <v>3052160</v>
      </c>
      <c r="H11" s="19">
        <v>0</v>
      </c>
      <c r="I11" s="19">
        <f>SUM(Table46[[#This Row],[Fiscal Year
2018–19
(7/1/18 to 6/30/19)]:[Fiscal Year   2018-19 Amend 6]])</f>
        <v>3052160</v>
      </c>
      <c r="J11" s="19">
        <v>68521</v>
      </c>
      <c r="K11" s="19">
        <v>0</v>
      </c>
      <c r="L11" s="19">
        <f>SUM(Table46[[#This Row],[Fiscal Year
2019–20
(7/1/19 to 12/31/19)]:[Fiscal Year   2019-20 Amend 6]])</f>
        <v>68521</v>
      </c>
      <c r="M11" s="19">
        <f t="shared" ref="M11:M33" si="0">SUM(L11,I11)</f>
        <v>3120681</v>
      </c>
    </row>
    <row r="12" spans="1:16" s="19" customFormat="1" ht="22.15" customHeight="1" x14ac:dyDescent="0.2">
      <c r="A12" s="13" t="s">
        <v>46</v>
      </c>
      <c r="B12" s="8" t="s">
        <v>51</v>
      </c>
      <c r="C12" s="20">
        <v>4</v>
      </c>
      <c r="D12" s="20" t="s">
        <v>48</v>
      </c>
      <c r="E12" s="20" t="s">
        <v>48</v>
      </c>
      <c r="F12" s="20" t="s">
        <v>48</v>
      </c>
      <c r="G12" s="19">
        <v>129789</v>
      </c>
      <c r="H12" s="19">
        <v>0</v>
      </c>
      <c r="I12" s="19">
        <f>SUM(Table46[[#This Row],[Fiscal Year
2018–19
(7/1/18 to 6/30/19)]:[Fiscal Year   2018-19 Amend 6]])</f>
        <v>129789</v>
      </c>
      <c r="J12" s="19">
        <v>2388</v>
      </c>
      <c r="K12" s="19">
        <v>0</v>
      </c>
      <c r="L12" s="19">
        <f>SUM(Table46[[#This Row],[Fiscal Year
2019–20
(7/1/19 to 12/31/19)]:[Fiscal Year   2019-20 Amend 6]])</f>
        <v>2388</v>
      </c>
      <c r="M12" s="19">
        <f t="shared" si="0"/>
        <v>132177</v>
      </c>
    </row>
    <row r="13" spans="1:16" s="19" customFormat="1" ht="22.15" customHeight="1" x14ac:dyDescent="0.2">
      <c r="A13" s="13" t="s">
        <v>46</v>
      </c>
      <c r="B13" s="8" t="s">
        <v>52</v>
      </c>
      <c r="C13" s="20">
        <v>5</v>
      </c>
      <c r="D13" s="20" t="s">
        <v>48</v>
      </c>
      <c r="E13" s="20" t="s">
        <v>48</v>
      </c>
      <c r="F13" s="20" t="s">
        <v>48</v>
      </c>
      <c r="G13" s="19">
        <v>783158</v>
      </c>
      <c r="H13" s="19">
        <v>0</v>
      </c>
      <c r="I13" s="19">
        <f>SUM(Table46[[#This Row],[Fiscal Year
2018–19
(7/1/18 to 6/30/19)]:[Fiscal Year   2018-19 Amend 6]])</f>
        <v>783158</v>
      </c>
      <c r="J13" s="19">
        <v>231</v>
      </c>
      <c r="K13" s="19">
        <v>0</v>
      </c>
      <c r="L13" s="19">
        <f>SUM(Table46[[#This Row],[Fiscal Year
2019–20
(7/1/19 to 12/31/19)]:[Fiscal Year   2019-20 Amend 6]])</f>
        <v>231</v>
      </c>
      <c r="M13" s="19">
        <f t="shared" si="0"/>
        <v>783389</v>
      </c>
    </row>
    <row r="14" spans="1:16" s="19" customFormat="1" ht="22.15" customHeight="1" x14ac:dyDescent="0.2">
      <c r="A14" s="13" t="s">
        <v>53</v>
      </c>
      <c r="B14" s="8" t="s">
        <v>127</v>
      </c>
      <c r="C14" s="20">
        <v>6</v>
      </c>
      <c r="D14" s="20" t="s">
        <v>55</v>
      </c>
      <c r="E14" s="20" t="s">
        <v>56</v>
      </c>
      <c r="F14" s="20" t="s">
        <v>48</v>
      </c>
      <c r="G14" s="19">
        <v>1424622</v>
      </c>
      <c r="H14" s="19">
        <v>0</v>
      </c>
      <c r="I14" s="19">
        <f>SUM(Table46[[#This Row],[Fiscal Year
2018–19
(7/1/18 to 6/30/19)]:[Fiscal Year   2018-19 Amend 6]])</f>
        <v>1424622</v>
      </c>
      <c r="J14" s="19">
        <v>177902</v>
      </c>
      <c r="K14" s="19">
        <v>0</v>
      </c>
      <c r="L14" s="19">
        <f>SUM(Table46[[#This Row],[Fiscal Year
2019–20
(7/1/19 to 12/31/19)]:[Fiscal Year   2019-20 Amend 6]])</f>
        <v>177902</v>
      </c>
      <c r="M14" s="19">
        <f t="shared" si="0"/>
        <v>1602524</v>
      </c>
    </row>
    <row r="15" spans="1:16" s="19" customFormat="1" ht="22.15" customHeight="1" x14ac:dyDescent="0.2">
      <c r="A15" s="13" t="s">
        <v>53</v>
      </c>
      <c r="B15" s="8" t="s">
        <v>58</v>
      </c>
      <c r="C15" s="20">
        <v>6</v>
      </c>
      <c r="D15" s="20" t="s">
        <v>55</v>
      </c>
      <c r="E15" s="20" t="s">
        <v>99</v>
      </c>
      <c r="F15" s="20" t="s">
        <v>48</v>
      </c>
      <c r="G15" s="19">
        <v>1867563</v>
      </c>
      <c r="H15" s="19">
        <v>0</v>
      </c>
      <c r="I15" s="19">
        <f>SUM(Table46[[#This Row],[Fiscal Year
2018–19
(7/1/18 to 6/30/19)]:[Fiscal Year   2018-19 Amend 6]])</f>
        <v>1867563</v>
      </c>
      <c r="J15" s="19">
        <v>162995</v>
      </c>
      <c r="K15" s="19">
        <v>0</v>
      </c>
      <c r="L15" s="19">
        <f>SUM(Table46[[#This Row],[Fiscal Year
2019–20
(7/1/19 to 12/31/19)]:[Fiscal Year   2019-20 Amend 6]])</f>
        <v>162995</v>
      </c>
      <c r="M15" s="19">
        <f t="shared" si="0"/>
        <v>2030558</v>
      </c>
    </row>
    <row r="16" spans="1:16" s="19" customFormat="1" ht="22.15" customHeight="1" x14ac:dyDescent="0.2">
      <c r="A16" s="13" t="s">
        <v>53</v>
      </c>
      <c r="B16" s="8" t="s">
        <v>60</v>
      </c>
      <c r="C16" s="20">
        <v>6</v>
      </c>
      <c r="D16" s="20" t="s">
        <v>55</v>
      </c>
      <c r="E16" s="20" t="s">
        <v>99</v>
      </c>
      <c r="F16" s="20" t="s">
        <v>48</v>
      </c>
      <c r="G16" s="19">
        <v>636329</v>
      </c>
      <c r="H16" s="19">
        <v>0</v>
      </c>
      <c r="I16" s="19">
        <f>SUM(Table46[[#This Row],[Fiscal Year
2018–19
(7/1/18 to 6/30/19)]:[Fiscal Year   2018-19 Amend 6]])</f>
        <v>636329</v>
      </c>
      <c r="J16" s="19">
        <v>70971</v>
      </c>
      <c r="K16" s="19">
        <v>0</v>
      </c>
      <c r="L16" s="19">
        <f>SUM(Table46[[#This Row],[Fiscal Year
2019–20
(7/1/19 to 12/31/19)]:[Fiscal Year   2019-20 Amend 6]])</f>
        <v>70971</v>
      </c>
      <c r="M16" s="19">
        <f t="shared" si="0"/>
        <v>707300</v>
      </c>
    </row>
    <row r="17" spans="1:16" s="19" customFormat="1" ht="22.15" customHeight="1" x14ac:dyDescent="0.2">
      <c r="A17" s="13" t="s">
        <v>53</v>
      </c>
      <c r="B17" s="8" t="s">
        <v>61</v>
      </c>
      <c r="C17" s="20">
        <v>6</v>
      </c>
      <c r="D17" s="20" t="s">
        <v>55</v>
      </c>
      <c r="E17" s="20" t="s">
        <v>62</v>
      </c>
      <c r="F17" s="20" t="s">
        <v>48</v>
      </c>
      <c r="G17" s="19">
        <v>1242854</v>
      </c>
      <c r="H17" s="19">
        <v>0</v>
      </c>
      <c r="I17" s="19">
        <f>SUM(Table46[[#This Row],[Fiscal Year
2018–19
(7/1/18 to 6/30/19)]:[Fiscal Year   2018-19 Amend 6]])</f>
        <v>1242854</v>
      </c>
      <c r="J17" s="19">
        <v>94936</v>
      </c>
      <c r="K17" s="19">
        <v>0</v>
      </c>
      <c r="L17" s="19">
        <f>SUM(Table46[[#This Row],[Fiscal Year
2019–20
(7/1/19 to 12/31/19)]:[Fiscal Year   2019-20 Amend 6]])</f>
        <v>94936</v>
      </c>
      <c r="M17" s="19">
        <f t="shared" si="0"/>
        <v>1337790</v>
      </c>
    </row>
    <row r="18" spans="1:16" s="19" customFormat="1" ht="30" x14ac:dyDescent="0.2">
      <c r="A18" s="13" t="s">
        <v>63</v>
      </c>
      <c r="B18" s="8" t="s">
        <v>64</v>
      </c>
      <c r="C18" s="20" t="s">
        <v>65</v>
      </c>
      <c r="D18" s="20" t="s">
        <v>55</v>
      </c>
      <c r="E18" s="20" t="s">
        <v>56</v>
      </c>
      <c r="F18" s="49">
        <v>3300000</v>
      </c>
      <c r="G18" s="19">
        <v>48029555</v>
      </c>
      <c r="H18" s="19">
        <v>0</v>
      </c>
      <c r="I18" s="19">
        <f>SUM(Table46[[#This Row],[Fiscal Year
2018–19
(7/1/18 to 6/30/19)]:[Fiscal Year   2018-19 Amend 6]])</f>
        <v>48029555</v>
      </c>
      <c r="J18" s="19">
        <v>179952</v>
      </c>
      <c r="K18" s="19">
        <v>0</v>
      </c>
      <c r="L18" s="19">
        <f>SUM(Table46[[#This Row],[Fiscal Year
2019–20
(7/1/19 to 12/31/19)]:[Fiscal Year   2019-20 Amend 6]])</f>
        <v>179952</v>
      </c>
      <c r="M18" s="19">
        <f t="shared" si="0"/>
        <v>48209507</v>
      </c>
    </row>
    <row r="19" spans="1:16" s="19" customFormat="1" ht="30" x14ac:dyDescent="0.2">
      <c r="A19" s="13" t="s">
        <v>66</v>
      </c>
      <c r="B19" s="8" t="s">
        <v>67</v>
      </c>
      <c r="C19" s="20" t="s">
        <v>68</v>
      </c>
      <c r="D19" s="20" t="s">
        <v>55</v>
      </c>
      <c r="E19" s="20" t="s">
        <v>69</v>
      </c>
      <c r="F19" s="20" t="s">
        <v>48</v>
      </c>
      <c r="G19" s="19">
        <v>1494482</v>
      </c>
      <c r="H19" s="19">
        <v>0</v>
      </c>
      <c r="I19" s="19">
        <f>SUM(Table46[[#This Row],[Fiscal Year
2018–19
(7/1/18 to 6/30/19)]:[Fiscal Year   2018-19 Amend 6]])</f>
        <v>1494482</v>
      </c>
      <c r="J19" s="19">
        <v>0</v>
      </c>
      <c r="K19" s="19">
        <v>0</v>
      </c>
      <c r="L19" s="19">
        <f>SUM(Table46[[#This Row],[Fiscal Year
2019–20
(7/1/19 to 12/31/19)]:[Fiscal Year   2019-20 Amend 6]])</f>
        <v>0</v>
      </c>
      <c r="M19" s="19">
        <f t="shared" si="0"/>
        <v>1494482</v>
      </c>
    </row>
    <row r="20" spans="1:16" s="19" customFormat="1" ht="30" x14ac:dyDescent="0.2">
      <c r="A20" s="13" t="s">
        <v>63</v>
      </c>
      <c r="B20" s="8" t="s">
        <v>117</v>
      </c>
      <c r="C20" s="20" t="s">
        <v>65</v>
      </c>
      <c r="D20" s="20" t="s">
        <v>55</v>
      </c>
      <c r="E20" s="20" t="s">
        <v>56</v>
      </c>
      <c r="F20" s="49">
        <v>39000</v>
      </c>
      <c r="G20" s="19">
        <v>864803</v>
      </c>
      <c r="H20" s="19">
        <v>0</v>
      </c>
      <c r="I20" s="19">
        <f>SUM(Table46[[#This Row],[Fiscal Year
2018–19
(7/1/18 to 6/30/19)]:[Fiscal Year   2018-19 Amend 6]])</f>
        <v>864803</v>
      </c>
      <c r="J20" s="19">
        <v>57612</v>
      </c>
      <c r="K20" s="19">
        <v>0</v>
      </c>
      <c r="L20" s="19">
        <f>SUM(Table46[[#This Row],[Fiscal Year
2019–20
(7/1/19 to 12/31/19)]:[Fiscal Year   2019-20 Amend 6]])</f>
        <v>57612</v>
      </c>
      <c r="M20" s="19">
        <f t="shared" si="0"/>
        <v>922415</v>
      </c>
    </row>
    <row r="21" spans="1:16" s="19" customFormat="1" ht="30" x14ac:dyDescent="0.2">
      <c r="A21" s="13" t="s">
        <v>63</v>
      </c>
      <c r="B21" s="8" t="s">
        <v>118</v>
      </c>
      <c r="C21" s="20" t="s">
        <v>65</v>
      </c>
      <c r="D21" s="20" t="s">
        <v>55</v>
      </c>
      <c r="E21" s="20" t="s">
        <v>99</v>
      </c>
      <c r="F21" s="49">
        <v>1472000</v>
      </c>
      <c r="G21" s="19">
        <v>8661795</v>
      </c>
      <c r="H21" s="19">
        <v>0</v>
      </c>
      <c r="I21" s="19">
        <f>SUM(Table46[[#This Row],[Fiscal Year
2018–19
(7/1/18 to 6/30/19)]:[Fiscal Year   2018-19 Amend 6]])</f>
        <v>8661795</v>
      </c>
      <c r="J21" s="19">
        <v>227405</v>
      </c>
      <c r="K21" s="19">
        <v>0</v>
      </c>
      <c r="L21" s="19">
        <f>SUM(Table46[[#This Row],[Fiscal Year
2019–20
(7/1/19 to 12/31/19)]:[Fiscal Year   2019-20 Amend 6]])</f>
        <v>227405</v>
      </c>
      <c r="M21" s="19">
        <f t="shared" si="0"/>
        <v>8889200</v>
      </c>
    </row>
    <row r="22" spans="1:16" s="19" customFormat="1" ht="30" x14ac:dyDescent="0.2">
      <c r="A22" s="13" t="s">
        <v>63</v>
      </c>
      <c r="B22" s="8" t="s">
        <v>119</v>
      </c>
      <c r="C22" s="20" t="s">
        <v>65</v>
      </c>
      <c r="D22" s="20" t="s">
        <v>55</v>
      </c>
      <c r="E22" s="20" t="s">
        <v>99</v>
      </c>
      <c r="F22" s="49">
        <v>16500</v>
      </c>
      <c r="G22" s="19">
        <v>212833</v>
      </c>
      <c r="H22" s="19">
        <v>0</v>
      </c>
      <c r="I22" s="19">
        <f>SUM(Table46[[#This Row],[Fiscal Year
2018–19
(7/1/18 to 6/30/19)]:[Fiscal Year   2018-19 Amend 6]])</f>
        <v>212833</v>
      </c>
      <c r="J22" s="19">
        <v>63207</v>
      </c>
      <c r="K22" s="19">
        <v>0</v>
      </c>
      <c r="L22" s="19">
        <f>SUM(Table46[[#This Row],[Fiscal Year
2019–20
(7/1/19 to 12/31/19)]:[Fiscal Year   2019-20 Amend 6]])</f>
        <v>63207</v>
      </c>
      <c r="M22" s="19">
        <f t="shared" si="0"/>
        <v>276040</v>
      </c>
    </row>
    <row r="23" spans="1:16" s="19" customFormat="1" ht="30" x14ac:dyDescent="0.2">
      <c r="A23" s="13" t="s">
        <v>63</v>
      </c>
      <c r="B23" s="8" t="s">
        <v>128</v>
      </c>
      <c r="C23" s="20" t="s">
        <v>65</v>
      </c>
      <c r="D23" s="20" t="s">
        <v>55</v>
      </c>
      <c r="E23" s="20" t="s">
        <v>62</v>
      </c>
      <c r="F23" s="49">
        <v>22500</v>
      </c>
      <c r="G23" s="19">
        <v>1082824</v>
      </c>
      <c r="H23" s="19">
        <v>0</v>
      </c>
      <c r="I23" s="19">
        <f>SUM(Table46[[#This Row],[Fiscal Year
2018–19
(7/1/18 to 6/30/19)]:[Fiscal Year   2018-19 Amend 6]])</f>
        <v>1082824</v>
      </c>
      <c r="J23" s="19">
        <v>114911</v>
      </c>
      <c r="K23" s="19">
        <v>0</v>
      </c>
      <c r="L23" s="19">
        <f>SUM(Table46[[#This Row],[Fiscal Year
2019–20
(7/1/19 to 12/31/19)]:[Fiscal Year   2019-20 Amend 6]])</f>
        <v>114911</v>
      </c>
      <c r="M23" s="19">
        <f t="shared" si="0"/>
        <v>1197735</v>
      </c>
    </row>
    <row r="24" spans="1:16" s="19" customFormat="1" ht="17.45" customHeight="1" x14ac:dyDescent="0.25">
      <c r="A24" s="18" t="s">
        <v>29</v>
      </c>
      <c r="B24" s="38" t="s">
        <v>145</v>
      </c>
      <c r="C24" s="39" t="s">
        <v>48</v>
      </c>
      <c r="D24" s="39" t="s">
        <v>48</v>
      </c>
      <c r="E24" s="39" t="s">
        <v>48</v>
      </c>
      <c r="F24" s="50">
        <f>F18+F20+F21+F22+F23</f>
        <v>4850000</v>
      </c>
      <c r="G24" s="37">
        <f>SUBTOTAL(109,G9:G23)</f>
        <v>77373822</v>
      </c>
      <c r="H24" s="37">
        <f>SUBTOTAL(109,H9:H23)</f>
        <v>0</v>
      </c>
      <c r="I24" s="37">
        <f>SUM(Table46[[#This Row],[Fiscal Year
2018–19
(7/1/18 to 6/30/19)]:[Fiscal Year   2018-19 Amend 6]])</f>
        <v>77373822</v>
      </c>
      <c r="J24" s="37">
        <f>SUBTOTAL(109,J9:J23)</f>
        <v>1578399</v>
      </c>
      <c r="K24" s="37">
        <f>SUBTOTAL(109,K9:K23)</f>
        <v>0</v>
      </c>
      <c r="L24" s="37">
        <f>SUBTOTAL(109,L9:L23)</f>
        <v>1578399</v>
      </c>
      <c r="M24" s="37">
        <f>SUBTOTAL(109,M9:M23)</f>
        <v>78952221</v>
      </c>
      <c r="N24" s="19">
        <f t="shared" ref="N24:P24" si="1">N9+N10+N11+N12+N13+N14+N15+N16+N17+N18+N19+N20+N21+N22+N23</f>
        <v>0</v>
      </c>
      <c r="O24" s="19">
        <f t="shared" si="1"/>
        <v>0</v>
      </c>
      <c r="P24" s="19">
        <f t="shared" si="1"/>
        <v>0</v>
      </c>
    </row>
    <row r="25" spans="1:16" ht="31.9" customHeight="1" x14ac:dyDescent="0.2">
      <c r="A25" s="13" t="s">
        <v>46</v>
      </c>
      <c r="B25" s="13" t="s">
        <v>146</v>
      </c>
      <c r="C25" s="20">
        <v>1</v>
      </c>
      <c r="D25" s="20" t="s">
        <v>48</v>
      </c>
      <c r="E25" s="20" t="s">
        <v>48</v>
      </c>
      <c r="F25" s="20" t="s">
        <v>48</v>
      </c>
      <c r="G25" s="19">
        <v>0</v>
      </c>
      <c r="H25" s="19">
        <v>2749610</v>
      </c>
      <c r="I25" s="19">
        <f>SUM(Table46[[#This Row],[Fiscal Year
2018–19
(7/1/18 to 6/30/19)]:[Fiscal Year   2018-19 Amend 6]])</f>
        <v>2749610</v>
      </c>
      <c r="J25" s="19">
        <v>0</v>
      </c>
      <c r="K25" s="19">
        <v>557595</v>
      </c>
      <c r="L25" s="19">
        <f>SUM(Table46[[#This Row],[Fiscal Year
2019–20
(7/1/19 to 12/31/19)]:[Fiscal Year   2019-20 Amend 6]])</f>
        <v>557595</v>
      </c>
      <c r="M25" s="19">
        <f t="shared" si="0"/>
        <v>3307205</v>
      </c>
      <c r="N25" s="19"/>
      <c r="O25" s="19"/>
      <c r="P25" s="19"/>
    </row>
    <row r="26" spans="1:16" ht="22.9" customHeight="1" x14ac:dyDescent="0.2">
      <c r="A26" s="13" t="s">
        <v>46</v>
      </c>
      <c r="B26" s="13" t="s">
        <v>147</v>
      </c>
      <c r="C26" s="20">
        <v>2</v>
      </c>
      <c r="D26" s="20" t="s">
        <v>48</v>
      </c>
      <c r="E26" s="20" t="s">
        <v>48</v>
      </c>
      <c r="F26" s="20" t="s">
        <v>48</v>
      </c>
      <c r="G26" s="19">
        <v>0</v>
      </c>
      <c r="H26" s="19">
        <v>4089064</v>
      </c>
      <c r="I26" s="19">
        <f>SUM(Table46[[#This Row],[Fiscal Year
2018–19
(7/1/18 to 6/30/19)]:[Fiscal Year   2018-19 Amend 6]])</f>
        <v>4089064</v>
      </c>
      <c r="J26" s="19">
        <v>0</v>
      </c>
      <c r="K26" s="19">
        <v>800281</v>
      </c>
      <c r="L26" s="19">
        <f>SUM(Table46[[#This Row],[Fiscal Year
2019–20
(7/1/19 to 12/31/19)]:[Fiscal Year   2019-20 Amend 6]])</f>
        <v>800281</v>
      </c>
      <c r="M26" s="19">
        <f t="shared" si="0"/>
        <v>4889345</v>
      </c>
      <c r="N26" s="19"/>
      <c r="O26" s="19"/>
      <c r="P26" s="19"/>
    </row>
    <row r="27" spans="1:16" ht="22.9" customHeight="1" x14ac:dyDescent="0.2">
      <c r="A27" s="13" t="s">
        <v>46</v>
      </c>
      <c r="B27" s="13" t="s">
        <v>148</v>
      </c>
      <c r="C27" s="20">
        <v>3</v>
      </c>
      <c r="D27" s="20" t="s">
        <v>48</v>
      </c>
      <c r="E27" s="20" t="s">
        <v>48</v>
      </c>
      <c r="F27" s="20" t="s">
        <v>48</v>
      </c>
      <c r="G27" s="19">
        <v>0</v>
      </c>
      <c r="H27" s="19">
        <v>2697898</v>
      </c>
      <c r="I27" s="19">
        <f>SUM(Table46[[#This Row],[Fiscal Year
2018–19
(7/1/18 to 6/30/19)]:[Fiscal Year   2018-19 Amend 6]])</f>
        <v>2697898</v>
      </c>
      <c r="J27" s="19">
        <v>0</v>
      </c>
      <c r="K27" s="19">
        <v>17987</v>
      </c>
      <c r="L27" s="19">
        <f>SUM(Table46[[#This Row],[Fiscal Year
2019–20
(7/1/19 to 12/31/19)]:[Fiscal Year   2019-20 Amend 6]])</f>
        <v>17987</v>
      </c>
      <c r="M27" s="19">
        <f t="shared" si="0"/>
        <v>2715885</v>
      </c>
      <c r="N27" s="19"/>
      <c r="O27" s="19"/>
      <c r="P27" s="19"/>
    </row>
    <row r="28" spans="1:16" ht="22.9" customHeight="1" x14ac:dyDescent="0.2">
      <c r="A28" s="13" t="s">
        <v>46</v>
      </c>
      <c r="B28" s="13" t="s">
        <v>149</v>
      </c>
      <c r="C28" s="20">
        <v>4</v>
      </c>
      <c r="D28" s="20" t="s">
        <v>48</v>
      </c>
      <c r="E28" s="20" t="s">
        <v>48</v>
      </c>
      <c r="F28" s="20" t="s">
        <v>48</v>
      </c>
      <c r="G28" s="19">
        <v>0</v>
      </c>
      <c r="H28" s="19">
        <v>208384</v>
      </c>
      <c r="I28" s="19">
        <f>SUM(Table46[[#This Row],[Fiscal Year
2018–19
(7/1/18 to 6/30/19)]:[Fiscal Year   2018-19 Amend 6]])</f>
        <v>208384</v>
      </c>
      <c r="J28" s="19">
        <v>0</v>
      </c>
      <c r="K28" s="19">
        <v>0</v>
      </c>
      <c r="L28" s="19">
        <f>SUM(Table46[[#This Row],[Fiscal Year
2019–20
(7/1/19 to 12/31/19)]:[Fiscal Year   2019-20 Amend 6]])</f>
        <v>0</v>
      </c>
      <c r="M28" s="19">
        <f t="shared" si="0"/>
        <v>208384</v>
      </c>
      <c r="N28" s="19"/>
      <c r="O28" s="19"/>
      <c r="P28" s="19"/>
    </row>
    <row r="29" spans="1:16" ht="22.9" customHeight="1" x14ac:dyDescent="0.2">
      <c r="A29" s="13" t="s">
        <v>46</v>
      </c>
      <c r="B29" s="13" t="s">
        <v>150</v>
      </c>
      <c r="C29" s="20">
        <v>5</v>
      </c>
      <c r="D29" s="20" t="s">
        <v>48</v>
      </c>
      <c r="E29" s="20" t="s">
        <v>48</v>
      </c>
      <c r="F29" s="20" t="s">
        <v>48</v>
      </c>
      <c r="G29" s="19">
        <v>0</v>
      </c>
      <c r="H29" s="19">
        <v>478852</v>
      </c>
      <c r="I29" s="19">
        <f>SUM(Table46[[#This Row],[Fiscal Year
2018–19
(7/1/18 to 6/30/19)]:[Fiscal Year   2018-19 Amend 6]])</f>
        <v>478852</v>
      </c>
      <c r="J29" s="19">
        <v>0</v>
      </c>
      <c r="K29" s="19">
        <v>9600</v>
      </c>
      <c r="L29" s="19">
        <f>SUM(Table46[[#This Row],[Fiscal Year
2019–20
(7/1/19 to 12/31/19)]:[Fiscal Year   2019-20 Amend 6]])</f>
        <v>9600</v>
      </c>
      <c r="M29" s="19">
        <f t="shared" si="0"/>
        <v>488452</v>
      </c>
      <c r="N29" s="19"/>
      <c r="O29" s="19"/>
      <c r="P29" s="19"/>
    </row>
    <row r="30" spans="1:16" ht="22.9" customHeight="1" x14ac:dyDescent="0.2">
      <c r="A30" s="13" t="s">
        <v>53</v>
      </c>
      <c r="B30" s="13" t="s">
        <v>151</v>
      </c>
      <c r="C30" s="20">
        <v>6</v>
      </c>
      <c r="D30" s="20" t="s">
        <v>55</v>
      </c>
      <c r="E30" s="20" t="s">
        <v>152</v>
      </c>
      <c r="F30" s="20" t="s">
        <v>48</v>
      </c>
      <c r="G30" s="19">
        <v>0</v>
      </c>
      <c r="H30" s="19">
        <v>1242576</v>
      </c>
      <c r="I30" s="19">
        <f>SUM(Table46[[#This Row],[Fiscal Year
2018–19
(7/1/18 to 6/30/19)]:[Fiscal Year   2018-19 Amend 6]])</f>
        <v>1242576</v>
      </c>
      <c r="J30" s="19">
        <v>0</v>
      </c>
      <c r="K30" s="19">
        <v>172480</v>
      </c>
      <c r="L30" s="19">
        <f>SUM(Table46[[#This Row],[Fiscal Year
2019–20
(7/1/19 to 12/31/19)]:[Fiscal Year   2019-20 Amend 6]])</f>
        <v>172480</v>
      </c>
      <c r="M30" s="19">
        <f t="shared" si="0"/>
        <v>1415056</v>
      </c>
      <c r="N30" s="19"/>
      <c r="O30" s="19"/>
      <c r="P30" s="19"/>
    </row>
    <row r="31" spans="1:16" ht="22.9" customHeight="1" x14ac:dyDescent="0.2">
      <c r="A31" s="13" t="s">
        <v>53</v>
      </c>
      <c r="B31" s="13" t="s">
        <v>153</v>
      </c>
      <c r="C31" s="20"/>
      <c r="D31" s="20"/>
      <c r="E31" s="20"/>
      <c r="F31" s="20"/>
      <c r="G31" s="19"/>
      <c r="H31" s="19">
        <v>1252340</v>
      </c>
      <c r="I31" s="19">
        <f>SUM(Table46[[#This Row],[Fiscal Year
2018–19
(7/1/18 to 6/30/19)]:[Fiscal Year   2018-19 Amend 6]])</f>
        <v>1252340</v>
      </c>
      <c r="J31" s="19"/>
      <c r="K31" s="19">
        <v>746425</v>
      </c>
      <c r="L31" s="19">
        <f>SUM(Table46[[#This Row],[Fiscal Year
2019–20
(7/1/19 to 12/31/19)]:[Fiscal Year   2019-20 Amend 6]])</f>
        <v>746425</v>
      </c>
      <c r="M31" s="19">
        <f>SUM(L31,I31)</f>
        <v>1998765</v>
      </c>
      <c r="N31" s="19"/>
      <c r="O31" s="19"/>
      <c r="P31" s="19"/>
    </row>
    <row r="32" spans="1:16" ht="22.9" customHeight="1" x14ac:dyDescent="0.2">
      <c r="A32" s="13" t="s">
        <v>53</v>
      </c>
      <c r="B32" s="13" t="s">
        <v>154</v>
      </c>
      <c r="C32" s="20">
        <v>6</v>
      </c>
      <c r="D32" s="20" t="s">
        <v>55</v>
      </c>
      <c r="E32" s="20" t="s">
        <v>152</v>
      </c>
      <c r="F32" s="20" t="s">
        <v>48</v>
      </c>
      <c r="G32" s="19">
        <v>0</v>
      </c>
      <c r="H32" s="19">
        <v>224196</v>
      </c>
      <c r="I32" s="19">
        <f>SUM(Table46[[#This Row],[Fiscal Year
2018–19
(7/1/18 to 6/30/19)]:[Fiscal Year   2018-19 Amend 6]])</f>
        <v>224196</v>
      </c>
      <c r="J32" s="19">
        <v>0</v>
      </c>
      <c r="K32" s="19">
        <v>249037</v>
      </c>
      <c r="L32" s="19">
        <f>SUM(Table46[[#This Row],[Fiscal Year
2019–20
(7/1/19 to 12/31/19)]:[Fiscal Year   2019-20 Amend 6]])</f>
        <v>249037</v>
      </c>
      <c r="M32" s="19">
        <f t="shared" si="0"/>
        <v>473233</v>
      </c>
      <c r="N32" s="19"/>
      <c r="O32" s="19"/>
      <c r="P32" s="19"/>
    </row>
    <row r="33" spans="1:16" ht="30" x14ac:dyDescent="0.2">
      <c r="A33" s="13" t="s">
        <v>63</v>
      </c>
      <c r="B33" s="13" t="s">
        <v>155</v>
      </c>
      <c r="C33" s="20" t="s">
        <v>65</v>
      </c>
      <c r="D33" s="20" t="s">
        <v>71</v>
      </c>
      <c r="E33" s="20" t="s">
        <v>152</v>
      </c>
      <c r="F33" s="49">
        <v>1552000</v>
      </c>
      <c r="G33" s="19">
        <v>0</v>
      </c>
      <c r="H33" s="19">
        <v>16671681</v>
      </c>
      <c r="I33" s="19">
        <f>SUM(Table46[[#This Row],[Fiscal Year
2018–19
(7/1/18 to 6/30/19)]:[Fiscal Year   2018-19 Amend 6]])</f>
        <v>16671681</v>
      </c>
      <c r="J33" s="19">
        <v>0</v>
      </c>
      <c r="K33" s="19">
        <v>493121</v>
      </c>
      <c r="L33" s="19">
        <f>SUM(Table46[[#This Row],[Fiscal Year
2019–20
(7/1/19 to 12/31/19)]:[Fiscal Year   2019-20 Amend 6]])</f>
        <v>493121</v>
      </c>
      <c r="M33" s="19">
        <f t="shared" si="0"/>
        <v>17164802</v>
      </c>
      <c r="N33" s="19"/>
      <c r="O33" s="19"/>
      <c r="P33" s="19"/>
    </row>
    <row r="34" spans="1:16" ht="30" x14ac:dyDescent="0.2">
      <c r="A34" s="13" t="s">
        <v>63</v>
      </c>
      <c r="B34" s="13" t="s">
        <v>153</v>
      </c>
      <c r="C34" s="20" t="s">
        <v>65</v>
      </c>
      <c r="D34" s="20" t="s">
        <v>55</v>
      </c>
      <c r="E34" s="20" t="s">
        <v>152</v>
      </c>
      <c r="F34" s="49">
        <v>26000</v>
      </c>
      <c r="G34" s="19">
        <v>0</v>
      </c>
      <c r="H34" s="19">
        <v>2981786</v>
      </c>
      <c r="I34" s="19">
        <f>SUM(Table46[[#This Row],[Fiscal Year
2018–19
(7/1/18 to 6/30/19)]:[Fiscal Year   2018-19 Amend 6]])</f>
        <v>2981786</v>
      </c>
      <c r="J34" s="19">
        <v>0</v>
      </c>
      <c r="K34" s="19">
        <v>430275</v>
      </c>
      <c r="L34" s="19">
        <f>SUM(Table46[[#This Row],[Fiscal Year
2019–20
(7/1/19 to 12/31/19)]:[Fiscal Year   2019-20 Amend 6]])</f>
        <v>430275</v>
      </c>
      <c r="M34" s="19">
        <f t="shared" ref="M34" si="2">SUM(L34,I34)</f>
        <v>3412061</v>
      </c>
      <c r="N34" s="19"/>
      <c r="O34" s="19"/>
      <c r="P34" s="19"/>
    </row>
    <row r="35" spans="1:16" ht="21.6" customHeight="1" x14ac:dyDescent="0.25">
      <c r="A35" s="18" t="s">
        <v>34</v>
      </c>
      <c r="B35" s="38" t="s">
        <v>155</v>
      </c>
      <c r="C35" s="39" t="s">
        <v>48</v>
      </c>
      <c r="D35" s="39" t="s">
        <v>48</v>
      </c>
      <c r="E35" s="39" t="s">
        <v>48</v>
      </c>
      <c r="F35" s="50">
        <f>F33+F34</f>
        <v>1578000</v>
      </c>
      <c r="G35" s="37">
        <f t="shared" ref="G35:M35" si="3">SUBTOTAL(109,G25:G34)</f>
        <v>0</v>
      </c>
      <c r="H35" s="37">
        <f t="shared" si="3"/>
        <v>32596387</v>
      </c>
      <c r="I35" s="37">
        <f t="shared" si="3"/>
        <v>32596387</v>
      </c>
      <c r="J35" s="37">
        <f t="shared" si="3"/>
        <v>0</v>
      </c>
      <c r="K35" s="37">
        <f t="shared" si="3"/>
        <v>3476801</v>
      </c>
      <c r="L35" s="37">
        <f t="shared" si="3"/>
        <v>3476801</v>
      </c>
      <c r="M35" s="37">
        <f t="shared" si="3"/>
        <v>36073188</v>
      </c>
      <c r="N35" s="37" t="e">
        <f>N25+N26+N27+N28+N29+N30+N32+N33+#REF!</f>
        <v>#REF!</v>
      </c>
      <c r="O35" s="37" t="e">
        <f>O25+O26+O27+O28+O29+O30+O32+O33+#REF!</f>
        <v>#REF!</v>
      </c>
      <c r="P35" s="37" t="e">
        <f>P25+P26+P27+P28+P29+P30+P32+P33+#REF!</f>
        <v>#REF!</v>
      </c>
    </row>
    <row r="36" spans="1:16" ht="29.45" customHeight="1" x14ac:dyDescent="0.2">
      <c r="A36" s="13" t="s">
        <v>156</v>
      </c>
      <c r="B36" s="36" t="s">
        <v>48</v>
      </c>
      <c r="C36" s="54" t="s">
        <v>48</v>
      </c>
      <c r="D36" s="54" t="s">
        <v>48</v>
      </c>
      <c r="E36" s="54" t="s">
        <v>48</v>
      </c>
      <c r="F36" s="49">
        <f t="shared" ref="F36:M36" si="4">+F35+F24</f>
        <v>6428000</v>
      </c>
      <c r="G36" s="74">
        <f t="shared" si="4"/>
        <v>77373822</v>
      </c>
      <c r="H36" s="19">
        <f t="shared" si="4"/>
        <v>32596387</v>
      </c>
      <c r="I36" s="19">
        <f t="shared" si="4"/>
        <v>109970209</v>
      </c>
      <c r="J36" s="19">
        <f t="shared" si="4"/>
        <v>1578399</v>
      </c>
      <c r="K36" s="19">
        <f t="shared" si="4"/>
        <v>3476801</v>
      </c>
      <c r="L36" s="19">
        <f t="shared" si="4"/>
        <v>5055200</v>
      </c>
      <c r="M36" s="19">
        <f t="shared" si="4"/>
        <v>115025409</v>
      </c>
      <c r="N36" s="8"/>
      <c r="O36" s="8"/>
      <c r="P36" s="8"/>
    </row>
    <row r="37" spans="1:16" ht="33" hidden="1" customHeight="1" x14ac:dyDescent="0.2"/>
    <row r="38" spans="1:16" ht="33" hidden="1" customHeight="1" x14ac:dyDescent="0.2"/>
    <row r="39" spans="1:16" ht="33" hidden="1" customHeight="1" x14ac:dyDescent="0.2"/>
    <row r="40" spans="1:16" ht="33" hidden="1" customHeight="1" x14ac:dyDescent="0.2"/>
    <row r="41" spans="1:16" ht="33" hidden="1" customHeight="1" x14ac:dyDescent="0.2"/>
    <row r="42" spans="1:16" ht="33" hidden="1" customHeight="1" x14ac:dyDescent="0.2"/>
    <row r="43" spans="1:16" ht="33" hidden="1" customHeight="1" x14ac:dyDescent="0.2"/>
    <row r="44" spans="1:16" ht="33" hidden="1" customHeight="1" x14ac:dyDescent="0.2"/>
    <row r="45" spans="1:16" ht="33" hidden="1" customHeight="1" x14ac:dyDescent="0.2"/>
    <row r="46" spans="1:16" ht="33" hidden="1" customHeight="1" x14ac:dyDescent="0.2"/>
    <row r="47" spans="1:16" ht="33" hidden="1" customHeight="1" x14ac:dyDescent="0.2"/>
    <row r="48" spans="1:16" ht="33" hidden="1" customHeight="1" x14ac:dyDescent="0.2"/>
    <row r="49" ht="33" hidden="1" customHeight="1" x14ac:dyDescent="0.2"/>
    <row r="50" ht="33" hidden="1" customHeight="1" x14ac:dyDescent="0.2"/>
    <row r="51" ht="13.9" hidden="1" customHeight="1" x14ac:dyDescent="0.2"/>
    <row r="52" ht="13.9" hidden="1" customHeight="1" x14ac:dyDescent="0.2"/>
  </sheetData>
  <pageMargins left="0.5" right="0.25" top="1" bottom="0.75" header="0.3" footer="0.3"/>
  <pageSetup scale="58"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C34 C18:C30 C32:C33" twoDigitTextYear="1"/>
    <ignoredError sqref="I35 L24:M34 L35:M35" calculatedColumn="1"/>
  </ignoredErrors>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64"/>
  <sheetViews>
    <sheetView showGridLines="0" zoomScaleNormal="100" workbookViewId="0"/>
  </sheetViews>
  <sheetFormatPr defaultColWidth="0" defaultRowHeight="0" customHeight="1" zeroHeight="1" x14ac:dyDescent="0.2"/>
  <cols>
    <col min="1" max="1" width="51.140625" style="5" customWidth="1"/>
    <col min="2" max="2" width="11.85546875" style="5" bestFit="1" customWidth="1"/>
    <col min="3" max="5" width="12" style="1" bestFit="1" customWidth="1"/>
    <col min="6" max="6" width="13.7109375" style="1" bestFit="1" customWidth="1"/>
    <col min="7" max="7" width="15.140625" style="1" customWidth="1"/>
    <col min="8" max="8" width="12.7109375" style="2" customWidth="1"/>
    <col min="9" max="9" width="16" style="3" bestFit="1" customWidth="1"/>
    <col min="10" max="10" width="17" style="3" bestFit="1" customWidth="1"/>
    <col min="11" max="11" width="19.42578125" style="4" bestFit="1" customWidth="1"/>
    <col min="12" max="12" width="12.7109375" style="3" hidden="1" customWidth="1"/>
    <col min="13" max="13" width="0" style="5" hidden="1" customWidth="1"/>
    <col min="14" max="14" width="12.7109375" style="5" hidden="1" customWidth="1"/>
    <col min="15" max="16384" width="8.85546875" style="5" hidden="1"/>
  </cols>
  <sheetData>
    <row r="1" spans="1:15" ht="23.25" x14ac:dyDescent="0.35">
      <c r="A1" s="91" t="s">
        <v>157</v>
      </c>
      <c r="B1" s="1"/>
      <c r="O1" s="85"/>
    </row>
    <row r="2" spans="1:15" s="99" customFormat="1" ht="15.75" x14ac:dyDescent="0.25">
      <c r="A2" s="92" t="s">
        <v>213</v>
      </c>
      <c r="B2" s="95"/>
      <c r="C2" s="95"/>
      <c r="D2" s="95"/>
      <c r="E2" s="95"/>
      <c r="F2" s="95"/>
      <c r="G2" s="95"/>
      <c r="H2" s="96"/>
      <c r="I2" s="97"/>
      <c r="J2" s="97"/>
      <c r="K2" s="98"/>
      <c r="L2" s="97"/>
      <c r="O2" s="94"/>
    </row>
    <row r="3" spans="1:15" ht="15" x14ac:dyDescent="0.2">
      <c r="A3" s="8" t="s">
        <v>1</v>
      </c>
      <c r="B3" s="1"/>
    </row>
    <row r="4" spans="1:15" ht="14.45" customHeight="1" x14ac:dyDescent="0.2">
      <c r="A4" s="59" t="s">
        <v>2</v>
      </c>
      <c r="B4" s="1"/>
    </row>
    <row r="5" spans="1:15" ht="15" x14ac:dyDescent="0.2">
      <c r="A5" s="8" t="s">
        <v>3</v>
      </c>
      <c r="B5" s="1"/>
    </row>
    <row r="6" spans="1:15" ht="15" x14ac:dyDescent="0.2">
      <c r="A6" s="12" t="s">
        <v>4</v>
      </c>
      <c r="B6" s="1"/>
    </row>
    <row r="7" spans="1:15" ht="20.45" customHeight="1" x14ac:dyDescent="0.2">
      <c r="A7" s="21" t="s">
        <v>37</v>
      </c>
    </row>
    <row r="8" spans="1:15" ht="78.75" x14ac:dyDescent="0.25">
      <c r="A8" s="8" t="s">
        <v>39</v>
      </c>
      <c r="B8" s="14" t="s">
        <v>80</v>
      </c>
      <c r="C8" s="14" t="s">
        <v>81</v>
      </c>
      <c r="D8" s="14" t="s">
        <v>82</v>
      </c>
      <c r="E8" s="14" t="s">
        <v>83</v>
      </c>
      <c r="F8" s="14" t="s">
        <v>205</v>
      </c>
      <c r="G8" s="64" t="s">
        <v>84</v>
      </c>
      <c r="H8" s="14" t="s">
        <v>85</v>
      </c>
      <c r="I8" s="14" t="s">
        <v>86</v>
      </c>
      <c r="J8" s="65" t="s">
        <v>87</v>
      </c>
      <c r="K8" s="14" t="s">
        <v>88</v>
      </c>
      <c r="L8" s="5"/>
    </row>
    <row r="9" spans="1:15" s="29" customFormat="1" ht="30" x14ac:dyDescent="0.25">
      <c r="A9" s="63" t="s">
        <v>89</v>
      </c>
      <c r="B9" s="22">
        <v>1</v>
      </c>
      <c r="C9" s="24" t="s">
        <v>48</v>
      </c>
      <c r="D9" s="24" t="s">
        <v>48</v>
      </c>
      <c r="E9" s="24" t="s">
        <v>48</v>
      </c>
      <c r="F9" s="24" t="s">
        <v>48</v>
      </c>
      <c r="G9" s="25">
        <v>4102676</v>
      </c>
      <c r="H9" s="26">
        <v>0</v>
      </c>
      <c r="I9" s="28">
        <f>ROUND(+H9/$F$37,2)</f>
        <v>0</v>
      </c>
      <c r="J9" s="27">
        <f>+Table131012[[#This Row],[Column F: 
Fixed Costs]]+Table131012[[#This Row],[Column G: 
Per Pupil Costs]]</f>
        <v>4102676</v>
      </c>
      <c r="K9" s="28">
        <f>ROUND(+J9/$F$37,2)</f>
        <v>0.85</v>
      </c>
    </row>
    <row r="10" spans="1:15" s="29" customFormat="1" ht="45" x14ac:dyDescent="0.25">
      <c r="A10" s="63" t="s">
        <v>90</v>
      </c>
      <c r="B10" s="22">
        <v>2</v>
      </c>
      <c r="C10" s="24" t="s">
        <v>48</v>
      </c>
      <c r="D10" s="24" t="s">
        <v>48</v>
      </c>
      <c r="E10" s="24" t="s">
        <v>48</v>
      </c>
      <c r="F10" s="24" t="s">
        <v>48</v>
      </c>
      <c r="G10" s="25">
        <v>4145747</v>
      </c>
      <c r="H10" s="26">
        <v>0</v>
      </c>
      <c r="I10" s="28">
        <f t="shared" ref="I10:K13" si="0">ROUND(+H10/$F$37,2)</f>
        <v>0</v>
      </c>
      <c r="J10" s="27">
        <f>+Table131012[[#This Row],[Column F: 
Fixed Costs]]+Table131012[[#This Row],[Column G: 
Per Pupil Costs]]</f>
        <v>4145747</v>
      </c>
      <c r="K10" s="28">
        <f t="shared" si="0"/>
        <v>0.85</v>
      </c>
    </row>
    <row r="11" spans="1:15" s="29" customFormat="1" ht="30" x14ac:dyDescent="0.25">
      <c r="A11" s="63" t="s">
        <v>91</v>
      </c>
      <c r="B11" s="22">
        <v>3</v>
      </c>
      <c r="C11" s="24" t="s">
        <v>48</v>
      </c>
      <c r="D11" s="24" t="s">
        <v>48</v>
      </c>
      <c r="E11" s="24" t="s">
        <v>48</v>
      </c>
      <c r="F11" s="24" t="s">
        <v>48</v>
      </c>
      <c r="G11" s="25">
        <v>3120681</v>
      </c>
      <c r="H11" s="26">
        <v>0</v>
      </c>
      <c r="I11" s="28">
        <f t="shared" si="0"/>
        <v>0</v>
      </c>
      <c r="J11" s="27">
        <f>+Table131012[[#This Row],[Column F: 
Fixed Costs]]+Table131012[[#This Row],[Column G: 
Per Pupil Costs]]</f>
        <v>3120681</v>
      </c>
      <c r="K11" s="28">
        <f t="shared" si="0"/>
        <v>0.64</v>
      </c>
    </row>
    <row r="12" spans="1:15" s="29" customFormat="1" ht="30" x14ac:dyDescent="0.25">
      <c r="A12" s="63" t="s">
        <v>92</v>
      </c>
      <c r="B12" s="22">
        <v>4</v>
      </c>
      <c r="C12" s="24" t="s">
        <v>48</v>
      </c>
      <c r="D12" s="24" t="s">
        <v>48</v>
      </c>
      <c r="E12" s="24" t="s">
        <v>48</v>
      </c>
      <c r="F12" s="24" t="s">
        <v>48</v>
      </c>
      <c r="G12" s="25">
        <v>132177</v>
      </c>
      <c r="H12" s="26">
        <v>0</v>
      </c>
      <c r="I12" s="28">
        <f t="shared" si="0"/>
        <v>0</v>
      </c>
      <c r="J12" s="27">
        <f>+Table131012[[#This Row],[Column F: 
Fixed Costs]]+Table131012[[#This Row],[Column G: 
Per Pupil Costs]]</f>
        <v>132177</v>
      </c>
      <c r="K12" s="28">
        <f t="shared" si="0"/>
        <v>0.03</v>
      </c>
    </row>
    <row r="13" spans="1:15" s="29" customFormat="1" ht="30" x14ac:dyDescent="0.25">
      <c r="A13" s="63" t="s">
        <v>93</v>
      </c>
      <c r="B13" s="22">
        <v>5</v>
      </c>
      <c r="C13" s="24" t="s">
        <v>48</v>
      </c>
      <c r="D13" s="24" t="s">
        <v>48</v>
      </c>
      <c r="E13" s="24" t="s">
        <v>48</v>
      </c>
      <c r="F13" s="24" t="s">
        <v>48</v>
      </c>
      <c r="G13" s="25">
        <v>783389</v>
      </c>
      <c r="H13" s="26">
        <v>0</v>
      </c>
      <c r="I13" s="28">
        <f t="shared" si="0"/>
        <v>0</v>
      </c>
      <c r="J13" s="27">
        <f>+Table131012[[#This Row],[Column F: 
Fixed Costs]]+Table131012[[#This Row],[Column G: 
Per Pupil Costs]]</f>
        <v>783389</v>
      </c>
      <c r="K13" s="28">
        <f t="shared" si="0"/>
        <v>0.16</v>
      </c>
    </row>
    <row r="14" spans="1:15" s="29" customFormat="1" ht="30" x14ac:dyDescent="0.25">
      <c r="A14" s="63" t="s">
        <v>94</v>
      </c>
      <c r="B14" s="22">
        <v>6</v>
      </c>
      <c r="C14" s="24" t="s">
        <v>48</v>
      </c>
      <c r="D14" s="24" t="s">
        <v>95</v>
      </c>
      <c r="E14" s="24" t="s">
        <v>56</v>
      </c>
      <c r="F14" s="24" t="s">
        <v>48</v>
      </c>
      <c r="G14" s="25">
        <v>1602524</v>
      </c>
      <c r="H14" s="26">
        <v>0</v>
      </c>
      <c r="I14" s="32">
        <f>IFERROR(+Table131012[[#This Row],[Column G: 
Per Pupil Costs]]/Table131012[[#This Row],[Column E: 
Estimated Number of Test Takers*]],0)</f>
        <v>0</v>
      </c>
      <c r="J14" s="27">
        <f>+Table131012[[#This Row],[Column F: 
Fixed Costs]]+Table131012[[#This Row],[Column G: 
Per Pupil Costs]]</f>
        <v>1602524</v>
      </c>
      <c r="K14" s="30" t="s">
        <v>48</v>
      </c>
    </row>
    <row r="15" spans="1:15" s="29" customFormat="1" ht="15.75" x14ac:dyDescent="0.25">
      <c r="A15" s="66" t="s">
        <v>97</v>
      </c>
      <c r="B15" s="22">
        <v>6</v>
      </c>
      <c r="C15" s="24" t="s">
        <v>48</v>
      </c>
      <c r="D15" s="24" t="s">
        <v>98</v>
      </c>
      <c r="E15" s="24" t="s">
        <v>99</v>
      </c>
      <c r="F15" s="24" t="s">
        <v>48</v>
      </c>
      <c r="G15" s="25">
        <v>2030558</v>
      </c>
      <c r="H15" s="26">
        <v>0</v>
      </c>
      <c r="I15" s="32">
        <f>IFERROR(+Table131012[[#This Row],[Column G: 
Per Pupil Costs]]/Table131012[[#This Row],[Column E: 
Estimated Number of Test Takers*]],0)</f>
        <v>0</v>
      </c>
      <c r="J15" s="27">
        <f>+Table131012[[#This Row],[Column F: 
Fixed Costs]]+Table131012[[#This Row],[Column G: 
Per Pupil Costs]]</f>
        <v>2030558</v>
      </c>
      <c r="K15" s="30" t="s">
        <v>48</v>
      </c>
    </row>
    <row r="16" spans="1:15" s="29" customFormat="1" ht="15.75" x14ac:dyDescent="0.25">
      <c r="A16" s="63" t="s">
        <v>100</v>
      </c>
      <c r="B16" s="22">
        <v>6</v>
      </c>
      <c r="C16" s="24" t="s">
        <v>48</v>
      </c>
      <c r="D16" s="24" t="s">
        <v>98</v>
      </c>
      <c r="E16" s="24" t="s">
        <v>99</v>
      </c>
      <c r="F16" s="24" t="s">
        <v>48</v>
      </c>
      <c r="G16" s="25">
        <v>707300</v>
      </c>
      <c r="H16" s="26">
        <v>0</v>
      </c>
      <c r="I16" s="32">
        <f>IFERROR(+Table131012[[#This Row],[Column G: 
Per Pupil Costs]]/Table131012[[#This Row],[Column E: 
Estimated Number of Test Takers*]],0)</f>
        <v>0</v>
      </c>
      <c r="J16" s="27">
        <f>+Table131012[[#This Row],[Column F: 
Fixed Costs]]+Table131012[[#This Row],[Column G: 
Per Pupil Costs]]</f>
        <v>707300</v>
      </c>
      <c r="K16" s="30" t="s">
        <v>48</v>
      </c>
    </row>
    <row r="17" spans="1:11" s="29" customFormat="1" ht="15.75" x14ac:dyDescent="0.25">
      <c r="A17" s="63" t="s">
        <v>101</v>
      </c>
      <c r="B17" s="22">
        <v>6</v>
      </c>
      <c r="C17" s="24" t="s">
        <v>48</v>
      </c>
      <c r="D17" s="24" t="s">
        <v>102</v>
      </c>
      <c r="E17" s="24" t="s">
        <v>62</v>
      </c>
      <c r="F17" s="24" t="s">
        <v>48</v>
      </c>
      <c r="G17" s="25">
        <v>1337790</v>
      </c>
      <c r="H17" s="26">
        <v>0</v>
      </c>
      <c r="I17" s="32">
        <f>IFERROR(+Table131012[[#This Row],[Column G: 
Per Pupil Costs]]/Table131012[[#This Row],[Column E: 
Estimated Number of Test Takers*]],0)</f>
        <v>0</v>
      </c>
      <c r="J17" s="27">
        <f>+Table131012[[#This Row],[Column F: 
Fixed Costs]]+Table131012[[#This Row],[Column G: 
Per Pupil Costs]]</f>
        <v>1337790</v>
      </c>
      <c r="K17" s="30" t="s">
        <v>48</v>
      </c>
    </row>
    <row r="18" spans="1:11" s="29" customFormat="1" ht="30" x14ac:dyDescent="0.25">
      <c r="A18" s="63" t="s">
        <v>103</v>
      </c>
      <c r="B18" s="22">
        <v>7</v>
      </c>
      <c r="C18" s="22" t="s">
        <v>55</v>
      </c>
      <c r="D18" s="24" t="s">
        <v>95</v>
      </c>
      <c r="E18" s="24" t="s">
        <v>104</v>
      </c>
      <c r="F18" s="31">
        <v>3300000</v>
      </c>
      <c r="G18" s="25">
        <v>25874426</v>
      </c>
      <c r="H18" s="26">
        <v>0</v>
      </c>
      <c r="I18" s="32">
        <f>IFERROR(+Table131012[[#This Row],[Column G: 
Per Pupil Costs]]/Table131012[[#This Row],[Column E: 
Estimated Number of Test Takers*]],0)</f>
        <v>0</v>
      </c>
      <c r="J18" s="27">
        <f>+Table131012[[#This Row],[Column F: 
Fixed Costs]]+Table131012[[#This Row],[Column G: 
Per Pupil Costs]]</f>
        <v>25874426</v>
      </c>
      <c r="K18" s="32">
        <f>ROUND(+J18/F18,2)</f>
        <v>7.84</v>
      </c>
    </row>
    <row r="19" spans="1:11" s="29" customFormat="1" ht="30" x14ac:dyDescent="0.25">
      <c r="A19" s="63" t="s">
        <v>105</v>
      </c>
      <c r="B19" s="22">
        <v>8</v>
      </c>
      <c r="C19" s="22" t="s">
        <v>55</v>
      </c>
      <c r="D19" s="24" t="s">
        <v>95</v>
      </c>
      <c r="E19" s="24" t="s">
        <v>104</v>
      </c>
      <c r="F19" s="31">
        <v>3300000</v>
      </c>
      <c r="G19" s="25">
        <v>17871298</v>
      </c>
      <c r="H19" s="26">
        <v>858023</v>
      </c>
      <c r="I19" s="32">
        <f>Table131012[[#This Row],[Column G: 
Per Pupil Costs]]/Table131012[[#This Row],[Column E: 
Estimated Number of Test Takers*]]</f>
        <v>0.26000696969696968</v>
      </c>
      <c r="J19" s="27">
        <f>+Table131012[[#This Row],[Column F: 
Fixed Costs]]+Table131012[[#This Row],[Column G: 
Per Pupil Costs]]</f>
        <v>18729321</v>
      </c>
      <c r="K19" s="32">
        <f t="shared" ref="K19:K20" si="1">ROUND(+J19/F19,2)</f>
        <v>5.68</v>
      </c>
    </row>
    <row r="20" spans="1:11" s="29" customFormat="1" ht="30" x14ac:dyDescent="0.25">
      <c r="A20" s="63" t="s">
        <v>106</v>
      </c>
      <c r="B20" s="22">
        <v>9</v>
      </c>
      <c r="C20" s="22" t="s">
        <v>55</v>
      </c>
      <c r="D20" s="24" t="s">
        <v>95</v>
      </c>
      <c r="E20" s="24" t="s">
        <v>104</v>
      </c>
      <c r="F20" s="31">
        <v>3300000</v>
      </c>
      <c r="G20" s="25">
        <v>3605760</v>
      </c>
      <c r="H20" s="26">
        <v>0</v>
      </c>
      <c r="I20" s="32">
        <f>IFERROR(+Table131012[[#This Row],[Column G: 
Per Pupil Costs]]/Table131012[[#This Row],[Column E: 
Estimated Number of Test Takers*]],0)</f>
        <v>0</v>
      </c>
      <c r="J20" s="27">
        <f>+Table131012[[#This Row],[Column F: 
Fixed Costs]]+Table131012[[#This Row],[Column G: 
Per Pupil Costs]]</f>
        <v>3605760</v>
      </c>
      <c r="K20" s="32">
        <f t="shared" si="1"/>
        <v>1.0900000000000001</v>
      </c>
    </row>
    <row r="21" spans="1:11" s="29" customFormat="1" ht="15.75" x14ac:dyDescent="0.25">
      <c r="A21" s="63" t="s">
        <v>107</v>
      </c>
      <c r="B21" s="22">
        <v>2</v>
      </c>
      <c r="C21" s="22" t="s">
        <v>55</v>
      </c>
      <c r="D21" s="24" t="s">
        <v>95</v>
      </c>
      <c r="E21" s="24" t="s">
        <v>69</v>
      </c>
      <c r="F21" s="24" t="s">
        <v>48</v>
      </c>
      <c r="G21" s="25">
        <v>1494482</v>
      </c>
      <c r="H21" s="26">
        <v>0</v>
      </c>
      <c r="I21" s="32">
        <f>IFERROR(+Table131012[[#This Row],[Column G: 
Per Pupil Costs]]/Table131012[[#This Row],[Column E: 
Estimated Number of Test Takers*]],0)</f>
        <v>0</v>
      </c>
      <c r="J21" s="27">
        <f>+Table131012[[#This Row],[Column F: 
Fixed Costs]]+Table131012[[#This Row],[Column G: 
Per Pupil Costs]]</f>
        <v>1494482</v>
      </c>
      <c r="K21" s="26" t="s">
        <v>48</v>
      </c>
    </row>
    <row r="22" spans="1:11" s="29" customFormat="1" ht="30" x14ac:dyDescent="0.25">
      <c r="A22" s="63" t="s">
        <v>108</v>
      </c>
      <c r="B22" s="22">
        <v>7</v>
      </c>
      <c r="C22" s="22" t="s">
        <v>55</v>
      </c>
      <c r="D22" s="24" t="s">
        <v>95</v>
      </c>
      <c r="E22" s="24" t="s">
        <v>69</v>
      </c>
      <c r="F22" s="24" t="s">
        <v>48</v>
      </c>
      <c r="G22" s="25">
        <v>0</v>
      </c>
      <c r="H22" s="26">
        <v>0</v>
      </c>
      <c r="I22" s="32">
        <f>IFERROR(+Table131012[[#This Row],[Column G: 
Per Pupil Costs]]/Table131012[[#This Row],[Column E: 
Estimated Number of Test Takers*]],0)</f>
        <v>0</v>
      </c>
      <c r="J22" s="27">
        <f>+Table131012[[#This Row],[Column F: 
Fixed Costs]]+Table131012[[#This Row],[Column G: 
Per Pupil Costs]]</f>
        <v>0</v>
      </c>
      <c r="K22" s="26" t="s">
        <v>48</v>
      </c>
    </row>
    <row r="23" spans="1:11" s="29" customFormat="1" ht="15.75" x14ac:dyDescent="0.25">
      <c r="A23" s="63" t="s">
        <v>109</v>
      </c>
      <c r="B23" s="22">
        <v>8</v>
      </c>
      <c r="C23" s="22" t="s">
        <v>55</v>
      </c>
      <c r="D23" s="24" t="s">
        <v>95</v>
      </c>
      <c r="E23" s="24" t="s">
        <v>69</v>
      </c>
      <c r="F23" s="24" t="s">
        <v>48</v>
      </c>
      <c r="G23" s="25">
        <v>0</v>
      </c>
      <c r="H23" s="26">
        <v>0</v>
      </c>
      <c r="I23" s="32">
        <f>IFERROR(+Table131012[[#This Row],[Column G: 
Per Pupil Costs]]/Table131012[[#This Row],[Column E: 
Estimated Number of Test Takers*]],0)</f>
        <v>0</v>
      </c>
      <c r="J23" s="27">
        <f>+Table131012[[#This Row],[Column F: 
Fixed Costs]]+Table131012[[#This Row],[Column G: 
Per Pupil Costs]]</f>
        <v>0</v>
      </c>
      <c r="K23" s="26" t="s">
        <v>48</v>
      </c>
    </row>
    <row r="24" spans="1:11" s="29" customFormat="1" ht="30" x14ac:dyDescent="0.25">
      <c r="A24" s="63" t="s">
        <v>110</v>
      </c>
      <c r="B24" s="22">
        <v>9</v>
      </c>
      <c r="C24" s="22" t="s">
        <v>55</v>
      </c>
      <c r="D24" s="24" t="s">
        <v>95</v>
      </c>
      <c r="E24" s="24" t="s">
        <v>69</v>
      </c>
      <c r="F24" s="24" t="s">
        <v>48</v>
      </c>
      <c r="G24" s="25">
        <v>0</v>
      </c>
      <c r="H24" s="26">
        <v>0</v>
      </c>
      <c r="I24" s="32">
        <f>IFERROR(+Table131012[[#This Row],[Column G: 
Per Pupil Costs]]/Table131012[[#This Row],[Column E: 
Estimated Number of Test Takers*]],0)</f>
        <v>0</v>
      </c>
      <c r="J24" s="27">
        <f>+Table131012[[#This Row],[Column F: 
Fixed Costs]]+Table131012[[#This Row],[Column G: 
Per Pupil Costs]]</f>
        <v>0</v>
      </c>
      <c r="K24" s="26" t="s">
        <v>48</v>
      </c>
    </row>
    <row r="25" spans="1:11" s="29" customFormat="1" ht="30" x14ac:dyDescent="0.25">
      <c r="A25" s="63" t="s">
        <v>111</v>
      </c>
      <c r="B25" s="22">
        <v>7</v>
      </c>
      <c r="C25" s="22" t="s">
        <v>55</v>
      </c>
      <c r="D25" s="24" t="s">
        <v>95</v>
      </c>
      <c r="E25" s="24" t="s">
        <v>104</v>
      </c>
      <c r="F25" s="31">
        <v>39000</v>
      </c>
      <c r="G25" s="25">
        <v>699894</v>
      </c>
      <c r="H25" s="26">
        <v>0</v>
      </c>
      <c r="I25" s="32">
        <f>IFERROR(+Table131012[[#This Row],[Column G: 
Per Pupil Costs]]/Table131012[[#This Row],[Column E: 
Estimated Number of Test Takers*]],0)</f>
        <v>0</v>
      </c>
      <c r="J25" s="27">
        <f>+Table131012[[#This Row],[Column F: 
Fixed Costs]]+Table131012[[#This Row],[Column G: 
Per Pupil Costs]]</f>
        <v>699894</v>
      </c>
      <c r="K25" s="32">
        <f>ROUND(+J25/F25,2)</f>
        <v>17.95</v>
      </c>
    </row>
    <row r="26" spans="1:11" s="29" customFormat="1" ht="15.75" x14ac:dyDescent="0.25">
      <c r="A26" s="63" t="s">
        <v>112</v>
      </c>
      <c r="B26" s="22">
        <v>8</v>
      </c>
      <c r="C26" s="22" t="s">
        <v>55</v>
      </c>
      <c r="D26" s="24" t="s">
        <v>95</v>
      </c>
      <c r="E26" s="24" t="s">
        <v>104</v>
      </c>
      <c r="F26" s="31">
        <v>39000</v>
      </c>
      <c r="G26" s="25">
        <v>76999</v>
      </c>
      <c r="H26" s="26">
        <v>0</v>
      </c>
      <c r="I26" s="32">
        <f>IFERROR(+Table131012[[#This Row],[Column G: 
Per Pupil Costs]]/Table131012[[#This Row],[Column E: 
Estimated Number of Test Takers*]],0)</f>
        <v>0</v>
      </c>
      <c r="J26" s="27">
        <f>+Table131012[[#This Row],[Column F: 
Fixed Costs]]+Table131012[[#This Row],[Column G: 
Per Pupil Costs]]</f>
        <v>76999</v>
      </c>
      <c r="K26" s="32">
        <f t="shared" ref="K26:K37" si="2">ROUND(+J26/F26,2)</f>
        <v>1.97</v>
      </c>
    </row>
    <row r="27" spans="1:11" s="29" customFormat="1" ht="15.75" x14ac:dyDescent="0.25">
      <c r="A27" s="63" t="s">
        <v>113</v>
      </c>
      <c r="B27" s="22">
        <v>9</v>
      </c>
      <c r="C27" s="22" t="s">
        <v>55</v>
      </c>
      <c r="D27" s="24" t="s">
        <v>95</v>
      </c>
      <c r="E27" s="24" t="s">
        <v>104</v>
      </c>
      <c r="F27" s="31">
        <v>39000</v>
      </c>
      <c r="G27" s="25">
        <v>145522</v>
      </c>
      <c r="H27" s="26">
        <v>0</v>
      </c>
      <c r="I27" s="32">
        <f>IFERROR(+Table131012[[#This Row],[Column G: 
Per Pupil Costs]]/Table131012[[#This Row],[Column E: 
Estimated Number of Test Takers*]],0)</f>
        <v>0</v>
      </c>
      <c r="J27" s="27">
        <f>+Table131012[[#This Row],[Column F: 
Fixed Costs]]+Table131012[[#This Row],[Column G: 
Per Pupil Costs]]</f>
        <v>145522</v>
      </c>
      <c r="K27" s="32">
        <f t="shared" si="2"/>
        <v>3.73</v>
      </c>
    </row>
    <row r="28" spans="1:11" s="29" customFormat="1" ht="15.75" x14ac:dyDescent="0.25">
      <c r="A28" s="63" t="s">
        <v>158</v>
      </c>
      <c r="B28" s="22">
        <v>7</v>
      </c>
      <c r="C28" s="22" t="s">
        <v>55</v>
      </c>
      <c r="D28" s="24" t="s">
        <v>98</v>
      </c>
      <c r="E28" s="24" t="s">
        <v>99</v>
      </c>
      <c r="F28" s="31">
        <v>1472000</v>
      </c>
      <c r="G28" s="25">
        <v>5304404</v>
      </c>
      <c r="H28" s="26">
        <v>0</v>
      </c>
      <c r="I28" s="32">
        <f>IFERROR(+Table131012[[#This Row],[Column G: 
Per Pupil Costs]]/Table131012[[#This Row],[Column E: 
Estimated Number of Test Takers*]],0)</f>
        <v>0</v>
      </c>
      <c r="J28" s="27">
        <f>+Table131012[[#This Row],[Column F: 
Fixed Costs]]+Table131012[[#This Row],[Column G: 
Per Pupil Costs]]</f>
        <v>5304404</v>
      </c>
      <c r="K28" s="32">
        <f t="shared" si="2"/>
        <v>3.6</v>
      </c>
    </row>
    <row r="29" spans="1:11" s="29" customFormat="1" ht="15.75" x14ac:dyDescent="0.25">
      <c r="A29" s="66" t="s">
        <v>159</v>
      </c>
      <c r="B29" s="22">
        <v>8</v>
      </c>
      <c r="C29" s="22" t="s">
        <v>55</v>
      </c>
      <c r="D29" s="24" t="s">
        <v>98</v>
      </c>
      <c r="E29" s="24" t="s">
        <v>99</v>
      </c>
      <c r="F29" s="31">
        <v>1472000</v>
      </c>
      <c r="G29" s="25">
        <v>1778361</v>
      </c>
      <c r="H29" s="26">
        <v>206080.00000000003</v>
      </c>
      <c r="I29" s="32">
        <f>IFERROR(+Table131012[[#This Row],[Column G: 
Per Pupil Costs]]/Table131012[[#This Row],[Column E: 
Estimated Number of Test Takers*]],0)</f>
        <v>0.14000000000000001</v>
      </c>
      <c r="J29" s="27">
        <f>+Table131012[[#This Row],[Column F: 
Fixed Costs]]+Table131012[[#This Row],[Column G: 
Per Pupil Costs]]</f>
        <v>1984441</v>
      </c>
      <c r="K29" s="32">
        <f t="shared" si="2"/>
        <v>1.35</v>
      </c>
    </row>
    <row r="30" spans="1:11" s="29" customFormat="1" ht="15.75" x14ac:dyDescent="0.25">
      <c r="A30" s="66" t="s">
        <v>131</v>
      </c>
      <c r="B30" s="22">
        <v>9</v>
      </c>
      <c r="C30" s="22" t="s">
        <v>55</v>
      </c>
      <c r="D30" s="24" t="s">
        <v>98</v>
      </c>
      <c r="E30" s="24" t="s">
        <v>99</v>
      </c>
      <c r="F30" s="31">
        <v>1472000</v>
      </c>
      <c r="G30" s="25">
        <v>1600355</v>
      </c>
      <c r="H30" s="26">
        <v>0</v>
      </c>
      <c r="I30" s="32">
        <f>IFERROR(+Table131012[[#This Row],[Column G: 
Per Pupil Costs]]/Table131012[[#This Row],[Column E: 
Estimated Number of Test Takers*]],0)</f>
        <v>0</v>
      </c>
      <c r="J30" s="27">
        <f>+Table131012[[#This Row],[Column F: 
Fixed Costs]]+Table131012[[#This Row],[Column G: 
Per Pupil Costs]]</f>
        <v>1600355</v>
      </c>
      <c r="K30" s="32">
        <f t="shared" si="2"/>
        <v>1.0900000000000001</v>
      </c>
    </row>
    <row r="31" spans="1:11" s="29" customFormat="1" ht="15.75" x14ac:dyDescent="0.25">
      <c r="A31" s="66" t="s">
        <v>160</v>
      </c>
      <c r="B31" s="22">
        <v>7</v>
      </c>
      <c r="C31" s="22" t="s">
        <v>55</v>
      </c>
      <c r="D31" s="24" t="s">
        <v>98</v>
      </c>
      <c r="E31" s="24" t="s">
        <v>99</v>
      </c>
      <c r="F31" s="31">
        <v>16500</v>
      </c>
      <c r="G31" s="25">
        <v>18747</v>
      </c>
      <c r="H31" s="26">
        <v>0</v>
      </c>
      <c r="I31" s="32">
        <f>IFERROR(+Table131012[[#This Row],[Column G: 
Per Pupil Costs]]/Table131012[[#This Row],[Column E: 
Estimated Number of Test Takers*]],0)</f>
        <v>0</v>
      </c>
      <c r="J31" s="27">
        <f>+Table131012[[#This Row],[Column F: 
Fixed Costs]]+Table131012[[#This Row],[Column G: 
Per Pupil Costs]]</f>
        <v>18747</v>
      </c>
      <c r="K31" s="32">
        <f t="shared" si="2"/>
        <v>1.1399999999999999</v>
      </c>
    </row>
    <row r="32" spans="1:11" s="29" customFormat="1" ht="15.75" x14ac:dyDescent="0.25">
      <c r="A32" s="63" t="s">
        <v>161</v>
      </c>
      <c r="B32" s="22">
        <v>8</v>
      </c>
      <c r="C32" s="22" t="s">
        <v>55</v>
      </c>
      <c r="D32" s="24" t="s">
        <v>98</v>
      </c>
      <c r="E32" s="24" t="s">
        <v>99</v>
      </c>
      <c r="F32" s="31">
        <v>16500</v>
      </c>
      <c r="G32" s="25">
        <v>145431</v>
      </c>
      <c r="H32" s="26">
        <v>0</v>
      </c>
      <c r="I32" s="32">
        <f>IFERROR(+Table131012[[#This Row],[Column G: 
Per Pupil Costs]]/Table131012[[#This Row],[Column E: 
Estimated Number of Test Takers*]],0)</f>
        <v>0</v>
      </c>
      <c r="J32" s="27">
        <f>+Table131012[[#This Row],[Column F: 
Fixed Costs]]+Table131012[[#This Row],[Column G: 
Per Pupil Costs]]</f>
        <v>145431</v>
      </c>
      <c r="K32" s="32">
        <f t="shared" si="2"/>
        <v>8.81</v>
      </c>
    </row>
    <row r="33" spans="1:11" s="29" customFormat="1" ht="15.75" x14ac:dyDescent="0.25">
      <c r="A33" s="63" t="s">
        <v>162</v>
      </c>
      <c r="B33" s="22">
        <v>9</v>
      </c>
      <c r="C33" s="22" t="s">
        <v>55</v>
      </c>
      <c r="D33" s="24" t="s">
        <v>98</v>
      </c>
      <c r="E33" s="24" t="s">
        <v>99</v>
      </c>
      <c r="F33" s="31">
        <v>16500</v>
      </c>
      <c r="G33" s="25">
        <v>111862</v>
      </c>
      <c r="H33" s="26">
        <v>0</v>
      </c>
      <c r="I33" s="32">
        <f>IFERROR(+Table131012[[#This Row],[Column G: 
Per Pupil Costs]]/Table131012[[#This Row],[Column E: 
Estimated Number of Test Takers*]],0)</f>
        <v>0</v>
      </c>
      <c r="J33" s="27">
        <f>+Table131012[[#This Row],[Column F: 
Fixed Costs]]+Table131012[[#This Row],[Column G: 
Per Pupil Costs]]</f>
        <v>111862</v>
      </c>
      <c r="K33" s="32">
        <f t="shared" si="2"/>
        <v>6.78</v>
      </c>
    </row>
    <row r="34" spans="1:11" s="29" customFormat="1" ht="15.75" x14ac:dyDescent="0.25">
      <c r="A34" s="63" t="s">
        <v>163</v>
      </c>
      <c r="B34" s="22">
        <v>7</v>
      </c>
      <c r="C34" s="22" t="s">
        <v>55</v>
      </c>
      <c r="D34" s="24" t="s">
        <v>102</v>
      </c>
      <c r="E34" s="24" t="s">
        <v>62</v>
      </c>
      <c r="F34" s="31">
        <v>22500</v>
      </c>
      <c r="G34" s="25">
        <v>510021</v>
      </c>
      <c r="H34" s="26">
        <v>0</v>
      </c>
      <c r="I34" s="32">
        <f>IFERROR(+Table131012[[#This Row],[Column G: 
Per Pupil Costs]]/Table131012[[#This Row],[Column E: 
Estimated Number of Test Takers*]],0)</f>
        <v>0</v>
      </c>
      <c r="J34" s="27">
        <f>+Table131012[[#This Row],[Column F: 
Fixed Costs]]+Table131012[[#This Row],[Column G: 
Per Pupil Costs]]</f>
        <v>510021</v>
      </c>
      <c r="K34" s="32">
        <f t="shared" si="2"/>
        <v>22.67</v>
      </c>
    </row>
    <row r="35" spans="1:11" s="29" customFormat="1" ht="15.75" x14ac:dyDescent="0.25">
      <c r="A35" s="63" t="s">
        <v>164</v>
      </c>
      <c r="B35" s="22">
        <v>8</v>
      </c>
      <c r="C35" s="22" t="s">
        <v>55</v>
      </c>
      <c r="D35" s="24" t="s">
        <v>102</v>
      </c>
      <c r="E35" s="24" t="s">
        <v>62</v>
      </c>
      <c r="F35" s="31">
        <v>22500</v>
      </c>
      <c r="G35" s="25">
        <v>224494</v>
      </c>
      <c r="H35" s="26">
        <v>30375.000000000004</v>
      </c>
      <c r="I35" s="32">
        <f>IFERROR(+Table131012[[#This Row],[Column G: 
Per Pupil Costs]]/Table131012[[#This Row],[Column E: 
Estimated Number of Test Takers*]],0)</f>
        <v>1.35</v>
      </c>
      <c r="J35" s="27">
        <f>+Table131012[[#This Row],[Column F: 
Fixed Costs]]+Table131012[[#This Row],[Column G: 
Per Pupil Costs]]</f>
        <v>254869</v>
      </c>
      <c r="K35" s="32">
        <f t="shared" si="2"/>
        <v>11.33</v>
      </c>
    </row>
    <row r="36" spans="1:11" s="29" customFormat="1" ht="15.75" x14ac:dyDescent="0.25">
      <c r="A36" s="63" t="s">
        <v>133</v>
      </c>
      <c r="B36" s="22">
        <v>9</v>
      </c>
      <c r="C36" s="22" t="s">
        <v>55</v>
      </c>
      <c r="D36" s="24" t="s">
        <v>102</v>
      </c>
      <c r="E36" s="34" t="s">
        <v>62</v>
      </c>
      <c r="F36" s="31">
        <v>22500</v>
      </c>
      <c r="G36" s="25">
        <v>432845</v>
      </c>
      <c r="H36" s="26">
        <v>0</v>
      </c>
      <c r="I36" s="32">
        <f>IFERROR(+Table131012[[#This Row],[Column G: 
Per Pupil Costs]]/Table131012[[#This Row],[Column E: 
Estimated Number of Test Takers*]],0)</f>
        <v>0</v>
      </c>
      <c r="J36" s="27">
        <f>+Table131012[[#This Row],[Column F: 
Fixed Costs]]+Table131012[[#This Row],[Column G: 
Per Pupil Costs]]</f>
        <v>432845</v>
      </c>
      <c r="K36" s="32">
        <f t="shared" si="2"/>
        <v>19.239999999999998</v>
      </c>
    </row>
    <row r="37" spans="1:11" s="29" customFormat="1" ht="15.75" x14ac:dyDescent="0.25">
      <c r="A37" s="63" t="s">
        <v>29</v>
      </c>
      <c r="B37" s="40" t="s">
        <v>48</v>
      </c>
      <c r="C37" s="40" t="s">
        <v>48</v>
      </c>
      <c r="D37" s="40" t="s">
        <v>48</v>
      </c>
      <c r="E37" s="41" t="s">
        <v>48</v>
      </c>
      <c r="F37" s="42">
        <f>F18+F25+F28+F31+F34</f>
        <v>4850000</v>
      </c>
      <c r="G37" s="43">
        <f>SUBTOTAL(109,G9:G36)</f>
        <v>77857743</v>
      </c>
      <c r="H37" s="43">
        <f>SUBTOTAL(109,H9:H36)</f>
        <v>1094478</v>
      </c>
      <c r="I37" s="47">
        <f>ROUND(Table131012[[#This Row],[Column G: 
Per Pupil Costs]]/Table131012[[#This Row],[Column E: 
Estimated Number of Test Takers*]],2)</f>
        <v>0.23</v>
      </c>
      <c r="J37" s="43">
        <f>SUBTOTAL(109,J9:J36)</f>
        <v>78952221</v>
      </c>
      <c r="K37" s="44">
        <f t="shared" si="2"/>
        <v>16.28</v>
      </c>
    </row>
    <row r="38" spans="1:11" s="29" customFormat="1" ht="30" x14ac:dyDescent="0.25">
      <c r="A38" s="63" t="s">
        <v>165</v>
      </c>
      <c r="B38" s="22">
        <v>1</v>
      </c>
      <c r="C38" s="24" t="s">
        <v>48</v>
      </c>
      <c r="D38" s="24" t="s">
        <v>48</v>
      </c>
      <c r="E38" s="24" t="s">
        <v>48</v>
      </c>
      <c r="F38" s="24" t="s">
        <v>48</v>
      </c>
      <c r="G38" s="26">
        <v>3307205</v>
      </c>
      <c r="H38" s="26">
        <v>0</v>
      </c>
      <c r="I38" s="28">
        <f>ROUND(+H38/$F$52,2)</f>
        <v>0</v>
      </c>
      <c r="J38" s="27">
        <f>+Table131012[[#This Row],[Column F: 
Fixed Costs]]+Table131012[[#This Row],[Column G: 
Per Pupil Costs]]</f>
        <v>3307205</v>
      </c>
      <c r="K38" s="28">
        <f>ROUND(+J38/$F$52,2)</f>
        <v>2.1</v>
      </c>
    </row>
    <row r="39" spans="1:11" s="29" customFormat="1" ht="30" x14ac:dyDescent="0.25">
      <c r="A39" s="63" t="s">
        <v>166</v>
      </c>
      <c r="B39" s="22">
        <v>2</v>
      </c>
      <c r="C39" s="24" t="s">
        <v>48</v>
      </c>
      <c r="D39" s="24" t="s">
        <v>48</v>
      </c>
      <c r="E39" s="24" t="s">
        <v>48</v>
      </c>
      <c r="F39" s="24" t="s">
        <v>48</v>
      </c>
      <c r="G39" s="26">
        <v>4889345</v>
      </c>
      <c r="H39" s="26">
        <v>0</v>
      </c>
      <c r="I39" s="28">
        <f>ROUND(+H39/$F$52,2)</f>
        <v>0</v>
      </c>
      <c r="J39" s="27">
        <f>+Table131012[[#This Row],[Column F: 
Fixed Costs]]+Table131012[[#This Row],[Column G: 
Per Pupil Costs]]</f>
        <v>4889345</v>
      </c>
      <c r="K39" s="28">
        <f>ROUND(+J39/$F$52,2)</f>
        <v>3.1</v>
      </c>
    </row>
    <row r="40" spans="1:11" s="29" customFormat="1" ht="30" x14ac:dyDescent="0.25">
      <c r="A40" s="63" t="s">
        <v>167</v>
      </c>
      <c r="B40" s="22">
        <v>3</v>
      </c>
      <c r="C40" s="24" t="s">
        <v>48</v>
      </c>
      <c r="D40" s="24" t="s">
        <v>48</v>
      </c>
      <c r="E40" s="24" t="s">
        <v>48</v>
      </c>
      <c r="F40" s="24" t="s">
        <v>48</v>
      </c>
      <c r="G40" s="26">
        <v>2715885</v>
      </c>
      <c r="H40" s="26">
        <v>0</v>
      </c>
      <c r="I40" s="28">
        <f>ROUND(+H40/$F$52,2)</f>
        <v>0</v>
      </c>
      <c r="J40" s="27">
        <f>+Table131012[[#This Row],[Column F: 
Fixed Costs]]+Table131012[[#This Row],[Column G: 
Per Pupil Costs]]</f>
        <v>2715885</v>
      </c>
      <c r="K40" s="28">
        <f>ROUND(+J40/$F$52,2)</f>
        <v>1.72</v>
      </c>
    </row>
    <row r="41" spans="1:11" s="29" customFormat="1" ht="30" x14ac:dyDescent="0.25">
      <c r="A41" s="63" t="s">
        <v>168</v>
      </c>
      <c r="B41" s="22">
        <v>4</v>
      </c>
      <c r="C41" s="24" t="s">
        <v>48</v>
      </c>
      <c r="D41" s="24" t="s">
        <v>48</v>
      </c>
      <c r="E41" s="24" t="s">
        <v>48</v>
      </c>
      <c r="F41" s="24" t="s">
        <v>48</v>
      </c>
      <c r="G41" s="26">
        <v>208384</v>
      </c>
      <c r="H41" s="26">
        <v>0</v>
      </c>
      <c r="I41" s="28">
        <f>ROUND(+H41/$F$52,2)</f>
        <v>0</v>
      </c>
      <c r="J41" s="27">
        <f>+Table131012[[#This Row],[Column F: 
Fixed Costs]]+Table131012[[#This Row],[Column G: 
Per Pupil Costs]]</f>
        <v>208384</v>
      </c>
      <c r="K41" s="28">
        <f>ROUND(+J41/$F$52,2)</f>
        <v>0.13</v>
      </c>
    </row>
    <row r="42" spans="1:11" s="29" customFormat="1" ht="30" x14ac:dyDescent="0.25">
      <c r="A42" s="63" t="s">
        <v>169</v>
      </c>
      <c r="B42" s="22">
        <v>5</v>
      </c>
      <c r="C42" s="24" t="s">
        <v>48</v>
      </c>
      <c r="D42" s="24" t="s">
        <v>48</v>
      </c>
      <c r="E42" s="24" t="s">
        <v>48</v>
      </c>
      <c r="F42" s="24" t="s">
        <v>48</v>
      </c>
      <c r="G42" s="26">
        <v>488452</v>
      </c>
      <c r="H42" s="26">
        <v>0</v>
      </c>
      <c r="I42" s="28">
        <f>ROUND(+H42/$F$52,2)</f>
        <v>0</v>
      </c>
      <c r="J42" s="27">
        <f>+Table131012[[#This Row],[Column F: 
Fixed Costs]]+Table131012[[#This Row],[Column G: 
Per Pupil Costs]]</f>
        <v>488452</v>
      </c>
      <c r="K42" s="28">
        <f>ROUND(+J42/$F$52,2)</f>
        <v>0.31</v>
      </c>
    </row>
    <row r="43" spans="1:11" s="29" customFormat="1" ht="19.899999999999999" customHeight="1" x14ac:dyDescent="0.25">
      <c r="A43" s="63" t="s">
        <v>170</v>
      </c>
      <c r="B43" s="22">
        <v>6</v>
      </c>
      <c r="C43" s="24" t="s">
        <v>48</v>
      </c>
      <c r="D43" s="24" t="s">
        <v>171</v>
      </c>
      <c r="E43" s="34" t="s">
        <v>152</v>
      </c>
      <c r="F43" s="24" t="s">
        <v>48</v>
      </c>
      <c r="G43" s="26">
        <v>1415056</v>
      </c>
      <c r="H43" s="26">
        <v>0</v>
      </c>
      <c r="I43" s="32">
        <f>IFERROR(+Table131012[[#This Row],[Column G: 
Per Pupil Costs]]/Table131012[[#This Row],[Column E: 
Estimated Number of Test Takers*]],0)</f>
        <v>0</v>
      </c>
      <c r="J43" s="27">
        <f>+Table131012[[#This Row],[Column F: 
Fixed Costs]]+Table131012[[#This Row],[Column G: 
Per Pupil Costs]]</f>
        <v>1415056</v>
      </c>
      <c r="K43" s="30" t="s">
        <v>48</v>
      </c>
    </row>
    <row r="44" spans="1:11" s="29" customFormat="1" ht="19.899999999999999" customHeight="1" x14ac:dyDescent="0.25">
      <c r="A44" s="63" t="s">
        <v>172</v>
      </c>
      <c r="B44" s="22">
        <v>6</v>
      </c>
      <c r="C44" s="24" t="s">
        <v>48</v>
      </c>
      <c r="D44" s="24" t="s">
        <v>171</v>
      </c>
      <c r="E44" s="34" t="s">
        <v>152</v>
      </c>
      <c r="F44" s="24" t="s">
        <v>48</v>
      </c>
      <c r="G44" s="25">
        <v>1998765</v>
      </c>
      <c r="H44" s="26">
        <v>0</v>
      </c>
      <c r="I44" s="32">
        <f>IFERROR(+Table131012[[#This Row],[Column G: 
Per Pupil Costs]]/Table131012[[#This Row],[Column E: 
Estimated Number of Test Takers*]],0)</f>
        <v>0</v>
      </c>
      <c r="J44" s="27">
        <f>+Table131012[[#This Row],[Column F: 
Fixed Costs]]+Table131012[[#This Row],[Column G: 
Per Pupil Costs]]</f>
        <v>1998765</v>
      </c>
      <c r="K44" s="30" t="s">
        <v>48</v>
      </c>
    </row>
    <row r="45" spans="1:11" s="29" customFormat="1" ht="19.899999999999999" customHeight="1" x14ac:dyDescent="0.25">
      <c r="A45" s="69" t="s">
        <v>173</v>
      </c>
      <c r="B45" s="22">
        <v>6</v>
      </c>
      <c r="C45" s="24" t="s">
        <v>48</v>
      </c>
      <c r="D45" s="24" t="s">
        <v>171</v>
      </c>
      <c r="E45" s="34" t="s">
        <v>152</v>
      </c>
      <c r="F45" s="24" t="s">
        <v>48</v>
      </c>
      <c r="G45" s="26">
        <v>473233</v>
      </c>
      <c r="H45" s="26">
        <v>0</v>
      </c>
      <c r="I45" s="32">
        <f>IFERROR(+Table131012[[#This Row],[Column G: 
Per Pupil Costs]]/Table131012[[#This Row],[Column E: 
Estimated Number of Test Takers*]],0)</f>
        <v>0</v>
      </c>
      <c r="J45" s="27">
        <f>+Table131012[[#This Row],[Column F: 
Fixed Costs]]+Table131012[[#This Row],[Column G: 
Per Pupil Costs]]</f>
        <v>473233</v>
      </c>
      <c r="K45" s="30" t="s">
        <v>48</v>
      </c>
    </row>
    <row r="46" spans="1:11" s="29" customFormat="1" ht="19.899999999999999" customHeight="1" x14ac:dyDescent="0.25">
      <c r="A46" s="29" t="s">
        <v>174</v>
      </c>
      <c r="B46" s="22">
        <v>7</v>
      </c>
      <c r="C46" s="22" t="s">
        <v>71</v>
      </c>
      <c r="D46" s="24" t="s">
        <v>171</v>
      </c>
      <c r="E46" s="34" t="s">
        <v>152</v>
      </c>
      <c r="F46" s="31">
        <v>1552000</v>
      </c>
      <c r="G46" s="26">
        <v>7542090</v>
      </c>
      <c r="H46" s="26">
        <v>0</v>
      </c>
      <c r="I46" s="32">
        <f>IFERROR(+Table131012[[#This Row],[Column G: 
Per Pupil Costs]]/Table131012[[#This Row],[Column E: 
Estimated Number of Test Takers*]],0)</f>
        <v>0</v>
      </c>
      <c r="J46" s="27">
        <f>+Table131012[[#This Row],[Column F: 
Fixed Costs]]+Table131012[[#This Row],[Column G: 
Per Pupil Costs]]</f>
        <v>7542090</v>
      </c>
      <c r="K46" s="32">
        <f t="shared" ref="K46:K53" si="3">ROUND(+J46/F46,2)</f>
        <v>4.8600000000000003</v>
      </c>
    </row>
    <row r="47" spans="1:11" s="29" customFormat="1" ht="19.899999999999999" customHeight="1" x14ac:dyDescent="0.2">
      <c r="A47" s="8" t="s">
        <v>175</v>
      </c>
      <c r="B47" s="22">
        <v>8</v>
      </c>
      <c r="C47" s="22" t="s">
        <v>71</v>
      </c>
      <c r="D47" s="24" t="s">
        <v>171</v>
      </c>
      <c r="E47" s="34" t="s">
        <v>152</v>
      </c>
      <c r="F47" s="31">
        <v>1552000</v>
      </c>
      <c r="G47" s="26">
        <v>8379694</v>
      </c>
      <c r="H47" s="26">
        <v>441037</v>
      </c>
      <c r="I47" s="32">
        <f>ROUND(IFERROR(+Table131012[[#This Row],[Column G: 
Per Pupil Costs]]/Table131012[[#This Row],[Column E: 
Estimated Number of Test Takers*]],0),2)</f>
        <v>0.28000000000000003</v>
      </c>
      <c r="J47" s="27">
        <f>+Table131012[[#This Row],[Column F: 
Fixed Costs]]+Table131012[[#This Row],[Column G: 
Per Pupil Costs]]</f>
        <v>8820731</v>
      </c>
      <c r="K47" s="32">
        <f t="shared" si="3"/>
        <v>5.68</v>
      </c>
    </row>
    <row r="48" spans="1:11" s="29" customFormat="1" ht="19.899999999999999" customHeight="1" x14ac:dyDescent="0.2">
      <c r="A48" s="8" t="s">
        <v>176</v>
      </c>
      <c r="B48" s="22">
        <v>9</v>
      </c>
      <c r="C48" s="22" t="s">
        <v>71</v>
      </c>
      <c r="D48" s="24" t="s">
        <v>171</v>
      </c>
      <c r="E48" s="34" t="s">
        <v>152</v>
      </c>
      <c r="F48" s="31">
        <v>1552000</v>
      </c>
      <c r="G48" s="26">
        <v>801981</v>
      </c>
      <c r="H48" s="26">
        <v>0</v>
      </c>
      <c r="I48" s="32">
        <f>IFERROR(+Table131012[[#This Row],[Column G: 
Per Pupil Costs]]/Table131012[[#This Row],[Column E: 
Estimated Number of Test Takers*]],0)</f>
        <v>0</v>
      </c>
      <c r="J48" s="27">
        <f>+Table131012[[#This Row],[Column F: 
Fixed Costs]]+Table131012[[#This Row],[Column G: 
Per Pupil Costs]]</f>
        <v>801981</v>
      </c>
      <c r="K48" s="32">
        <f t="shared" si="3"/>
        <v>0.52</v>
      </c>
    </row>
    <row r="49" spans="1:14" s="29" customFormat="1" ht="19.899999999999999" customHeight="1" x14ac:dyDescent="0.25">
      <c r="A49" s="29" t="s">
        <v>177</v>
      </c>
      <c r="B49" s="22">
        <v>7</v>
      </c>
      <c r="C49" s="22" t="s">
        <v>55</v>
      </c>
      <c r="D49" s="24" t="s">
        <v>171</v>
      </c>
      <c r="E49" s="34" t="s">
        <v>152</v>
      </c>
      <c r="F49" s="72">
        <v>26000</v>
      </c>
      <c r="G49" s="25">
        <v>2030485</v>
      </c>
      <c r="H49" s="26">
        <v>0</v>
      </c>
      <c r="I49" s="32">
        <f>IFERROR(+Table131012[[#This Row],[Column G: 
Per Pupil Costs]]/Table131012[[#This Row],[Column E: 
Estimated Number of Test Takers*]],0)</f>
        <v>0</v>
      </c>
      <c r="J49" s="27">
        <f>+Table131012[[#This Row],[Column F: 
Fixed Costs]]+Table131012[[#This Row],[Column G: 
Per Pupil Costs]]</f>
        <v>2030485</v>
      </c>
      <c r="K49" s="32">
        <f t="shared" ref="K49:K51" si="4">ROUND(+J49/F49,2)</f>
        <v>78.099999999999994</v>
      </c>
    </row>
    <row r="50" spans="1:14" s="29" customFormat="1" ht="19.899999999999999" customHeight="1" x14ac:dyDescent="0.2">
      <c r="A50" s="8" t="s">
        <v>178</v>
      </c>
      <c r="B50" s="22">
        <v>8</v>
      </c>
      <c r="C50" s="22" t="s">
        <v>55</v>
      </c>
      <c r="D50" s="24" t="s">
        <v>171</v>
      </c>
      <c r="E50" s="34" t="s">
        <v>152</v>
      </c>
      <c r="F50" s="72">
        <v>26000</v>
      </c>
      <c r="G50" s="25">
        <v>180174</v>
      </c>
      <c r="H50" s="26">
        <v>0</v>
      </c>
      <c r="I50" s="32">
        <f>IFERROR(+Table131012[[#This Row],[Column G: 
Per Pupil Costs]]/Table131012[[#This Row],[Column E: 
Estimated Number of Test Takers*]],0)</f>
        <v>0</v>
      </c>
      <c r="J50" s="27">
        <f>+Table131012[[#This Row],[Column F: 
Fixed Costs]]+Table131012[[#This Row],[Column G: 
Per Pupil Costs]]</f>
        <v>180174</v>
      </c>
      <c r="K50" s="32">
        <f t="shared" si="4"/>
        <v>6.93</v>
      </c>
    </row>
    <row r="51" spans="1:14" s="29" customFormat="1" ht="19.899999999999999" customHeight="1" x14ac:dyDescent="0.2">
      <c r="A51" s="8" t="s">
        <v>179</v>
      </c>
      <c r="B51" s="22">
        <v>9</v>
      </c>
      <c r="C51" s="22" t="s">
        <v>55</v>
      </c>
      <c r="D51" s="24" t="s">
        <v>171</v>
      </c>
      <c r="E51" s="34" t="s">
        <v>152</v>
      </c>
      <c r="F51" s="72">
        <v>26000</v>
      </c>
      <c r="G51" s="25">
        <v>1201402</v>
      </c>
      <c r="H51" s="26">
        <v>0</v>
      </c>
      <c r="I51" s="32">
        <f>IFERROR(+Table131012[[#This Row],[Column G: 
Per Pupil Costs]]/Table131012[[#This Row],[Column E: 
Estimated Number of Test Takers*]],0)</f>
        <v>0</v>
      </c>
      <c r="J51" s="27">
        <f>+Table131012[[#This Row],[Column F: 
Fixed Costs]]+Table131012[[#This Row],[Column G: 
Per Pupil Costs]]</f>
        <v>1201402</v>
      </c>
      <c r="K51" s="32">
        <f t="shared" si="4"/>
        <v>46.21</v>
      </c>
    </row>
    <row r="52" spans="1:14" ht="19.149999999999999" customHeight="1" x14ac:dyDescent="0.2">
      <c r="A52" s="8" t="s">
        <v>34</v>
      </c>
      <c r="B52" s="40" t="s">
        <v>48</v>
      </c>
      <c r="C52" s="40" t="s">
        <v>48</v>
      </c>
      <c r="D52" s="45" t="s">
        <v>48</v>
      </c>
      <c r="E52" s="46" t="s">
        <v>48</v>
      </c>
      <c r="F52" s="42">
        <f>F46+F49</f>
        <v>1578000</v>
      </c>
      <c r="G52" s="33">
        <f>SUBTOTAL(109,G38:G51)</f>
        <v>35632151</v>
      </c>
      <c r="H52" s="33">
        <f>SUBTOTAL(109,H38:H51)</f>
        <v>441037</v>
      </c>
      <c r="I52" s="44">
        <f>ROUND(Table131012[[#This Row],[Column G: 
Per Pupil Costs]]/Table131012[[#This Row],[Column E: 
Estimated Number of Test Takers*]],2)</f>
        <v>0.28000000000000003</v>
      </c>
      <c r="J52" s="33">
        <f>SUBTOTAL(109,J38:J51)</f>
        <v>36073188</v>
      </c>
      <c r="K52" s="44">
        <f t="shared" si="3"/>
        <v>22.86</v>
      </c>
    </row>
    <row r="53" spans="1:14" s="29" customFormat="1" ht="24.6" customHeight="1" x14ac:dyDescent="0.25">
      <c r="A53" s="8" t="s">
        <v>156</v>
      </c>
      <c r="B53" s="20" t="s">
        <v>48</v>
      </c>
      <c r="C53" s="20" t="s">
        <v>48</v>
      </c>
      <c r="D53" s="20" t="s">
        <v>48</v>
      </c>
      <c r="E53" s="20" t="s">
        <v>48</v>
      </c>
      <c r="F53" s="75">
        <f>F37+F52</f>
        <v>6428000</v>
      </c>
      <c r="G53" s="76">
        <f>G37+G52</f>
        <v>113489894</v>
      </c>
      <c r="H53" s="76">
        <f>H37+H52</f>
        <v>1535515</v>
      </c>
      <c r="I53" s="77">
        <f>ROUND(Table131012[[#Totals],[Column G: 
Per Pupil Costs]]/Table131012[[#Totals],[Column E: 
Estimated Number of Test Takers*]],2)</f>
        <v>0.24</v>
      </c>
      <c r="J53" s="76">
        <f>J37+J52</f>
        <v>115025409</v>
      </c>
      <c r="K53" s="78">
        <f t="shared" si="3"/>
        <v>17.89</v>
      </c>
    </row>
    <row r="54" spans="1:14" s="6" customFormat="1" ht="15.75" x14ac:dyDescent="0.2">
      <c r="A54" s="29" t="s">
        <v>206</v>
      </c>
      <c r="B54" s="23"/>
      <c r="C54" s="23"/>
      <c r="D54" s="23"/>
      <c r="E54" s="23"/>
      <c r="F54" s="35"/>
      <c r="G54" s="25"/>
      <c r="H54" s="26"/>
      <c r="I54" s="32"/>
      <c r="J54" s="33"/>
      <c r="K54" s="32"/>
      <c r="M54" s="8"/>
      <c r="N54" s="8"/>
    </row>
    <row r="55" spans="1:14" s="6" customFormat="1" ht="15.75" x14ac:dyDescent="0.25">
      <c r="A55" s="8" t="s">
        <v>207</v>
      </c>
      <c r="B55" s="8"/>
      <c r="C55" s="20"/>
      <c r="D55" s="20"/>
      <c r="E55" s="20"/>
      <c r="F55" s="20"/>
      <c r="G55" s="20"/>
      <c r="H55" s="19"/>
      <c r="K55" s="7"/>
      <c r="M55" s="8"/>
      <c r="N55" s="8"/>
    </row>
    <row r="56" spans="1:14" s="6" customFormat="1" ht="15.75" x14ac:dyDescent="0.25">
      <c r="A56" s="5"/>
      <c r="B56" s="8"/>
      <c r="C56" s="20"/>
      <c r="D56" s="20"/>
      <c r="E56" s="20"/>
      <c r="F56" s="20"/>
      <c r="G56" s="20"/>
      <c r="H56" s="19"/>
      <c r="K56" s="7"/>
      <c r="M56" s="8"/>
      <c r="N56" s="8"/>
    </row>
    <row r="57" spans="1:14" s="3" customFormat="1" ht="15.75" x14ac:dyDescent="0.25">
      <c r="A57" s="5"/>
      <c r="B57" s="8"/>
      <c r="C57" s="20"/>
      <c r="D57" s="20"/>
      <c r="E57" s="20"/>
      <c r="F57" s="20"/>
      <c r="G57" s="20"/>
      <c r="H57" s="19"/>
      <c r="I57" s="6"/>
      <c r="J57" s="6"/>
      <c r="K57" s="7"/>
      <c r="M57" s="5"/>
      <c r="N57" s="5"/>
    </row>
    <row r="58" spans="1:14" ht="13.15" customHeight="1" x14ac:dyDescent="0.2"/>
    <row r="59" spans="1:14" ht="13.15" customHeight="1" x14ac:dyDescent="0.2"/>
    <row r="60" spans="1:14" ht="13.15" customHeight="1" x14ac:dyDescent="0.2"/>
    <row r="61" spans="1:14" ht="13.15" customHeight="1" x14ac:dyDescent="0.2"/>
    <row r="62" spans="1:14" ht="13.15" customHeight="1" x14ac:dyDescent="0.2"/>
    <row r="63" spans="1:14" ht="13.15" customHeight="1" x14ac:dyDescent="0.2"/>
    <row r="64" spans="1:14" ht="13.15" customHeight="1" x14ac:dyDescent="0.2"/>
  </sheetData>
  <pageMargins left="0.5" right="0.25" top="1" bottom="1" header="0.3" footer="0.3"/>
  <pageSetup scale="68" fitToHeight="0" orientation="landscape" r:id="rId1"/>
  <headerFooter>
    <oddHeader xml:space="preserve">&amp;R&amp;"Arial,Regular"&amp;12pptb-adad-nov18item03
Attachment 4
Page &amp;P of &amp;N
</oddHeader>
    <oddFooter>&amp;L&amp;"Arial,Regular"&amp;12California Department of Education - November 2018</oddFooter>
  </headerFooter>
  <ignoredErrors>
    <ignoredError sqref="D9:F17 D28:F28 D18:D27 F18 D54:J1048576 D52:E52 G52:I52 D30:F31 D29:F29 I29:J29 F20:F25 F19 I19:J19 F27 F26 I26:J26 D33:F34 D32:F32 I32:J32 D37:I37 D35:F35 I35:J35 I9:J17 I28:J28 I18:J18 I30:J31 I20:J25 I27:J27 I33:J34 D36:F36 I36:J36 D38:F51 I38:J46 J37 J52 I47:J51" formula="1"/>
    <ignoredError sqref="E18:E27" twoDigitTextYear="1" formula="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0AAE3EB56963488764F3DAD54870A0" ma:contentTypeVersion="0" ma:contentTypeDescription="Create a new document." ma:contentTypeScope="" ma:versionID="a65dfe3bd25e6ac1453cfcef2ab4415c">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F30087-4CA5-4C0D-8CA4-1D204A90D7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99FBBDC-C9BF-4AE3-9CA7-E350AED61E2B}">
  <ds:schemaRef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8C31D7DE-B47B-4509-AE2B-D2B244A079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22</vt:i4>
      </vt:variant>
    </vt:vector>
  </HeadingPairs>
  <TitlesOfParts>
    <vt:vector size="37" baseType="lpstr">
      <vt:lpstr>Form A FY Summary</vt:lpstr>
      <vt:lpstr>Form A FY Budget 2015-16 Admin</vt:lpstr>
      <vt:lpstr>Form B 2015-16 Admin</vt:lpstr>
      <vt:lpstr>Form A FY Budget 2016-17 Admin</vt:lpstr>
      <vt:lpstr>Form B 2016-17 Admin</vt:lpstr>
      <vt:lpstr>Form A FY Budget 2017-18 Admin</vt:lpstr>
      <vt:lpstr>Form B 2017-18 Admin</vt:lpstr>
      <vt:lpstr>Form A FY Budget 2018-19 Admin</vt:lpstr>
      <vt:lpstr>Form B 2018-19 Admin</vt:lpstr>
      <vt:lpstr>Form A FY Budget 2019-20 Admin</vt:lpstr>
      <vt:lpstr>Form B 2019-20 Admin</vt:lpstr>
      <vt:lpstr>Form A FY Budget 2020-21 Admin</vt:lpstr>
      <vt:lpstr>Form B 2020-21 Admin</vt:lpstr>
      <vt:lpstr>Form A FY Budget 2021-22 Admin</vt:lpstr>
      <vt:lpstr>Form B 2021-22 Admin</vt:lpstr>
      <vt:lpstr>'Form A FY Budget 2015-16 Admin'!Print_Area</vt:lpstr>
      <vt:lpstr>'Form A FY Budget 2016-17 Admin'!Print_Area</vt:lpstr>
      <vt:lpstr>'Form A FY Budget 2017-18 Admin'!Print_Area</vt:lpstr>
      <vt:lpstr>'Form A FY Budget 2018-19 Admin'!Print_Area</vt:lpstr>
      <vt:lpstr>'Form A FY Budget 2019-20 Admin'!Print_Area</vt:lpstr>
      <vt:lpstr>'Form A FY Budget 2020-21 Admin'!Print_Area</vt:lpstr>
      <vt:lpstr>'Form A FY Budget 2021-22 Admin'!Print_Area</vt:lpstr>
      <vt:lpstr>'Form A FY Summary'!Print_Area</vt:lpstr>
      <vt:lpstr>'Form B 2015-16 Admin'!Print_Area</vt:lpstr>
      <vt:lpstr>'Form B 2016-17 Admin'!Print_Area</vt:lpstr>
      <vt:lpstr>'Form B 2017-18 Admin'!Print_Area</vt:lpstr>
      <vt:lpstr>'Form B 2018-19 Admin'!Print_Area</vt:lpstr>
      <vt:lpstr>'Form B 2019-20 Admin'!Print_Area</vt:lpstr>
      <vt:lpstr>'Form B 2020-21 Admin'!Print_Area</vt:lpstr>
      <vt:lpstr>'Form B 2021-22 Admin'!Print_Area</vt:lpstr>
      <vt:lpstr>'Form B 2015-16 Admin'!Print_Titles</vt:lpstr>
      <vt:lpstr>'Form B 2016-17 Admin'!Print_Titles</vt:lpstr>
      <vt:lpstr>'Form B 2017-18 Admin'!Print_Titles</vt:lpstr>
      <vt:lpstr>'Form B 2018-19 Admin'!Print_Titles</vt:lpstr>
      <vt:lpstr>'Form B 2019-20 Admin'!Print_Titles</vt:lpstr>
      <vt:lpstr>'Form B 2020-21 Admin'!Print_Titles</vt:lpstr>
      <vt:lpstr>'Form B 2021-22 Admin'!Print_Titles</vt:lpstr>
    </vt:vector>
  </TitlesOfParts>
  <Manager/>
  <Company>ETS</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November 2018 Agenda Item 08 Attachment 4 - Meeting Agendas (CA State Board of Education)</dc:title>
  <dc:subject>California Assessment of Student Performance and Progress: Approval of the Proposed Contract Amendment with Educational Testing Service’s California Assessment of Student Performance and Progress Contract to Include the Integration of the English Language Proficiency Assessments for California, and Approval of the Proposed Contract Amendment with the University of California, Santa Cruz Interagency Agreement to Provide an Educator Reporting System, and Update on Program Activities.</dc:subject>
  <dc:creator>Lee Sand</dc:creator>
  <cp:keywords>Item 8 Att 4</cp:keywords>
  <dc:description/>
  <cp:lastModifiedBy>CDE</cp:lastModifiedBy>
  <cp:revision/>
  <cp:lastPrinted>2018-10-29T21:52:07Z</cp:lastPrinted>
  <dcterms:created xsi:type="dcterms:W3CDTF">2018-08-22T17:54:16Z</dcterms:created>
  <dcterms:modified xsi:type="dcterms:W3CDTF">2018-10-29T22:04:20Z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0x010100600AAE3EB56963488764F3DAD54870A0</vt:lpwstr>
  </property>
</Properties>
</file>