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2072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<sst xmlns="http://schemas.openxmlformats.org/spreadsheetml/2006/main" count="202" uniqueCount="144">
  <si>
    <t>Demographics</t>
  </si>
  <si>
    <t xml:space="preserve">2011-2012 Financial Condition </t>
  </si>
  <si>
    <t>(Source: 2011-12 Audit Report)</t>
  </si>
  <si>
    <t>SBE Enroll Cap</t>
  </si>
  <si>
    <t>% Special Education (2011-12)</t>
  </si>
  <si>
    <t>% FRPL / EL 2012</t>
  </si>
  <si>
    <t>Working Capital (WC)</t>
  </si>
  <si>
    <t xml:space="preserve">Ending Fund Balance </t>
  </si>
  <si>
    <t>Operating Surplus or (Deficit) per 2nd Interim</t>
  </si>
  <si>
    <t>Ending Fund Balance per 2nd Interim</t>
  </si>
  <si>
    <t>Are Projected Reserves Adequate?</t>
  </si>
  <si>
    <t>K-5</t>
  </si>
  <si>
    <t>6.28</t>
  </si>
  <si>
    <t>65/17</t>
  </si>
  <si>
    <t>Yes</t>
  </si>
  <si>
    <t>6-12</t>
  </si>
  <si>
    <t>9.52</t>
  </si>
  <si>
    <t>68/22</t>
  </si>
  <si>
    <t>7.69</t>
  </si>
  <si>
    <t>77/13</t>
  </si>
  <si>
    <t>K-6</t>
  </si>
  <si>
    <t>6.08</t>
  </si>
  <si>
    <t>97/41</t>
  </si>
  <si>
    <t>4.94</t>
  </si>
  <si>
    <t>80/16</t>
  </si>
  <si>
    <t>5.78</t>
  </si>
  <si>
    <t>100/59</t>
  </si>
  <si>
    <t>14.33</t>
  </si>
  <si>
    <t>48/04</t>
  </si>
  <si>
    <t>8.82</t>
  </si>
  <si>
    <t>89/05</t>
  </si>
  <si>
    <t>K-8</t>
  </si>
  <si>
    <t>6.97</t>
  </si>
  <si>
    <t>24/11</t>
  </si>
  <si>
    <t>6-8</t>
  </si>
  <si>
    <t>0</t>
  </si>
  <si>
    <t>75/06</t>
  </si>
  <si>
    <t>No</t>
  </si>
  <si>
    <t>9-12</t>
  </si>
  <si>
    <t>17.33</t>
  </si>
  <si>
    <t>38/18</t>
  </si>
  <si>
    <t>10.38</t>
  </si>
  <si>
    <t>45/15</t>
  </si>
  <si>
    <t>8.88</t>
  </si>
  <si>
    <t>43/11</t>
  </si>
  <si>
    <t>13.73</t>
  </si>
  <si>
    <t>22/04</t>
  </si>
  <si>
    <t>49/14</t>
  </si>
  <si>
    <t>15.43</t>
  </si>
  <si>
    <t>37/04</t>
  </si>
  <si>
    <t>4.71</t>
  </si>
  <si>
    <t>76/20</t>
  </si>
  <si>
    <t>0.30</t>
  </si>
  <si>
    <t>93/19</t>
  </si>
  <si>
    <t>2.62</t>
  </si>
  <si>
    <t>11/05</t>
  </si>
  <si>
    <t>7.30</t>
  </si>
  <si>
    <t>03/03</t>
  </si>
  <si>
    <t>K-12</t>
  </si>
  <si>
    <t>2.53</t>
  </si>
  <si>
    <t>62/0</t>
  </si>
  <si>
    <t>No Data</t>
  </si>
  <si>
    <t>8.28</t>
  </si>
  <si>
    <t>14/01</t>
  </si>
  <si>
    <t>8.55</t>
  </si>
  <si>
    <t>22/03</t>
  </si>
  <si>
    <t>14.48</t>
  </si>
  <si>
    <t>52/13</t>
  </si>
  <si>
    <t>5.76</t>
  </si>
  <si>
    <t>57/01</t>
  </si>
  <si>
    <t>1-6</t>
  </si>
  <si>
    <t>3.92</t>
  </si>
  <si>
    <t>14/05</t>
  </si>
  <si>
    <t>7.81</t>
  </si>
  <si>
    <t>97/03</t>
  </si>
  <si>
    <t>8.98</t>
  </si>
  <si>
    <t>47/21</t>
  </si>
  <si>
    <t>Opened Fall 2012</t>
  </si>
  <si>
    <t>6.12</t>
  </si>
  <si>
    <t>96/20</t>
  </si>
  <si>
    <t>7-12</t>
  </si>
  <si>
    <t>4.88</t>
  </si>
  <si>
    <t>08/0</t>
  </si>
  <si>
    <t>* Effective 2013-14, charter authority will transfer to local LEA</t>
  </si>
  <si>
    <t>Grade Levels</t>
  </si>
  <si>
    <t xml:space="preserve">2011-12 P2 ADA </t>
  </si>
  <si>
    <t xml:space="preserve">2012-13 P1 ADA </t>
  </si>
  <si>
    <t xml:space="preserve">Net Operating Surplus or (Deficit) </t>
  </si>
  <si>
    <t>2011-12 Attendance Ratio (P2/ Enroll)</t>
  </si>
  <si>
    <t>Debt Ratio (Total Liabilities/Assets)</t>
  </si>
  <si>
    <t xml:space="preserve">^ Unrestricted budget only, excludes the activities from capital facilities project </t>
  </si>
  <si>
    <t>Operating Surplus or (Deficit) at Budget</t>
  </si>
  <si>
    <t>Operating Surplus or (Deficit) at 1st Interim</t>
  </si>
  <si>
    <t xml:space="preserve"> Ending Fund Balance at Budget</t>
  </si>
  <si>
    <t>Ending Fund Balance at 1st Interim</t>
  </si>
  <si>
    <t>Not Specified</t>
  </si>
  <si>
    <t>Aspire Junior Collegiate Academy* (June 30, 2017)</t>
  </si>
  <si>
    <t>Aspire Port City Academy* (June 30, 2017)</t>
  </si>
  <si>
    <t>Aspire Titan Academy* (June 30, 2017)</t>
  </si>
  <si>
    <t>Barack Obama Charter (June 30, 2014)</t>
  </si>
  <si>
    <t>Dixon Montessori Charter (June 30, 2015)</t>
  </si>
  <si>
    <t>Doris Topsy-Elvord Academy (June 30, 2013)</t>
  </si>
  <si>
    <t>Everest Public High (June 30, 2014)</t>
  </si>
  <si>
    <t>High Tech Elementary - Chula Vista (June 30, 2017)</t>
  </si>
  <si>
    <t>High Tech High Chula Vista (June 30, 2017)</t>
  </si>
  <si>
    <t>High Tech High North County (June 30, 2017)</t>
  </si>
  <si>
    <t>High Tech Middle - Chula Vista (June 30, 2017)</t>
  </si>
  <si>
    <t>High Tech Middle North County (June 30, 2017)</t>
  </si>
  <si>
    <t>Lifeline Education Charter (June 30, 2017)</t>
  </si>
  <si>
    <t>Livermore Valley Charter* (June 30, 2013)</t>
  </si>
  <si>
    <t>New West Charter Middle (June 30, 2017)</t>
  </si>
  <si>
    <t>Pacific Technology School Orangevale (June 30, 2014)</t>
  </si>
  <si>
    <t>Pacific Technology School Santa Ana ^ (June 30, 2014)</t>
  </si>
  <si>
    <t>School of Arts and Enterprise (June 30, 2016)</t>
  </si>
  <si>
    <t>Synergy Education Project (June 30, 2017)</t>
  </si>
  <si>
    <t>Western Sierra Collegiate Academy ^ (June 30, 2014)</t>
  </si>
  <si>
    <t>Aspire Alexander Twilight College Preparatory Academy*                              (June 30, 2017)</t>
  </si>
  <si>
    <t>Aspire APEX Preparatory Academy*                             (June 30, 2017)</t>
  </si>
  <si>
    <t>Ingenium Charter               (June 30, 2015)</t>
  </si>
  <si>
    <t>Mission Preparatory          (June 30, 2016)</t>
  </si>
  <si>
    <t>Ridgecrest Charter            (June 30, 2014)</t>
  </si>
  <si>
    <t>River Montessori Elementary Charter                                 (June 30, 2014)</t>
  </si>
  <si>
    <t>Operating Surplus or (Deficit) at 2nd Interim</t>
  </si>
  <si>
    <t>Ending Fund Balance at 2nd Interim</t>
  </si>
  <si>
    <t xml:space="preserve">2012-13 P2 Est ADA </t>
  </si>
  <si>
    <t>SBE Charter         (Term expires)</t>
  </si>
  <si>
    <t>Long Valley Charter* (June 30, 2015)</t>
  </si>
  <si>
    <t>Today's Fresh Start ^            (June 30, 2015)</t>
  </si>
  <si>
    <t>Aspire Alexander Twilight Secondary Academy* (June 30, 2017)</t>
  </si>
  <si>
    <t>Aspire Vanguard College Preparatory Academy (June 30, 2014)</t>
  </si>
  <si>
    <t>Livermore Valley Charter Preparatory High (June 30, 2014)</t>
  </si>
  <si>
    <t>Good Financial Condition</t>
  </si>
  <si>
    <t xml:space="preserve">2011-2012 Audit Report </t>
  </si>
  <si>
    <t>2012-2013 Budget</t>
  </si>
  <si>
    <t>(Source: 2012-13 Budget, 1st and 2nd Interim Reports)</t>
  </si>
  <si>
    <t>Fair Financial Condition</t>
  </si>
  <si>
    <t>Poor Financial Condition</t>
  </si>
  <si>
    <t>N/A</t>
  </si>
  <si>
    <t>Working Capital Ratio (Current Assets/ Liabilities)</t>
  </si>
  <si>
    <t>+ Opened fall 2012</t>
  </si>
  <si>
    <r>
      <t>N/A</t>
    </r>
    <r>
      <rPr>
        <vertAlign val="superscript"/>
        <sz val="12"/>
        <color indexed="8"/>
        <rFont val="Arial"/>
        <family val="2"/>
      </rPr>
      <t>+</t>
    </r>
  </si>
  <si>
    <r>
      <t>San Francisco Flex Academy (June 30, 2015)</t>
    </r>
    <r>
      <rPr>
        <b/>
        <vertAlign val="superscript"/>
        <sz val="12"/>
        <rFont val="Arial"/>
        <family val="2"/>
      </rPr>
      <t>#</t>
    </r>
  </si>
  <si>
    <t># Zero net operations and fund balances explained for SFFA on Attachment 1</t>
  </si>
  <si>
    <t>California State Board of Education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</si>
</sst>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Book Antiqua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10" fillId="33" borderId="10" xfId="55" applyNumberFormat="1" applyFont="1" applyFill="1" applyBorder="1" applyAlignment="1" quotePrefix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4" fillId="0" borderId="11" xfId="58" applyFont="1" applyFill="1" applyBorder="1" applyAlignment="1">
      <alignment horizontal="center" vertical="center"/>
    </xf>
    <xf numFmtId="165" fontId="4" fillId="0" borderId="11" xfId="42" applyNumberFormat="1" applyFont="1" applyFill="1" applyBorder="1" applyAlignment="1" quotePrefix="1">
      <alignment horizontal="center" vertical="center" wrapText="1"/>
    </xf>
    <xf numFmtId="166" fontId="51" fillId="0" borderId="13" xfId="44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9" fontId="4" fillId="0" borderId="10" xfId="58" applyFont="1" applyFill="1" applyBorder="1" applyAlignment="1">
      <alignment horizontal="center" vertical="center"/>
    </xf>
    <xf numFmtId="165" fontId="4" fillId="0" borderId="10" xfId="42" applyNumberFormat="1" applyFont="1" applyFill="1" applyBorder="1" applyAlignment="1" quotePrefix="1">
      <alignment horizontal="center" vertical="center" wrapText="1"/>
    </xf>
    <xf numFmtId="166" fontId="51" fillId="0" borderId="15" xfId="44" applyNumberFormat="1" applyFont="1" applyBorder="1" applyAlignment="1">
      <alignment horizontal="center" vertical="center"/>
    </xf>
    <xf numFmtId="166" fontId="51" fillId="33" borderId="13" xfId="44" applyNumberFormat="1" applyFont="1" applyFill="1" applyBorder="1" applyAlignment="1">
      <alignment horizontal="center" vertical="center"/>
    </xf>
    <xf numFmtId="166" fontId="51" fillId="0" borderId="13" xfId="44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10" xfId="55" applyNumberFormat="1" applyFont="1" applyFill="1" applyBorder="1" applyAlignment="1" quotePrefix="1">
      <alignment horizontal="left" vertical="center" wrapText="1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9" fontId="4" fillId="0" borderId="16" xfId="58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4" fillId="0" borderId="16" xfId="42" applyNumberFormat="1" applyFont="1" applyFill="1" applyBorder="1" applyAlignment="1" quotePrefix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1" fillId="0" borderId="0" xfId="55" applyNumberFormat="1" applyFont="1" applyFill="1" applyBorder="1" applyAlignment="1" quotePrefix="1">
      <alignment horizontal="left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58" applyNumberFormat="1" applyFont="1" applyFill="1" applyBorder="1" applyAlignment="1">
      <alignment horizontal="center" vertical="center"/>
    </xf>
    <xf numFmtId="165" fontId="5" fillId="0" borderId="0" xfId="42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Alignment="1">
      <alignment/>
    </xf>
    <xf numFmtId="49" fontId="3" fillId="0" borderId="17" xfId="0" applyNumberFormat="1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65" fontId="4" fillId="0" borderId="20" xfId="42" applyNumberFormat="1" applyFont="1" applyFill="1" applyBorder="1" applyAlignment="1" quotePrefix="1">
      <alignment horizontal="center" vertical="center" wrapText="1"/>
    </xf>
    <xf numFmtId="9" fontId="4" fillId="0" borderId="21" xfId="58" applyFont="1" applyFill="1" applyBorder="1" applyAlignment="1">
      <alignment horizontal="center" vertical="center"/>
    </xf>
    <xf numFmtId="9" fontId="4" fillId="0" borderId="22" xfId="58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52" fillId="0" borderId="10" xfId="0" applyFont="1" applyBorder="1" applyAlignment="1">
      <alignment vertical="center" wrapText="1"/>
    </xf>
    <xf numFmtId="0" fontId="10" fillId="0" borderId="13" xfId="55" applyNumberFormat="1" applyFont="1" applyFill="1" applyBorder="1" applyAlignment="1" quotePrefix="1">
      <alignment horizontal="left" vertical="center" wrapText="1"/>
      <protection/>
    </xf>
    <xf numFmtId="166" fontId="53" fillId="33" borderId="10" xfId="44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9" fontId="4" fillId="0" borderId="24" xfId="58" applyFont="1" applyFill="1" applyBorder="1" applyAlignment="1">
      <alignment horizontal="center" vertical="center"/>
    </xf>
    <xf numFmtId="165" fontId="4" fillId="0" borderId="23" xfId="42" applyNumberFormat="1" applyFont="1" applyFill="1" applyBorder="1" applyAlignment="1" quotePrefix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6" fontId="51" fillId="33" borderId="25" xfId="44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33" borderId="11" xfId="55" applyNumberFormat="1" applyFont="1" applyFill="1" applyBorder="1" applyAlignment="1" quotePrefix="1">
      <alignment horizontal="left" vertical="center" wrapText="1"/>
      <protection/>
    </xf>
    <xf numFmtId="166" fontId="51" fillId="33" borderId="26" xfId="44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4" xfId="55" applyFont="1" applyFill="1" applyBorder="1" applyAlignment="1">
      <alignment horizontal="centerContinuous" vertical="center" wrapText="1"/>
      <protection/>
    </xf>
    <xf numFmtId="49" fontId="4" fillId="0" borderId="27" xfId="0" applyNumberFormat="1" applyFont="1" applyFill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164" fontId="53" fillId="0" borderId="27" xfId="0" applyNumberFormat="1" applyFont="1" applyBorder="1" applyAlignment="1">
      <alignment horizontal="centerContinuous" vertical="center"/>
    </xf>
    <xf numFmtId="165" fontId="51" fillId="0" borderId="27" xfId="0" applyNumberFormat="1" applyFont="1" applyFill="1" applyBorder="1" applyAlignment="1">
      <alignment horizontal="centerContinuous" vertical="center"/>
    </xf>
    <xf numFmtId="9" fontId="4" fillId="0" borderId="27" xfId="58" applyFont="1" applyFill="1" applyBorder="1" applyAlignment="1">
      <alignment horizontal="centerContinuous" vertical="center"/>
    </xf>
    <xf numFmtId="165" fontId="4" fillId="0" borderId="27" xfId="42" applyNumberFormat="1" applyFont="1" applyFill="1" applyBorder="1" applyAlignment="1" quotePrefix="1">
      <alignment horizontal="centerContinuous" vertical="center" wrapText="1"/>
    </xf>
    <xf numFmtId="166" fontId="51" fillId="33" borderId="27" xfId="44" applyNumberFormat="1" applyFont="1" applyFill="1" applyBorder="1" applyAlignment="1">
      <alignment horizontal="centerContinuous" vertical="center"/>
    </xf>
    <xf numFmtId="43" fontId="51" fillId="33" borderId="27" xfId="42" applyFont="1" applyFill="1" applyBorder="1" applyAlignment="1">
      <alignment horizontal="centerContinuous" vertical="center"/>
    </xf>
    <xf numFmtId="43" fontId="51" fillId="33" borderId="27" xfId="42" applyNumberFormat="1" applyFont="1" applyFill="1" applyBorder="1" applyAlignment="1">
      <alignment horizontal="centerContinuous" vertical="center"/>
    </xf>
    <xf numFmtId="166" fontId="4" fillId="33" borderId="27" xfId="44" applyNumberFormat="1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 vertical="center"/>
    </xf>
    <xf numFmtId="166" fontId="51" fillId="0" borderId="28" xfId="44" applyNumberFormat="1" applyFont="1" applyFill="1" applyBorder="1" applyAlignment="1">
      <alignment horizontal="centerContinuous" vertical="center"/>
    </xf>
    <xf numFmtId="166" fontId="51" fillId="0" borderId="26" xfId="44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49" fontId="8" fillId="0" borderId="27" xfId="58" applyNumberFormat="1" applyFont="1" applyFill="1" applyBorder="1" applyAlignment="1">
      <alignment horizontal="centerContinuous" vertical="center" wrapText="1"/>
    </xf>
    <xf numFmtId="49" fontId="8" fillId="0" borderId="27" xfId="58" applyNumberFormat="1" applyFont="1" applyFill="1" applyBorder="1" applyAlignment="1" quotePrefix="1">
      <alignment horizontal="centerContinuous" vertical="center" wrapText="1"/>
    </xf>
    <xf numFmtId="49" fontId="8" fillId="0" borderId="28" xfId="0" applyNumberFormat="1" applyFont="1" applyFill="1" applyBorder="1" applyAlignment="1">
      <alignment horizontal="centerContinuous" vertical="center" wrapText="1"/>
    </xf>
    <xf numFmtId="0" fontId="10" fillId="0" borderId="16" xfId="55" applyNumberFormat="1" applyFont="1" applyFill="1" applyBorder="1" applyAlignment="1" quotePrefix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9" fontId="4" fillId="0" borderId="30" xfId="58" applyFont="1" applyFill="1" applyBorder="1" applyAlignment="1">
      <alignment horizontal="center" vertical="center"/>
    </xf>
    <xf numFmtId="164" fontId="51" fillId="33" borderId="27" xfId="58" applyNumberFormat="1" applyFont="1" applyFill="1" applyBorder="1" applyAlignment="1">
      <alignment horizontal="centerContinuous" vertical="center"/>
    </xf>
    <xf numFmtId="166" fontId="53" fillId="33" borderId="27" xfId="44" applyNumberFormat="1" applyFont="1" applyFill="1" applyBorder="1" applyAlignment="1">
      <alignment horizontal="centerContinuous" vertical="center"/>
    </xf>
    <xf numFmtId="164" fontId="53" fillId="0" borderId="27" xfId="58" applyNumberFormat="1" applyFont="1" applyBorder="1" applyAlignment="1">
      <alignment horizontal="centerContinuous" vertical="center"/>
    </xf>
    <xf numFmtId="166" fontId="51" fillId="33" borderId="31" xfId="44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/>
    </xf>
    <xf numFmtId="165" fontId="51" fillId="0" borderId="32" xfId="0" applyNumberFormat="1" applyFont="1" applyFill="1" applyBorder="1" applyAlignment="1">
      <alignment horizontal="center" vertical="center"/>
    </xf>
    <xf numFmtId="165" fontId="51" fillId="0" borderId="11" xfId="0" applyNumberFormat="1" applyFont="1" applyFill="1" applyBorder="1" applyAlignment="1">
      <alignment horizontal="center" vertical="center"/>
    </xf>
    <xf numFmtId="43" fontId="51" fillId="33" borderId="26" xfId="42" applyFont="1" applyFill="1" applyBorder="1" applyAlignment="1">
      <alignment horizontal="center" vertical="center"/>
    </xf>
    <xf numFmtId="43" fontId="51" fillId="33" borderId="11" xfId="42" applyNumberFormat="1" applyFont="1" applyFill="1" applyBorder="1" applyAlignment="1">
      <alignment horizontal="center" vertical="center"/>
    </xf>
    <xf numFmtId="166" fontId="51" fillId="33" borderId="33" xfId="44" applyNumberFormat="1" applyFont="1" applyFill="1" applyBorder="1" applyAlignment="1">
      <alignment horizontal="center" vertical="center"/>
    </xf>
    <xf numFmtId="166" fontId="51" fillId="33" borderId="11" xfId="44" applyNumberFormat="1" applyFont="1" applyFill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  <xf numFmtId="165" fontId="51" fillId="0" borderId="24" xfId="0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/>
    </xf>
    <xf numFmtId="43" fontId="51" fillId="33" borderId="13" xfId="42" applyFont="1" applyFill="1" applyBorder="1" applyAlignment="1">
      <alignment horizontal="center" vertical="center"/>
    </xf>
    <xf numFmtId="43" fontId="51" fillId="33" borderId="10" xfId="42" applyNumberFormat="1" applyFont="1" applyFill="1" applyBorder="1" applyAlignment="1">
      <alignment horizontal="center" vertical="center"/>
    </xf>
    <xf numFmtId="166" fontId="51" fillId="33" borderId="23" xfId="44" applyNumberFormat="1" applyFont="1" applyFill="1" applyBorder="1" applyAlignment="1">
      <alignment horizontal="center" vertical="center"/>
    </xf>
    <xf numFmtId="166" fontId="51" fillId="33" borderId="10" xfId="44" applyNumberFormat="1" applyFont="1" applyFill="1" applyBorder="1" applyAlignment="1">
      <alignment horizontal="center" vertical="center"/>
    </xf>
    <xf numFmtId="166" fontId="51" fillId="33" borderId="20" xfId="44" applyNumberFormat="1" applyFont="1" applyFill="1" applyBorder="1" applyAlignment="1">
      <alignment horizontal="center" vertical="center"/>
    </xf>
    <xf numFmtId="165" fontId="51" fillId="0" borderId="15" xfId="0" applyNumberFormat="1" applyFont="1" applyBorder="1" applyAlignment="1">
      <alignment horizontal="center" vertical="center"/>
    </xf>
    <xf numFmtId="165" fontId="51" fillId="0" borderId="0" xfId="0" applyNumberFormat="1" applyFont="1" applyBorder="1" applyAlignment="1">
      <alignment horizontal="center" vertical="center"/>
    </xf>
    <xf numFmtId="166" fontId="4" fillId="0" borderId="10" xfId="44" applyNumberFormat="1" applyFont="1" applyFill="1" applyBorder="1" applyAlignment="1">
      <alignment horizontal="center" vertical="center"/>
    </xf>
    <xf numFmtId="166" fontId="51" fillId="33" borderId="15" xfId="44" applyNumberFormat="1" applyFont="1" applyFill="1" applyBorder="1" applyAlignment="1">
      <alignment horizontal="center" vertical="center"/>
    </xf>
    <xf numFmtId="166" fontId="4" fillId="33" borderId="10" xfId="44" applyNumberFormat="1" applyFont="1" applyFill="1" applyBorder="1" applyAlignment="1">
      <alignment horizontal="center" vertical="center"/>
    </xf>
    <xf numFmtId="166" fontId="4" fillId="0" borderId="14" xfId="44" applyNumberFormat="1" applyFont="1" applyFill="1" applyBorder="1" applyAlignment="1">
      <alignment horizontal="center" vertical="center"/>
    </xf>
    <xf numFmtId="166" fontId="51" fillId="0" borderId="10" xfId="44" applyNumberFormat="1" applyFont="1" applyBorder="1" applyAlignment="1">
      <alignment horizontal="center" vertical="center"/>
    </xf>
    <xf numFmtId="165" fontId="51" fillId="0" borderId="24" xfId="0" applyNumberFormat="1" applyFont="1" applyBorder="1" applyAlignment="1">
      <alignment horizontal="center" vertical="center"/>
    </xf>
    <xf numFmtId="165" fontId="51" fillId="0" borderId="16" xfId="0" applyNumberFormat="1" applyFont="1" applyBorder="1" applyAlignment="1">
      <alignment horizontal="center" vertical="center"/>
    </xf>
    <xf numFmtId="43" fontId="51" fillId="33" borderId="25" xfId="42" applyFont="1" applyFill="1" applyBorder="1" applyAlignment="1">
      <alignment horizontal="center" vertical="center"/>
    </xf>
    <xf numFmtId="166" fontId="4" fillId="0" borderId="23" xfId="44" applyNumberFormat="1" applyFont="1" applyFill="1" applyBorder="1" applyAlignment="1">
      <alignment horizontal="center" vertical="center"/>
    </xf>
    <xf numFmtId="165" fontId="51" fillId="0" borderId="14" xfId="0" applyNumberFormat="1" applyFont="1" applyFill="1" applyBorder="1" applyAlignment="1">
      <alignment horizontal="center" vertical="center"/>
    </xf>
    <xf numFmtId="43" fontId="51" fillId="33" borderId="34" xfId="42" applyFont="1" applyFill="1" applyBorder="1" applyAlignment="1">
      <alignment horizontal="center" vertical="center"/>
    </xf>
    <xf numFmtId="43" fontId="51" fillId="33" borderId="10" xfId="42" applyFont="1" applyFill="1" applyBorder="1" applyAlignment="1">
      <alignment horizontal="center" vertical="center"/>
    </xf>
    <xf numFmtId="166" fontId="51" fillId="0" borderId="10" xfId="44" applyNumberFormat="1" applyFont="1" applyFill="1" applyBorder="1" applyAlignment="1">
      <alignment horizontal="center" vertical="center"/>
    </xf>
    <xf numFmtId="165" fontId="51" fillId="33" borderId="24" xfId="0" applyNumberFormat="1" applyFont="1" applyFill="1" applyBorder="1" applyAlignment="1">
      <alignment horizontal="center" vertical="center"/>
    </xf>
    <xf numFmtId="165" fontId="51" fillId="33" borderId="10" xfId="0" applyNumberFormat="1" applyFont="1" applyFill="1" applyBorder="1" applyAlignment="1">
      <alignment horizontal="center" vertical="center"/>
    </xf>
    <xf numFmtId="43" fontId="51" fillId="33" borderId="16" xfId="42" applyNumberFormat="1" applyFont="1" applyFill="1" applyBorder="1" applyAlignment="1">
      <alignment horizontal="center" vertical="center"/>
    </xf>
    <xf numFmtId="166" fontId="4" fillId="33" borderId="16" xfId="44" applyNumberFormat="1" applyFont="1" applyFill="1" applyBorder="1" applyAlignment="1">
      <alignment horizontal="center" vertical="center"/>
    </xf>
    <xf numFmtId="166" fontId="4" fillId="33" borderId="14" xfId="44" applyNumberFormat="1" applyFont="1" applyFill="1" applyBorder="1" applyAlignment="1">
      <alignment horizontal="center" vertical="center"/>
    </xf>
    <xf numFmtId="165" fontId="51" fillId="0" borderId="17" xfId="0" applyNumberFormat="1" applyFont="1" applyFill="1" applyBorder="1" applyAlignment="1">
      <alignment horizontal="center" vertical="center"/>
    </xf>
    <xf numFmtId="166" fontId="51" fillId="33" borderId="35" xfId="44" applyNumberFormat="1" applyFont="1" applyFill="1" applyBorder="1" applyAlignment="1">
      <alignment horizontal="center" vertical="center"/>
    </xf>
    <xf numFmtId="43" fontId="51" fillId="33" borderId="35" xfId="42" applyFont="1" applyFill="1" applyBorder="1" applyAlignment="1">
      <alignment horizontal="center" vertical="center"/>
    </xf>
    <xf numFmtId="166" fontId="51" fillId="33" borderId="36" xfId="44" applyNumberFormat="1" applyFont="1" applyFill="1" applyBorder="1" applyAlignment="1">
      <alignment horizontal="center" vertical="center"/>
    </xf>
    <xf numFmtId="166" fontId="51" fillId="0" borderId="20" xfId="44" applyNumberFormat="1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164" fontId="53" fillId="0" borderId="16" xfId="0" applyNumberFormat="1" applyFont="1" applyBorder="1" applyAlignment="1">
      <alignment horizontal="center" vertical="center"/>
    </xf>
    <xf numFmtId="165" fontId="51" fillId="0" borderId="37" xfId="0" applyNumberFormat="1" applyFont="1" applyFill="1" applyBorder="1" applyAlignment="1">
      <alignment horizontal="center" vertical="center"/>
    </xf>
    <xf numFmtId="165" fontId="51" fillId="0" borderId="12" xfId="0" applyNumberFormat="1" applyFont="1" applyFill="1" applyBorder="1" applyAlignment="1">
      <alignment horizontal="center" vertical="center"/>
    </xf>
    <xf numFmtId="166" fontId="51" fillId="33" borderId="38" xfId="44" applyNumberFormat="1" applyFont="1" applyFill="1" applyBorder="1" applyAlignment="1">
      <alignment horizontal="center" vertical="center"/>
    </xf>
    <xf numFmtId="43" fontId="51" fillId="33" borderId="38" xfId="42" applyFont="1" applyFill="1" applyBorder="1" applyAlignment="1">
      <alignment horizontal="center" vertical="center"/>
    </xf>
    <xf numFmtId="166" fontId="4" fillId="33" borderId="39" xfId="44" applyNumberFormat="1" applyFont="1" applyFill="1" applyBorder="1" applyAlignment="1">
      <alignment horizontal="center" vertical="center"/>
    </xf>
    <xf numFmtId="166" fontId="4" fillId="33" borderId="25" xfId="44" applyNumberFormat="1" applyFont="1" applyFill="1" applyBorder="1" applyAlignment="1">
      <alignment horizontal="center" vertical="center"/>
    </xf>
    <xf numFmtId="166" fontId="4" fillId="33" borderId="17" xfId="44" applyNumberFormat="1" applyFont="1" applyFill="1" applyBorder="1" applyAlignment="1">
      <alignment horizontal="center" vertical="center"/>
    </xf>
    <xf numFmtId="166" fontId="51" fillId="0" borderId="16" xfId="44" applyNumberFormat="1" applyFont="1" applyBorder="1" applyAlignment="1">
      <alignment horizontal="center" vertical="center"/>
    </xf>
    <xf numFmtId="165" fontId="51" fillId="0" borderId="28" xfId="0" applyNumberFormat="1" applyFont="1" applyFill="1" applyBorder="1" applyAlignment="1">
      <alignment horizontal="center" vertical="center"/>
    </xf>
    <xf numFmtId="166" fontId="51" fillId="33" borderId="40" xfId="44" applyNumberFormat="1" applyFont="1" applyFill="1" applyBorder="1" applyAlignment="1">
      <alignment horizontal="center" vertical="center"/>
    </xf>
    <xf numFmtId="166" fontId="51" fillId="33" borderId="41" xfId="44" applyNumberFormat="1" applyFont="1" applyFill="1" applyBorder="1" applyAlignment="1">
      <alignment horizontal="center" vertical="center"/>
    </xf>
    <xf numFmtId="165" fontId="4" fillId="0" borderId="27" xfId="42" applyNumberFormat="1" applyFont="1" applyFill="1" applyBorder="1" applyAlignment="1" quotePrefix="1">
      <alignment horizontal="center" vertical="center" wrapText="1"/>
    </xf>
    <xf numFmtId="165" fontId="51" fillId="0" borderId="42" xfId="0" applyNumberFormat="1" applyFont="1" applyBorder="1" applyAlignment="1">
      <alignment horizontal="center" vertical="center"/>
    </xf>
    <xf numFmtId="166" fontId="4" fillId="33" borderId="11" xfId="44" applyNumberFormat="1" applyFont="1" applyFill="1" applyBorder="1" applyAlignment="1">
      <alignment horizontal="center" vertical="center"/>
    </xf>
    <xf numFmtId="166" fontId="51" fillId="33" borderId="12" xfId="44" applyNumberFormat="1" applyFont="1" applyFill="1" applyBorder="1" applyAlignment="1">
      <alignment horizontal="center" vertical="center"/>
    </xf>
    <xf numFmtId="165" fontId="51" fillId="0" borderId="16" xfId="0" applyNumberFormat="1" applyFont="1" applyFill="1" applyBorder="1" applyAlignment="1">
      <alignment horizontal="center" vertical="center"/>
    </xf>
    <xf numFmtId="165" fontId="51" fillId="0" borderId="32" xfId="0" applyNumberFormat="1" applyFont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166" fontId="51" fillId="33" borderId="43" xfId="44" applyNumberFormat="1" applyFont="1" applyFill="1" applyBorder="1" applyAlignment="1">
      <alignment horizontal="center" vertical="center"/>
    </xf>
    <xf numFmtId="43" fontId="51" fillId="33" borderId="43" xfId="42" applyFont="1" applyFill="1" applyBorder="1" applyAlignment="1">
      <alignment horizontal="center" vertical="center"/>
    </xf>
    <xf numFmtId="43" fontId="51" fillId="33" borderId="20" xfId="42" applyNumberFormat="1" applyFont="1" applyFill="1" applyBorder="1" applyAlignment="1">
      <alignment horizontal="center" vertical="center"/>
    </xf>
    <xf numFmtId="166" fontId="4" fillId="33" borderId="20" xfId="44" applyNumberFormat="1" applyFont="1" applyFill="1" applyBorder="1" applyAlignment="1">
      <alignment horizontal="center" vertical="center"/>
    </xf>
    <xf numFmtId="165" fontId="51" fillId="0" borderId="44" xfId="0" applyNumberFormat="1" applyFont="1" applyFill="1" applyBorder="1" applyAlignment="1">
      <alignment horizontal="center" vertical="center"/>
    </xf>
    <xf numFmtId="43" fontId="51" fillId="33" borderId="13" xfId="42" applyNumberFormat="1" applyFont="1" applyFill="1" applyBorder="1" applyAlignment="1">
      <alignment horizontal="center" vertical="center"/>
    </xf>
    <xf numFmtId="166" fontId="4" fillId="33" borderId="13" xfId="44" applyNumberFormat="1" applyFont="1" applyFill="1" applyBorder="1" applyAlignment="1">
      <alignment horizontal="center" vertical="center"/>
    </xf>
    <xf numFmtId="165" fontId="51" fillId="0" borderId="20" xfId="0" applyNumberFormat="1" applyFont="1" applyFill="1" applyBorder="1" applyAlignment="1">
      <alignment horizontal="center" vertical="center"/>
    </xf>
    <xf numFmtId="164" fontId="53" fillId="0" borderId="10" xfId="58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7" xfId="58" applyNumberFormat="1" applyFont="1" applyFill="1" applyBorder="1" applyAlignment="1">
      <alignment horizontal="center" vertical="center"/>
    </xf>
    <xf numFmtId="49" fontId="2" fillId="0" borderId="28" xfId="58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1" xfId="58" applyNumberFormat="1" applyFont="1" applyFill="1" applyBorder="1" applyAlignment="1">
      <alignment horizontal="center" vertical="center" wrapText="1"/>
    </xf>
    <xf numFmtId="49" fontId="2" fillId="0" borderId="17" xfId="58" applyNumberFormat="1" applyFont="1" applyFill="1" applyBorder="1" applyAlignment="1" quotePrefix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8" fillId="0" borderId="16" xfId="58" applyNumberFormat="1" applyFont="1" applyFill="1" applyBorder="1" applyAlignment="1">
      <alignment horizontal="center" vertical="center" wrapText="1"/>
    </xf>
    <xf numFmtId="49" fontId="8" fillId="0" borderId="16" xfId="58" applyNumberFormat="1" applyFont="1" applyFill="1" applyBorder="1" applyAlignment="1" quotePrefix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58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Continuous" vertical="center" wrapText="1"/>
    </xf>
    <xf numFmtId="49" fontId="2" fillId="0" borderId="21" xfId="0" applyNumberFormat="1" applyFont="1" applyFill="1" applyBorder="1" applyAlignment="1">
      <alignment horizontal="centerContinuous" vertical="center" wrapText="1"/>
    </xf>
    <xf numFmtId="49" fontId="6" fillId="0" borderId="12" xfId="0" applyNumberFormat="1" applyFont="1" applyFill="1" applyBorder="1" applyAlignment="1">
      <alignment horizontal="centerContinuous" vertical="center" wrapText="1"/>
    </xf>
    <xf numFmtId="49" fontId="3" fillId="0" borderId="18" xfId="0" applyNumberFormat="1" applyFont="1" applyFill="1" applyBorder="1" applyAlignment="1">
      <alignment horizontal="centerContinuous" vertical="center" wrapText="1"/>
    </xf>
    <xf numFmtId="49" fontId="2" fillId="34" borderId="18" xfId="0" applyNumberFormat="1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Continuous" vertical="center" wrapText="1"/>
    </xf>
    <xf numFmtId="0" fontId="0" fillId="0" borderId="21" xfId="0" applyBorder="1" applyAlignment="1">
      <alignment horizontal="centerContinuous" vertical="center"/>
    </xf>
    <xf numFmtId="49" fontId="6" fillId="0" borderId="19" xfId="0" applyNumberFormat="1" applyFont="1" applyFill="1" applyBorder="1" applyAlignment="1">
      <alignment horizontal="centerContinuous" vertical="center" wrapText="1"/>
    </xf>
    <xf numFmtId="49" fontId="2" fillId="34" borderId="19" xfId="0" applyNumberFormat="1" applyFont="1" applyFill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43" fontId="51" fillId="33" borderId="25" xfId="42" applyFont="1" applyFill="1" applyBorder="1" applyAlignment="1">
      <alignment vertical="center"/>
    </xf>
    <xf numFmtId="164" fontId="51" fillId="33" borderId="10" xfId="58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left" vertical="center"/>
    </xf>
    <xf numFmtId="0" fontId="33" fillId="0" borderId="0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57421875" style="0" customWidth="1"/>
    <col min="2" max="3" width="9.140625" style="0" hidden="1" customWidth="1"/>
    <col min="4" max="4" width="9.140625" style="0" customWidth="1"/>
    <col min="5" max="5" width="12.421875" style="161" customWidth="1"/>
    <col min="6" max="7" width="9.140625" style="161" customWidth="1"/>
    <col min="8" max="9" width="9.140625" style="161" hidden="1" customWidth="1"/>
    <col min="10" max="10" width="12.00390625" style="161" hidden="1" customWidth="1"/>
    <col min="11" max="11" width="12.28125" style="161" customWidth="1"/>
    <col min="12" max="12" width="11.28125" style="161" customWidth="1"/>
    <col min="13" max="13" width="13.00390625" style="161" bestFit="1" customWidth="1"/>
    <col min="14" max="14" width="15.00390625" style="161" bestFit="1" customWidth="1"/>
    <col min="15" max="15" width="15.421875" style="161" customWidth="1"/>
    <col min="16" max="16" width="14.140625" style="161" customWidth="1"/>
    <col min="17" max="17" width="10.8515625" style="161" hidden="1" customWidth="1"/>
    <col min="18" max="18" width="14.28125" style="161" customWidth="1"/>
    <col min="19" max="19" width="15.00390625" style="161" bestFit="1" customWidth="1"/>
    <col min="20" max="20" width="15.00390625" style="161" customWidth="1"/>
    <col min="21" max="21" width="0" style="161" hidden="1" customWidth="1"/>
    <col min="22" max="22" width="11.57421875" style="161" hidden="1" customWidth="1"/>
    <col min="23" max="23" width="14.140625" style="161" customWidth="1"/>
    <col min="24" max="24" width="9.140625" style="161" customWidth="1"/>
  </cols>
  <sheetData>
    <row r="1" spans="1:23" ht="30.75" customHeight="1">
      <c r="A1" s="38"/>
      <c r="B1" s="33" t="s">
        <v>0</v>
      </c>
      <c r="C1" s="34"/>
      <c r="D1" s="34"/>
      <c r="E1" s="157"/>
      <c r="F1" s="157"/>
      <c r="G1" s="158"/>
      <c r="H1" s="159"/>
      <c r="I1" s="160"/>
      <c r="J1" s="87" t="s">
        <v>1</v>
      </c>
      <c r="K1" s="37" t="s">
        <v>132</v>
      </c>
      <c r="L1" s="181"/>
      <c r="M1" s="181"/>
      <c r="N1" s="182"/>
      <c r="O1" s="37" t="s">
        <v>133</v>
      </c>
      <c r="P1" s="184"/>
      <c r="Q1" s="184"/>
      <c r="R1" s="184"/>
      <c r="S1" s="185"/>
      <c r="T1" s="186"/>
      <c r="U1" s="187"/>
      <c r="V1" s="187"/>
      <c r="W1" s="188"/>
    </row>
    <row r="2" spans="1:23" ht="11.25" customHeight="1">
      <c r="A2" s="39"/>
      <c r="B2" s="35"/>
      <c r="C2" s="36"/>
      <c r="D2" s="36"/>
      <c r="E2" s="162"/>
      <c r="F2" s="162"/>
      <c r="G2" s="163"/>
      <c r="H2" s="164"/>
      <c r="I2" s="165"/>
      <c r="J2" s="166" t="s">
        <v>2</v>
      </c>
      <c r="K2" s="166"/>
      <c r="L2" s="167"/>
      <c r="M2" s="167"/>
      <c r="N2" s="168"/>
      <c r="O2" s="183" t="s">
        <v>134</v>
      </c>
      <c r="P2" s="189"/>
      <c r="Q2" s="189"/>
      <c r="R2" s="189"/>
      <c r="S2" s="190"/>
      <c r="T2" s="191"/>
      <c r="U2" s="192"/>
      <c r="V2" s="192"/>
      <c r="W2" s="193"/>
    </row>
    <row r="3" spans="1:23" ht="92.25" customHeight="1">
      <c r="A3" s="194" t="s">
        <v>125</v>
      </c>
      <c r="B3" s="173" t="s">
        <v>84</v>
      </c>
      <c r="C3" s="169" t="s">
        <v>3</v>
      </c>
      <c r="D3" s="169" t="s">
        <v>85</v>
      </c>
      <c r="E3" s="169" t="s">
        <v>88</v>
      </c>
      <c r="F3" s="169" t="s">
        <v>86</v>
      </c>
      <c r="G3" s="169" t="s">
        <v>124</v>
      </c>
      <c r="H3" s="170" t="s">
        <v>4</v>
      </c>
      <c r="I3" s="171" t="s">
        <v>5</v>
      </c>
      <c r="J3" s="172" t="s">
        <v>6</v>
      </c>
      <c r="K3" s="173" t="s">
        <v>138</v>
      </c>
      <c r="L3" s="174" t="s">
        <v>89</v>
      </c>
      <c r="M3" s="174" t="s">
        <v>87</v>
      </c>
      <c r="N3" s="173" t="s">
        <v>7</v>
      </c>
      <c r="O3" s="174" t="s">
        <v>91</v>
      </c>
      <c r="P3" s="174" t="s">
        <v>92</v>
      </c>
      <c r="Q3" s="174" t="s">
        <v>8</v>
      </c>
      <c r="R3" s="174" t="s">
        <v>122</v>
      </c>
      <c r="S3" s="173" t="s">
        <v>93</v>
      </c>
      <c r="T3" s="173" t="s">
        <v>94</v>
      </c>
      <c r="U3" s="173" t="s">
        <v>9</v>
      </c>
      <c r="V3" s="169" t="s">
        <v>10</v>
      </c>
      <c r="W3" s="173" t="s">
        <v>123</v>
      </c>
    </row>
    <row r="4" spans="1:23" ht="36" customHeight="1">
      <c r="A4" s="195" t="s">
        <v>131</v>
      </c>
      <c r="B4" s="73"/>
      <c r="C4" s="74"/>
      <c r="D4" s="74"/>
      <c r="E4" s="74"/>
      <c r="F4" s="74"/>
      <c r="G4" s="74"/>
      <c r="H4" s="75"/>
      <c r="I4" s="76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  <c r="W4" s="77"/>
    </row>
    <row r="5" spans="1:23" ht="72.75" customHeight="1">
      <c r="A5" s="56" t="s">
        <v>116</v>
      </c>
      <c r="B5" s="2" t="s">
        <v>11</v>
      </c>
      <c r="C5" s="3">
        <v>360</v>
      </c>
      <c r="D5" s="4">
        <v>393</v>
      </c>
      <c r="E5" s="88">
        <v>0.9491062801932367</v>
      </c>
      <c r="F5" s="89">
        <v>401</v>
      </c>
      <c r="G5" s="90">
        <v>396</v>
      </c>
      <c r="H5" s="5" t="s">
        <v>12</v>
      </c>
      <c r="I5" s="6" t="s">
        <v>13</v>
      </c>
      <c r="J5" s="57">
        <f>501595-315391</f>
        <v>186204</v>
      </c>
      <c r="K5" s="91">
        <f>501595/315391</f>
        <v>1.5903909750119694</v>
      </c>
      <c r="L5" s="92">
        <v>0.556</v>
      </c>
      <c r="M5" s="57">
        <v>211020</v>
      </c>
      <c r="N5" s="57">
        <v>284249</v>
      </c>
      <c r="O5" s="57">
        <v>-8455</v>
      </c>
      <c r="P5" s="57">
        <v>4049</v>
      </c>
      <c r="Q5" s="57"/>
      <c r="R5" s="57">
        <v>84771</v>
      </c>
      <c r="S5" s="72">
        <v>64774</v>
      </c>
      <c r="T5" s="57">
        <v>288298</v>
      </c>
      <c r="U5" s="93"/>
      <c r="V5" s="58" t="s">
        <v>14</v>
      </c>
      <c r="W5" s="94">
        <v>369020</v>
      </c>
    </row>
    <row r="6" spans="1:23" ht="71.25" customHeight="1">
      <c r="A6" s="1" t="s">
        <v>128</v>
      </c>
      <c r="B6" s="9" t="s">
        <v>15</v>
      </c>
      <c r="C6" s="10">
        <v>420</v>
      </c>
      <c r="D6" s="11">
        <v>178</v>
      </c>
      <c r="E6" s="95">
        <v>0.9404232804232805</v>
      </c>
      <c r="F6" s="96">
        <v>255</v>
      </c>
      <c r="G6" s="97">
        <v>255</v>
      </c>
      <c r="H6" s="12" t="s">
        <v>16</v>
      </c>
      <c r="I6" s="13" t="s">
        <v>17</v>
      </c>
      <c r="J6" s="15">
        <f>452676-157483</f>
        <v>295193</v>
      </c>
      <c r="K6" s="98">
        <f>452676/157483</f>
        <v>2.874443590736778</v>
      </c>
      <c r="L6" s="99">
        <v>0.342</v>
      </c>
      <c r="M6" s="15">
        <v>169828</v>
      </c>
      <c r="N6" s="15">
        <v>303173</v>
      </c>
      <c r="O6" s="15">
        <v>13700</v>
      </c>
      <c r="P6" s="15">
        <v>-215</v>
      </c>
      <c r="Q6" s="15"/>
      <c r="R6" s="15">
        <v>92547</v>
      </c>
      <c r="S6" s="7">
        <v>142219</v>
      </c>
      <c r="T6" s="15">
        <v>302958</v>
      </c>
      <c r="U6" s="100"/>
      <c r="V6" s="8" t="s">
        <v>14</v>
      </c>
      <c r="W6" s="101">
        <v>395720</v>
      </c>
    </row>
    <row r="7" spans="1:23" ht="66" customHeight="1">
      <c r="A7" s="1" t="s">
        <v>117</v>
      </c>
      <c r="B7" s="9" t="s">
        <v>11</v>
      </c>
      <c r="C7" s="10">
        <v>360</v>
      </c>
      <c r="D7" s="11">
        <v>263</v>
      </c>
      <c r="E7" s="95">
        <v>0.9618315018315018</v>
      </c>
      <c r="F7" s="96">
        <v>272.53</v>
      </c>
      <c r="G7" s="97">
        <v>268</v>
      </c>
      <c r="H7" s="12" t="s">
        <v>18</v>
      </c>
      <c r="I7" s="13" t="s">
        <v>19</v>
      </c>
      <c r="J7" s="15">
        <f>67110-183028</f>
        <v>-115918</v>
      </c>
      <c r="K7" s="98">
        <f>67110/183028</f>
        <v>0.3666652096946915</v>
      </c>
      <c r="L7" s="99">
        <v>0.464</v>
      </c>
      <c r="M7" s="15">
        <v>54573</v>
      </c>
      <c r="N7" s="15">
        <v>211162</v>
      </c>
      <c r="O7" s="15">
        <v>-62871</v>
      </c>
      <c r="P7" s="15">
        <v>-58180</v>
      </c>
      <c r="Q7" s="15"/>
      <c r="R7" s="15">
        <v>-11234</v>
      </c>
      <c r="S7" s="7">
        <v>93719</v>
      </c>
      <c r="T7" s="15">
        <v>152982</v>
      </c>
      <c r="U7" s="100"/>
      <c r="V7" s="8" t="s">
        <v>14</v>
      </c>
      <c r="W7" s="101">
        <v>199928</v>
      </c>
    </row>
    <row r="8" spans="1:23" ht="46.5">
      <c r="A8" s="1" t="s">
        <v>96</v>
      </c>
      <c r="B8" s="9" t="s">
        <v>20</v>
      </c>
      <c r="C8" s="10">
        <v>420</v>
      </c>
      <c r="D8" s="11">
        <v>288</v>
      </c>
      <c r="E8" s="95">
        <v>0.9732094594594595</v>
      </c>
      <c r="F8" s="96">
        <v>289.32</v>
      </c>
      <c r="G8" s="97">
        <v>286</v>
      </c>
      <c r="H8" s="12" t="s">
        <v>21</v>
      </c>
      <c r="I8" s="13" t="s">
        <v>22</v>
      </c>
      <c r="J8" s="15">
        <f>881233-347983</f>
        <v>533250</v>
      </c>
      <c r="K8" s="98">
        <f>881233/347983</f>
        <v>2.5324024449470235</v>
      </c>
      <c r="L8" s="99">
        <v>0.505</v>
      </c>
      <c r="M8" s="15">
        <v>25559</v>
      </c>
      <c r="N8" s="15">
        <v>467687</v>
      </c>
      <c r="O8" s="15">
        <v>85431</v>
      </c>
      <c r="P8" s="15">
        <v>-17315</v>
      </c>
      <c r="Q8" s="15"/>
      <c r="R8" s="15">
        <v>53781</v>
      </c>
      <c r="S8" s="7">
        <v>593703</v>
      </c>
      <c r="T8" s="15">
        <v>450372</v>
      </c>
      <c r="U8" s="100"/>
      <c r="V8" s="8" t="s">
        <v>14</v>
      </c>
      <c r="W8" s="101">
        <v>521468</v>
      </c>
    </row>
    <row r="9" spans="1:23" ht="50.25" customHeight="1">
      <c r="A9" s="1" t="s">
        <v>97</v>
      </c>
      <c r="B9" s="9" t="s">
        <v>11</v>
      </c>
      <c r="C9" s="10">
        <v>360</v>
      </c>
      <c r="D9" s="11">
        <v>390</v>
      </c>
      <c r="E9" s="95">
        <v>0.9639259259259259</v>
      </c>
      <c r="F9" s="96">
        <v>392.58</v>
      </c>
      <c r="G9" s="97">
        <v>388</v>
      </c>
      <c r="H9" s="12" t="s">
        <v>23</v>
      </c>
      <c r="I9" s="13" t="s">
        <v>24</v>
      </c>
      <c r="J9" s="15">
        <f>933999-331097</f>
        <v>602902</v>
      </c>
      <c r="K9" s="98">
        <f>933999/331097</f>
        <v>2.820922569518902</v>
      </c>
      <c r="L9" s="99">
        <v>0.37</v>
      </c>
      <c r="M9" s="15">
        <v>130768</v>
      </c>
      <c r="N9" s="15">
        <v>630598</v>
      </c>
      <c r="O9" s="15">
        <v>-21765</v>
      </c>
      <c r="P9" s="15">
        <v>2581</v>
      </c>
      <c r="Q9" s="15"/>
      <c r="R9" s="15">
        <v>135842</v>
      </c>
      <c r="S9" s="7">
        <v>478065</v>
      </c>
      <c r="T9" s="15">
        <v>633179</v>
      </c>
      <c r="U9" s="100"/>
      <c r="V9" s="8" t="s">
        <v>14</v>
      </c>
      <c r="W9" s="101">
        <v>766440</v>
      </c>
    </row>
    <row r="10" spans="1:23" ht="47.25" customHeight="1">
      <c r="A10" s="1" t="s">
        <v>98</v>
      </c>
      <c r="B10" s="9" t="s">
        <v>11</v>
      </c>
      <c r="C10" s="10">
        <v>360</v>
      </c>
      <c r="D10" s="11">
        <v>287</v>
      </c>
      <c r="E10" s="95">
        <v>0.9758843537414967</v>
      </c>
      <c r="F10" s="96">
        <v>292.17</v>
      </c>
      <c r="G10" s="97">
        <v>290</v>
      </c>
      <c r="H10" s="12" t="s">
        <v>25</v>
      </c>
      <c r="I10" s="13" t="s">
        <v>26</v>
      </c>
      <c r="J10" s="15">
        <f>732498-388883</f>
        <v>343615</v>
      </c>
      <c r="K10" s="98">
        <f>732498/388883</f>
        <v>1.8835948087213892</v>
      </c>
      <c r="L10" s="99">
        <v>0.646</v>
      </c>
      <c r="M10" s="15">
        <v>13985</v>
      </c>
      <c r="N10" s="15">
        <v>284429</v>
      </c>
      <c r="O10" s="15">
        <v>-19863</v>
      </c>
      <c r="P10" s="15">
        <v>-27715</v>
      </c>
      <c r="Q10" s="15"/>
      <c r="R10" s="15">
        <v>366932</v>
      </c>
      <c r="S10" s="7">
        <v>320835</v>
      </c>
      <c r="T10" s="15">
        <v>256714</v>
      </c>
      <c r="U10" s="100"/>
      <c r="V10" s="8" t="s">
        <v>14</v>
      </c>
      <c r="W10" s="101">
        <v>651361</v>
      </c>
    </row>
    <row r="11" spans="1:23" ht="62.25" customHeight="1">
      <c r="A11" s="1" t="s">
        <v>129</v>
      </c>
      <c r="B11" s="9" t="s">
        <v>15</v>
      </c>
      <c r="C11" s="10">
        <v>500</v>
      </c>
      <c r="D11" s="11">
        <v>299</v>
      </c>
      <c r="E11" s="95">
        <v>0.9524203821656051</v>
      </c>
      <c r="F11" s="96">
        <v>318</v>
      </c>
      <c r="G11" s="97">
        <v>315</v>
      </c>
      <c r="H11" s="12" t="s">
        <v>27</v>
      </c>
      <c r="I11" s="13" t="s">
        <v>28</v>
      </c>
      <c r="J11" s="15">
        <f>1035878-673180</f>
        <v>362698</v>
      </c>
      <c r="K11" s="98">
        <f>1035878/673180</f>
        <v>1.538783089218337</v>
      </c>
      <c r="L11" s="99">
        <v>0.688</v>
      </c>
      <c r="M11" s="15">
        <v>204413</v>
      </c>
      <c r="N11" s="15">
        <v>323517</v>
      </c>
      <c r="O11" s="15">
        <v>-75309</v>
      </c>
      <c r="P11" s="15">
        <v>-100679</v>
      </c>
      <c r="Q11" s="15"/>
      <c r="R11" s="15">
        <v>-25866</v>
      </c>
      <c r="S11" s="7">
        <v>53623</v>
      </c>
      <c r="T11" s="15">
        <v>222838</v>
      </c>
      <c r="U11" s="100"/>
      <c r="V11" s="8" t="s">
        <v>14</v>
      </c>
      <c r="W11" s="102">
        <v>297651</v>
      </c>
    </row>
    <row r="12" spans="1:23" ht="48" customHeight="1">
      <c r="A12" s="1" t="s">
        <v>99</v>
      </c>
      <c r="B12" s="9" t="s">
        <v>20</v>
      </c>
      <c r="C12" s="10">
        <v>432</v>
      </c>
      <c r="D12" s="11">
        <v>310</v>
      </c>
      <c r="E12" s="95">
        <v>0.911235294117647</v>
      </c>
      <c r="F12" s="103">
        <v>310.45</v>
      </c>
      <c r="G12" s="104">
        <v>310</v>
      </c>
      <c r="H12" s="12" t="s">
        <v>29</v>
      </c>
      <c r="I12" s="13" t="s">
        <v>30</v>
      </c>
      <c r="J12" s="15">
        <f>679442-103509</f>
        <v>575933</v>
      </c>
      <c r="K12" s="98">
        <f>679442/103509</f>
        <v>6.56408621472529</v>
      </c>
      <c r="L12" s="99">
        <v>0.149</v>
      </c>
      <c r="M12" s="15">
        <v>165440</v>
      </c>
      <c r="N12" s="105">
        <v>589657</v>
      </c>
      <c r="O12" s="15">
        <v>120514</v>
      </c>
      <c r="P12" s="15">
        <v>155784</v>
      </c>
      <c r="Q12" s="15"/>
      <c r="R12" s="106">
        <v>213351</v>
      </c>
      <c r="S12" s="14">
        <v>120514</v>
      </c>
      <c r="T12" s="107">
        <v>745441</v>
      </c>
      <c r="U12" s="108"/>
      <c r="V12" s="8" t="s">
        <v>14</v>
      </c>
      <c r="W12" s="109">
        <v>803008</v>
      </c>
    </row>
    <row r="13" spans="1:23" ht="44.25" customHeight="1">
      <c r="A13" s="1" t="s">
        <v>102</v>
      </c>
      <c r="B13" s="9" t="s">
        <v>38</v>
      </c>
      <c r="C13" s="10">
        <v>410</v>
      </c>
      <c r="D13" s="11">
        <v>279</v>
      </c>
      <c r="E13" s="95">
        <v>0.9296</v>
      </c>
      <c r="F13" s="110">
        <v>371.18</v>
      </c>
      <c r="G13" s="111">
        <v>371</v>
      </c>
      <c r="H13" s="20" t="s">
        <v>39</v>
      </c>
      <c r="I13" s="24" t="s">
        <v>40</v>
      </c>
      <c r="J13" s="54">
        <f>979293-730759</f>
        <v>248534</v>
      </c>
      <c r="K13" s="112">
        <f>979293/730759</f>
        <v>1.3401039193496078</v>
      </c>
      <c r="L13" s="99">
        <v>0.848</v>
      </c>
      <c r="M13" s="15">
        <v>43764</v>
      </c>
      <c r="N13" s="105">
        <v>148534</v>
      </c>
      <c r="O13" s="15">
        <f>-456760+475000</f>
        <v>18240</v>
      </c>
      <c r="P13" s="15">
        <v>149031</v>
      </c>
      <c r="Q13" s="15"/>
      <c r="R13" s="15">
        <v>149031</v>
      </c>
      <c r="S13" s="16">
        <v>18240</v>
      </c>
      <c r="T13" s="107">
        <v>38485</v>
      </c>
      <c r="U13" s="113"/>
      <c r="V13" s="8" t="s">
        <v>14</v>
      </c>
      <c r="W13" s="101">
        <v>38485</v>
      </c>
    </row>
    <row r="14" spans="1:23" ht="50.25" customHeight="1">
      <c r="A14" s="1" t="s">
        <v>103</v>
      </c>
      <c r="B14" s="9" t="s">
        <v>11</v>
      </c>
      <c r="C14" s="10">
        <v>500</v>
      </c>
      <c r="D14" s="11">
        <v>379</v>
      </c>
      <c r="E14" s="95">
        <v>0.9601518987341772</v>
      </c>
      <c r="F14" s="96">
        <v>404.34</v>
      </c>
      <c r="G14" s="114">
        <v>404</v>
      </c>
      <c r="H14" s="12" t="s">
        <v>41</v>
      </c>
      <c r="I14" s="13" t="s">
        <v>42</v>
      </c>
      <c r="J14" s="86">
        <f>1138295-989434</f>
        <v>148861</v>
      </c>
      <c r="K14" s="115">
        <f>1138295/989434</f>
        <v>1.1504506616914316</v>
      </c>
      <c r="L14" s="99">
        <v>0.869</v>
      </c>
      <c r="M14" s="15">
        <v>148849</v>
      </c>
      <c r="N14" s="105">
        <v>148861</v>
      </c>
      <c r="O14" s="15">
        <v>80930</v>
      </c>
      <c r="P14" s="15">
        <v>80430</v>
      </c>
      <c r="Q14" s="15"/>
      <c r="R14" s="15">
        <v>148249</v>
      </c>
      <c r="S14" s="7">
        <v>225930</v>
      </c>
      <c r="T14" s="107">
        <v>229290</v>
      </c>
      <c r="U14" s="113"/>
      <c r="V14" s="8" t="s">
        <v>14</v>
      </c>
      <c r="W14" s="109">
        <v>297109</v>
      </c>
    </row>
    <row r="15" spans="1:23" ht="51.75" customHeight="1">
      <c r="A15" s="1" t="s">
        <v>104</v>
      </c>
      <c r="B15" s="17" t="s">
        <v>38</v>
      </c>
      <c r="C15" s="10">
        <v>560</v>
      </c>
      <c r="D15" s="11">
        <v>575</v>
      </c>
      <c r="E15" s="95">
        <v>0.9460526315789475</v>
      </c>
      <c r="F15" s="96">
        <v>601.29</v>
      </c>
      <c r="G15" s="114">
        <v>601</v>
      </c>
      <c r="H15" s="12" t="s">
        <v>43</v>
      </c>
      <c r="I15" s="13" t="s">
        <v>44</v>
      </c>
      <c r="J15" s="86">
        <f>1578680-1195159</f>
        <v>383521</v>
      </c>
      <c r="K15" s="115">
        <v>1.68</v>
      </c>
      <c r="L15" s="99">
        <v>0.58</v>
      </c>
      <c r="M15" s="15">
        <v>200720</v>
      </c>
      <c r="N15" s="105">
        <v>744301</v>
      </c>
      <c r="O15" s="15">
        <v>115304</v>
      </c>
      <c r="P15" s="15">
        <v>133337</v>
      </c>
      <c r="Q15" s="15"/>
      <c r="R15" s="15">
        <v>160733</v>
      </c>
      <c r="S15" s="7">
        <v>539422</v>
      </c>
      <c r="T15" s="107">
        <v>520681</v>
      </c>
      <c r="U15" s="108"/>
      <c r="V15" s="8" t="s">
        <v>14</v>
      </c>
      <c r="W15" s="109">
        <v>905032</v>
      </c>
    </row>
    <row r="16" spans="1:23" ht="61.5" customHeight="1">
      <c r="A16" s="1" t="s">
        <v>105</v>
      </c>
      <c r="B16" s="17" t="s">
        <v>38</v>
      </c>
      <c r="C16" s="10">
        <v>560</v>
      </c>
      <c r="D16" s="11">
        <v>506</v>
      </c>
      <c r="E16" s="95">
        <v>0.9383487940630797</v>
      </c>
      <c r="F16" s="96">
        <v>515</v>
      </c>
      <c r="G16" s="97">
        <v>516</v>
      </c>
      <c r="H16" s="12" t="s">
        <v>45</v>
      </c>
      <c r="I16" s="13" t="s">
        <v>46</v>
      </c>
      <c r="J16" s="101">
        <f>1006958-657847</f>
        <v>349111</v>
      </c>
      <c r="K16" s="116">
        <v>1.32</v>
      </c>
      <c r="L16" s="99">
        <v>0.76</v>
      </c>
      <c r="M16" s="15">
        <v>90156</v>
      </c>
      <c r="N16" s="105">
        <v>387344</v>
      </c>
      <c r="O16" s="15">
        <v>64749</v>
      </c>
      <c r="P16" s="15">
        <v>64749</v>
      </c>
      <c r="Q16" s="15"/>
      <c r="R16" s="15">
        <v>178595</v>
      </c>
      <c r="S16" s="7">
        <v>379749</v>
      </c>
      <c r="T16" s="107">
        <v>413859</v>
      </c>
      <c r="U16" s="108"/>
      <c r="V16" s="8" t="s">
        <v>14</v>
      </c>
      <c r="W16" s="109">
        <v>565939</v>
      </c>
    </row>
    <row r="17" spans="1:23" ht="55.5" customHeight="1">
      <c r="A17" s="1" t="s">
        <v>106</v>
      </c>
      <c r="B17" s="17" t="s">
        <v>34</v>
      </c>
      <c r="C17" s="10">
        <v>420</v>
      </c>
      <c r="D17" s="11">
        <v>324</v>
      </c>
      <c r="E17" s="95">
        <v>0.9627976190476191</v>
      </c>
      <c r="F17" s="96">
        <v>325.22</v>
      </c>
      <c r="G17" s="97">
        <v>325</v>
      </c>
      <c r="H17" s="12" t="s">
        <v>16</v>
      </c>
      <c r="I17" s="13" t="s">
        <v>47</v>
      </c>
      <c r="J17" s="101">
        <f>1705138-1013905</f>
        <v>691233</v>
      </c>
      <c r="K17" s="116">
        <v>1.53</v>
      </c>
      <c r="L17" s="99">
        <v>0.65</v>
      </c>
      <c r="M17" s="15">
        <v>348993</v>
      </c>
      <c r="N17" s="105">
        <v>349111</v>
      </c>
      <c r="O17" s="15">
        <v>154962</v>
      </c>
      <c r="P17" s="15">
        <v>154962</v>
      </c>
      <c r="Q17" s="15"/>
      <c r="R17" s="15">
        <v>119082</v>
      </c>
      <c r="S17" s="7">
        <v>657962</v>
      </c>
      <c r="T17" s="107">
        <v>899261</v>
      </c>
      <c r="U17" s="108"/>
      <c r="V17" s="8" t="s">
        <v>14</v>
      </c>
      <c r="W17" s="109">
        <v>468192</v>
      </c>
    </row>
    <row r="18" spans="1:23" ht="52.5" customHeight="1">
      <c r="A18" s="1" t="s">
        <v>107</v>
      </c>
      <c r="B18" s="17" t="s">
        <v>34</v>
      </c>
      <c r="C18" s="10">
        <v>420</v>
      </c>
      <c r="D18" s="11">
        <v>324</v>
      </c>
      <c r="E18" s="95">
        <v>0.9610385756676558</v>
      </c>
      <c r="F18" s="96">
        <v>334</v>
      </c>
      <c r="G18" s="97">
        <v>336</v>
      </c>
      <c r="H18" s="12" t="s">
        <v>48</v>
      </c>
      <c r="I18" s="13" t="s">
        <v>49</v>
      </c>
      <c r="J18" s="101">
        <f>892986-509228</f>
        <v>383758</v>
      </c>
      <c r="K18" s="116">
        <f>892986/509228</f>
        <v>1.7536074214300863</v>
      </c>
      <c r="L18" s="99">
        <v>0.558</v>
      </c>
      <c r="M18" s="15">
        <v>169930</v>
      </c>
      <c r="N18" s="107">
        <v>402958</v>
      </c>
      <c r="O18" s="15">
        <v>67775</v>
      </c>
      <c r="P18" s="15">
        <v>67775</v>
      </c>
      <c r="Q18" s="15"/>
      <c r="R18" s="15">
        <v>98578</v>
      </c>
      <c r="S18" s="15">
        <v>742775</v>
      </c>
      <c r="T18" s="107">
        <v>470733</v>
      </c>
      <c r="U18" s="108"/>
      <c r="V18" s="8" t="s">
        <v>14</v>
      </c>
      <c r="W18" s="109">
        <v>501536</v>
      </c>
    </row>
    <row r="19" spans="1:23" ht="46.5" customHeight="1">
      <c r="A19" s="1" t="s">
        <v>108</v>
      </c>
      <c r="B19" s="17" t="s">
        <v>15</v>
      </c>
      <c r="C19" s="10">
        <v>340</v>
      </c>
      <c r="D19" s="11">
        <v>315</v>
      </c>
      <c r="E19" s="95">
        <v>0.9401492537313433</v>
      </c>
      <c r="F19" s="96">
        <v>362.18</v>
      </c>
      <c r="G19" s="97">
        <v>353</v>
      </c>
      <c r="H19" s="12" t="s">
        <v>52</v>
      </c>
      <c r="I19" s="13" t="s">
        <v>53</v>
      </c>
      <c r="J19" s="101">
        <f>1675646-674736</f>
        <v>1000910</v>
      </c>
      <c r="K19" s="116">
        <f>1675646/674736</f>
        <v>2.4834098076877473</v>
      </c>
      <c r="L19" s="99">
        <v>0.348</v>
      </c>
      <c r="M19" s="15">
        <v>180787</v>
      </c>
      <c r="N19" s="107">
        <v>1754515</v>
      </c>
      <c r="O19" s="15">
        <v>50762</v>
      </c>
      <c r="P19" s="15">
        <v>17676</v>
      </c>
      <c r="Q19" s="15"/>
      <c r="R19" s="15">
        <v>36322</v>
      </c>
      <c r="S19" s="15">
        <v>1515174</v>
      </c>
      <c r="T19" s="107">
        <v>1589901</v>
      </c>
      <c r="U19" s="108"/>
      <c r="V19" s="8" t="s">
        <v>14</v>
      </c>
      <c r="W19" s="117">
        <v>1790837</v>
      </c>
    </row>
    <row r="20" spans="1:23" ht="64.5" customHeight="1">
      <c r="A20" s="18" t="s">
        <v>130</v>
      </c>
      <c r="B20" s="17" t="s">
        <v>38</v>
      </c>
      <c r="C20" s="10">
        <v>540</v>
      </c>
      <c r="D20" s="11">
        <v>184</v>
      </c>
      <c r="E20" s="95">
        <v>0.9744253490870033</v>
      </c>
      <c r="F20" s="96">
        <v>316.69</v>
      </c>
      <c r="G20" s="97">
        <v>317</v>
      </c>
      <c r="H20" s="12" t="s">
        <v>54</v>
      </c>
      <c r="I20" s="13" t="s">
        <v>55</v>
      </c>
      <c r="J20" s="101">
        <f>983371-715007</f>
        <v>268364</v>
      </c>
      <c r="K20" s="116">
        <f>983371/715007</f>
        <v>1.3753305911690374</v>
      </c>
      <c r="L20" s="99">
        <v>0.727</v>
      </c>
      <c r="M20" s="15">
        <v>254210</v>
      </c>
      <c r="N20" s="107">
        <v>268364</v>
      </c>
      <c r="O20" s="15">
        <v>25760</v>
      </c>
      <c r="P20" s="15">
        <v>126233</v>
      </c>
      <c r="Q20" s="15"/>
      <c r="R20" s="15">
        <v>113734</v>
      </c>
      <c r="S20" s="15">
        <v>25760</v>
      </c>
      <c r="T20" s="107">
        <v>394597</v>
      </c>
      <c r="U20" s="108"/>
      <c r="V20" s="8" t="s">
        <v>14</v>
      </c>
      <c r="W20" s="117">
        <v>382098</v>
      </c>
    </row>
    <row r="21" spans="1:23" ht="44.25" customHeight="1">
      <c r="A21" s="1" t="s">
        <v>109</v>
      </c>
      <c r="B21" s="17" t="s">
        <v>31</v>
      </c>
      <c r="C21" s="10">
        <v>865</v>
      </c>
      <c r="D21" s="11">
        <v>907</v>
      </c>
      <c r="E21" s="95">
        <v>0.9651832460732984</v>
      </c>
      <c r="F21" s="118">
        <v>1050.53</v>
      </c>
      <c r="G21" s="119">
        <v>1051</v>
      </c>
      <c r="H21" s="5" t="s">
        <v>56</v>
      </c>
      <c r="I21" s="6" t="s">
        <v>57</v>
      </c>
      <c r="J21" s="57">
        <f>2500169-354242</f>
        <v>2145927</v>
      </c>
      <c r="K21" s="91">
        <f>2500169/354242</f>
        <v>7.057799470418527</v>
      </c>
      <c r="L21" s="99">
        <v>0.077</v>
      </c>
      <c r="M21" s="15">
        <v>575654</v>
      </c>
      <c r="N21" s="107">
        <v>4230998</v>
      </c>
      <c r="O21" s="15">
        <v>41135</v>
      </c>
      <c r="P21" s="15">
        <v>149362</v>
      </c>
      <c r="Q21" s="15"/>
      <c r="R21" s="15">
        <v>118362</v>
      </c>
      <c r="S21" s="15">
        <v>41135</v>
      </c>
      <c r="T21" s="107">
        <v>4380360</v>
      </c>
      <c r="U21" s="108"/>
      <c r="V21" s="8" t="s">
        <v>14</v>
      </c>
      <c r="W21" s="117">
        <v>4349360</v>
      </c>
    </row>
    <row r="22" spans="1:23" ht="47.25" customHeight="1">
      <c r="A22" s="19" t="s">
        <v>119</v>
      </c>
      <c r="B22" s="17" t="s">
        <v>20</v>
      </c>
      <c r="C22" s="10">
        <v>540</v>
      </c>
      <c r="D22" s="11">
        <v>43</v>
      </c>
      <c r="E22" s="95">
        <v>1.02</v>
      </c>
      <c r="F22" s="96">
        <v>98.54</v>
      </c>
      <c r="G22" s="97">
        <v>99</v>
      </c>
      <c r="H22" s="12" t="s">
        <v>35</v>
      </c>
      <c r="I22" s="53" t="s">
        <v>61</v>
      </c>
      <c r="J22" s="15">
        <f>401761-9170</f>
        <v>392591</v>
      </c>
      <c r="K22" s="98">
        <f>401761/9170</f>
        <v>43.812540894220284</v>
      </c>
      <c r="L22" s="99">
        <v>0.023</v>
      </c>
      <c r="M22" s="15">
        <v>966</v>
      </c>
      <c r="N22" s="101">
        <v>392591</v>
      </c>
      <c r="O22" s="15">
        <v>6419</v>
      </c>
      <c r="P22" s="15">
        <v>31043</v>
      </c>
      <c r="Q22" s="15"/>
      <c r="R22" s="15">
        <v>31043</v>
      </c>
      <c r="S22" s="15">
        <v>206419</v>
      </c>
      <c r="T22" s="101">
        <v>423634</v>
      </c>
      <c r="U22" s="108"/>
      <c r="V22" s="8" t="s">
        <v>14</v>
      </c>
      <c r="W22" s="109">
        <v>423634</v>
      </c>
    </row>
    <row r="23" spans="1:23" ht="51" customHeight="1">
      <c r="A23" s="18" t="s">
        <v>110</v>
      </c>
      <c r="B23" s="17" t="s">
        <v>15</v>
      </c>
      <c r="C23" s="10">
        <v>600</v>
      </c>
      <c r="D23" s="11">
        <v>328</v>
      </c>
      <c r="E23" s="95">
        <v>0.9710059171597633</v>
      </c>
      <c r="F23" s="110">
        <v>557.34</v>
      </c>
      <c r="G23" s="111">
        <v>554</v>
      </c>
      <c r="H23" s="20" t="s">
        <v>62</v>
      </c>
      <c r="I23" s="24" t="s">
        <v>63</v>
      </c>
      <c r="J23" s="54">
        <f>1702452-72956</f>
        <v>1629496</v>
      </c>
      <c r="K23" s="112">
        <f>+(1702452-974593)/72956</f>
        <v>9.976684577005319</v>
      </c>
      <c r="L23" s="120">
        <v>0.036</v>
      </c>
      <c r="M23" s="54">
        <v>76825</v>
      </c>
      <c r="N23" s="121">
        <v>1969003</v>
      </c>
      <c r="O23" s="15">
        <v>-3125361</v>
      </c>
      <c r="P23" s="15">
        <v>339742</v>
      </c>
      <c r="Q23" s="15"/>
      <c r="R23" s="15">
        <v>404301.75</v>
      </c>
      <c r="S23" s="15">
        <v>-1335640</v>
      </c>
      <c r="T23" s="107">
        <v>2308745</v>
      </c>
      <c r="U23" s="122"/>
      <c r="V23" s="8" t="s">
        <v>14</v>
      </c>
      <c r="W23" s="109">
        <v>2373305.13</v>
      </c>
    </row>
    <row r="24" spans="1:23" ht="46.5" customHeight="1">
      <c r="A24" s="18" t="s">
        <v>120</v>
      </c>
      <c r="B24" s="17" t="s">
        <v>31</v>
      </c>
      <c r="C24" s="10">
        <v>350</v>
      </c>
      <c r="D24" s="11">
        <v>304</v>
      </c>
      <c r="E24" s="95">
        <v>0.9222424242424242</v>
      </c>
      <c r="F24" s="96">
        <v>351</v>
      </c>
      <c r="G24" s="123">
        <v>347</v>
      </c>
      <c r="H24" s="12" t="s">
        <v>68</v>
      </c>
      <c r="I24" s="13" t="s">
        <v>69</v>
      </c>
      <c r="J24" s="124">
        <f>1103760-207076</f>
        <v>896684</v>
      </c>
      <c r="K24" s="125">
        <f>1103760/207076</f>
        <v>5.330216925186888</v>
      </c>
      <c r="L24" s="99">
        <v>0.222</v>
      </c>
      <c r="M24" s="124">
        <v>256849</v>
      </c>
      <c r="N24" s="107">
        <v>1654250</v>
      </c>
      <c r="O24" s="126">
        <v>-212656</v>
      </c>
      <c r="P24" s="15">
        <v>194156</v>
      </c>
      <c r="Q24" s="15"/>
      <c r="R24" s="15">
        <v>193010</v>
      </c>
      <c r="S24" s="15">
        <v>947249</v>
      </c>
      <c r="T24" s="107">
        <v>1839047</v>
      </c>
      <c r="U24" s="122"/>
      <c r="V24" s="8" t="s">
        <v>14</v>
      </c>
      <c r="W24" s="127">
        <v>1847257</v>
      </c>
    </row>
    <row r="25" spans="1:23" ht="52.5" customHeight="1">
      <c r="A25" s="18" t="s">
        <v>121</v>
      </c>
      <c r="B25" s="17" t="s">
        <v>70</v>
      </c>
      <c r="C25" s="10">
        <v>190</v>
      </c>
      <c r="D25" s="11">
        <v>149</v>
      </c>
      <c r="E25" s="95">
        <v>0.971764705882353</v>
      </c>
      <c r="F25" s="110">
        <v>161.68</v>
      </c>
      <c r="G25" s="128">
        <v>162</v>
      </c>
      <c r="H25" s="12" t="s">
        <v>71</v>
      </c>
      <c r="I25" s="13" t="s">
        <v>72</v>
      </c>
      <c r="J25" s="15">
        <f>274066-164311</f>
        <v>109755</v>
      </c>
      <c r="K25" s="98">
        <f>274066/164311</f>
        <v>1.667971103577971</v>
      </c>
      <c r="L25" s="99">
        <v>0.426</v>
      </c>
      <c r="M25" s="15">
        <v>-111056</v>
      </c>
      <c r="N25" s="107">
        <v>356147</v>
      </c>
      <c r="O25" s="126">
        <v>-22667</v>
      </c>
      <c r="P25" s="15">
        <v>63469</v>
      </c>
      <c r="Q25" s="15"/>
      <c r="R25" s="15">
        <v>56057</v>
      </c>
      <c r="S25" s="15">
        <v>231698</v>
      </c>
      <c r="T25" s="107">
        <v>449703</v>
      </c>
      <c r="U25" s="122"/>
      <c r="V25" s="8" t="s">
        <v>14</v>
      </c>
      <c r="W25" s="109">
        <v>442291</v>
      </c>
    </row>
    <row r="26" spans="1:23" ht="51.75" customHeight="1">
      <c r="A26" s="78" t="s">
        <v>113</v>
      </c>
      <c r="B26" s="21" t="s">
        <v>38</v>
      </c>
      <c r="C26" s="22">
        <v>430</v>
      </c>
      <c r="D26" s="23">
        <v>388</v>
      </c>
      <c r="E26" s="129">
        <v>0.9666334164588529</v>
      </c>
      <c r="F26" s="130">
        <v>400</v>
      </c>
      <c r="G26" s="131">
        <v>394.3</v>
      </c>
      <c r="H26" s="12" t="s">
        <v>75</v>
      </c>
      <c r="I26" s="13" t="s">
        <v>76</v>
      </c>
      <c r="J26" s="132">
        <f>1770832-1867453</f>
        <v>-96621</v>
      </c>
      <c r="K26" s="133">
        <f>1770832/1867453</f>
        <v>0.9482605452453154</v>
      </c>
      <c r="L26" s="99">
        <v>0.494</v>
      </c>
      <c r="M26" s="132">
        <v>177592</v>
      </c>
      <c r="N26" s="134">
        <v>1936722</v>
      </c>
      <c r="O26" s="106">
        <v>19069</v>
      </c>
      <c r="P26" s="54">
        <v>40936</v>
      </c>
      <c r="Q26" s="54"/>
      <c r="R26" s="54">
        <v>1452134</v>
      </c>
      <c r="S26" s="54">
        <v>1801883</v>
      </c>
      <c r="T26" s="135">
        <v>1977659</v>
      </c>
      <c r="U26" s="136"/>
      <c r="V26" s="55" t="s">
        <v>14</v>
      </c>
      <c r="W26" s="137">
        <v>3388857</v>
      </c>
    </row>
    <row r="27" spans="1:23" ht="48.75" customHeight="1">
      <c r="A27" s="19" t="s">
        <v>127</v>
      </c>
      <c r="B27" s="17" t="s">
        <v>31</v>
      </c>
      <c r="C27" s="10">
        <v>540</v>
      </c>
      <c r="D27" s="11">
        <v>571</v>
      </c>
      <c r="E27" s="95">
        <v>0.944396694214876</v>
      </c>
      <c r="F27" s="138">
        <v>647</v>
      </c>
      <c r="G27" s="97">
        <v>647</v>
      </c>
      <c r="H27" s="12" t="s">
        <v>78</v>
      </c>
      <c r="I27" s="13" t="s">
        <v>79</v>
      </c>
      <c r="J27" s="139">
        <f>4247468-2248951</f>
        <v>1998517</v>
      </c>
      <c r="K27" s="116">
        <f>4247468/2248951</f>
        <v>1.8886440833971039</v>
      </c>
      <c r="L27" s="99">
        <v>0.196</v>
      </c>
      <c r="M27" s="86">
        <v>587966</v>
      </c>
      <c r="N27" s="107">
        <v>4120357</v>
      </c>
      <c r="O27" s="140">
        <v>1235713</v>
      </c>
      <c r="P27" s="86">
        <v>935713</v>
      </c>
      <c r="Q27" s="86"/>
      <c r="R27" s="86">
        <v>724741</v>
      </c>
      <c r="S27" s="86">
        <v>4902683</v>
      </c>
      <c r="T27" s="107">
        <v>4468644</v>
      </c>
      <c r="U27" s="122"/>
      <c r="V27" s="8" t="s">
        <v>14</v>
      </c>
      <c r="W27" s="117">
        <v>4845098</v>
      </c>
    </row>
    <row r="28" spans="1:23" ht="48.75" customHeight="1">
      <c r="A28" s="59" t="s">
        <v>135</v>
      </c>
      <c r="B28" s="60"/>
      <c r="C28" s="61"/>
      <c r="D28" s="61"/>
      <c r="E28" s="62"/>
      <c r="F28" s="63"/>
      <c r="G28" s="63"/>
      <c r="H28" s="64"/>
      <c r="I28" s="65"/>
      <c r="J28" s="66"/>
      <c r="K28" s="67"/>
      <c r="L28" s="68"/>
      <c r="M28" s="66"/>
      <c r="N28" s="69"/>
      <c r="O28" s="66"/>
      <c r="P28" s="66"/>
      <c r="Q28" s="66"/>
      <c r="R28" s="66"/>
      <c r="S28" s="66"/>
      <c r="T28" s="69"/>
      <c r="U28" s="69"/>
      <c r="V28" s="70"/>
      <c r="W28" s="71"/>
    </row>
    <row r="29" spans="1:23" ht="51" customHeight="1">
      <c r="A29" s="56" t="s">
        <v>100</v>
      </c>
      <c r="B29" s="2" t="s">
        <v>31</v>
      </c>
      <c r="C29" s="3">
        <v>432</v>
      </c>
      <c r="D29" s="4">
        <v>276</v>
      </c>
      <c r="E29" s="88">
        <v>0.9626132404181184</v>
      </c>
      <c r="F29" s="142">
        <v>346.39</v>
      </c>
      <c r="G29" s="104">
        <v>338</v>
      </c>
      <c r="H29" s="5" t="s">
        <v>32</v>
      </c>
      <c r="I29" s="6" t="s">
        <v>33</v>
      </c>
      <c r="J29" s="57">
        <f>1401632-609387</f>
        <v>792245</v>
      </c>
      <c r="K29" s="91">
        <f>1401632/609387</f>
        <v>2.300068757620363</v>
      </c>
      <c r="L29" s="92">
        <v>0.991</v>
      </c>
      <c r="M29" s="57">
        <v>-317922</v>
      </c>
      <c r="N29" s="143">
        <v>12128</v>
      </c>
      <c r="O29" s="57">
        <v>232270</v>
      </c>
      <c r="P29" s="57">
        <v>103081</v>
      </c>
      <c r="Q29" s="57"/>
      <c r="R29" s="57">
        <v>82943</v>
      </c>
      <c r="S29" s="57">
        <v>266783</v>
      </c>
      <c r="T29" s="143">
        <v>115209</v>
      </c>
      <c r="U29" s="144"/>
      <c r="V29" s="58" t="s">
        <v>14</v>
      </c>
      <c r="W29" s="127">
        <v>95071</v>
      </c>
    </row>
    <row r="30" spans="1:23" ht="40.5" customHeight="1">
      <c r="A30" s="1" t="s">
        <v>118</v>
      </c>
      <c r="B30" s="17" t="s">
        <v>20</v>
      </c>
      <c r="C30" s="10">
        <v>414</v>
      </c>
      <c r="D30" s="11">
        <v>245</v>
      </c>
      <c r="E30" s="95">
        <v>0.9615294117647059</v>
      </c>
      <c r="F30" s="110">
        <v>370.46</v>
      </c>
      <c r="G30" s="128">
        <v>365</v>
      </c>
      <c r="H30" s="12" t="s">
        <v>50</v>
      </c>
      <c r="I30" s="13" t="s">
        <v>51</v>
      </c>
      <c r="J30" s="15">
        <f>377979-726642</f>
        <v>-348663</v>
      </c>
      <c r="K30" s="98">
        <f>377979/726642</f>
        <v>0.5201722443789376</v>
      </c>
      <c r="L30" s="99">
        <f>726642/409178</f>
        <v>1.7758579395764191</v>
      </c>
      <c r="M30" s="15">
        <v>300916</v>
      </c>
      <c r="N30" s="107">
        <v>-317464</v>
      </c>
      <c r="O30" s="15">
        <v>158999</v>
      </c>
      <c r="P30" s="15">
        <v>336248</v>
      </c>
      <c r="Q30" s="15"/>
      <c r="R30" s="15">
        <v>368276</v>
      </c>
      <c r="S30" s="15">
        <f>+N30+O30</f>
        <v>-158465</v>
      </c>
      <c r="T30" s="107">
        <v>18783</v>
      </c>
      <c r="U30" s="108"/>
      <c r="V30" s="8" t="s">
        <v>37</v>
      </c>
      <c r="W30" s="117">
        <v>50811</v>
      </c>
    </row>
    <row r="31" spans="1:23" ht="47.25" customHeight="1">
      <c r="A31" s="18" t="s">
        <v>141</v>
      </c>
      <c r="B31" s="17" t="s">
        <v>38</v>
      </c>
      <c r="C31" s="10">
        <v>550</v>
      </c>
      <c r="D31" s="11">
        <v>141</v>
      </c>
      <c r="E31" s="95">
        <v>0.73578125</v>
      </c>
      <c r="F31" s="96">
        <v>130</v>
      </c>
      <c r="G31" s="97">
        <v>130</v>
      </c>
      <c r="H31" s="12" t="s">
        <v>73</v>
      </c>
      <c r="I31" s="13" t="s">
        <v>74</v>
      </c>
      <c r="J31" s="15">
        <f>1078645-1078645</f>
        <v>0</v>
      </c>
      <c r="K31" s="98">
        <v>1</v>
      </c>
      <c r="L31" s="99">
        <v>1</v>
      </c>
      <c r="M31" s="15">
        <v>0</v>
      </c>
      <c r="N31" s="107">
        <v>0</v>
      </c>
      <c r="O31" s="15">
        <v>0</v>
      </c>
      <c r="P31" s="15">
        <v>0</v>
      </c>
      <c r="Q31" s="15"/>
      <c r="R31" s="15">
        <v>0</v>
      </c>
      <c r="S31" s="15">
        <v>0</v>
      </c>
      <c r="T31" s="107">
        <v>0</v>
      </c>
      <c r="U31" s="122"/>
      <c r="V31" s="8" t="s">
        <v>37</v>
      </c>
      <c r="W31" s="117">
        <v>0</v>
      </c>
    </row>
    <row r="32" spans="1:23" ht="60.75" customHeight="1">
      <c r="A32" s="78" t="s">
        <v>115</v>
      </c>
      <c r="B32" s="21" t="s">
        <v>80</v>
      </c>
      <c r="C32" s="22">
        <v>550</v>
      </c>
      <c r="D32" s="23">
        <v>312</v>
      </c>
      <c r="E32" s="129">
        <v>0.9525</v>
      </c>
      <c r="F32" s="130">
        <v>529.45</v>
      </c>
      <c r="G32" s="145">
        <v>528</v>
      </c>
      <c r="H32" s="41" t="s">
        <v>81</v>
      </c>
      <c r="I32" s="24" t="s">
        <v>82</v>
      </c>
      <c r="J32" s="54">
        <f>427077-439467</f>
        <v>-12390</v>
      </c>
      <c r="K32" s="112">
        <f>427077/439461</f>
        <v>0.9718200249851523</v>
      </c>
      <c r="L32" s="120">
        <v>1.137</v>
      </c>
      <c r="M32" s="54">
        <v>-657072</v>
      </c>
      <c r="N32" s="121">
        <v>-1308033</v>
      </c>
      <c r="O32" s="54">
        <v>-617902</v>
      </c>
      <c r="P32" s="54">
        <v>-522630</v>
      </c>
      <c r="Q32" s="54"/>
      <c r="R32" s="54">
        <v>-666564</v>
      </c>
      <c r="S32" s="54">
        <v>356494</v>
      </c>
      <c r="T32" s="121">
        <v>527897</v>
      </c>
      <c r="U32" s="136"/>
      <c r="V32" s="55" t="s">
        <v>14</v>
      </c>
      <c r="W32" s="137">
        <v>658963</v>
      </c>
    </row>
    <row r="33" spans="1:23" ht="54" customHeight="1">
      <c r="A33" s="59" t="s">
        <v>136</v>
      </c>
      <c r="B33" s="84"/>
      <c r="C33" s="61"/>
      <c r="D33" s="61"/>
      <c r="E33" s="85"/>
      <c r="F33" s="63"/>
      <c r="G33" s="63"/>
      <c r="H33" s="66"/>
      <c r="I33" s="65"/>
      <c r="J33" s="66"/>
      <c r="K33" s="83"/>
      <c r="L33" s="83"/>
      <c r="M33" s="66"/>
      <c r="N33" s="69"/>
      <c r="O33" s="66"/>
      <c r="P33" s="66"/>
      <c r="Q33" s="66"/>
      <c r="R33" s="66"/>
      <c r="S33" s="66"/>
      <c r="T33" s="69"/>
      <c r="U33" s="69"/>
      <c r="V33" s="70"/>
      <c r="W33" s="71"/>
    </row>
    <row r="34" spans="1:23" ht="48.75" customHeight="1">
      <c r="A34" s="56" t="s">
        <v>101</v>
      </c>
      <c r="B34" s="79" t="s">
        <v>34</v>
      </c>
      <c r="C34" s="80">
        <v>385</v>
      </c>
      <c r="D34" s="81">
        <v>88</v>
      </c>
      <c r="E34" s="88">
        <v>0.9572826086956521</v>
      </c>
      <c r="F34" s="146">
        <v>101.37</v>
      </c>
      <c r="G34" s="147">
        <v>103</v>
      </c>
      <c r="H34" s="82" t="s">
        <v>35</v>
      </c>
      <c r="I34" s="40" t="s">
        <v>36</v>
      </c>
      <c r="J34" s="148">
        <f>231845-372678</f>
        <v>-140833</v>
      </c>
      <c r="K34" s="149">
        <f>231845/372678</f>
        <v>0.6221054100322531</v>
      </c>
      <c r="L34" s="150">
        <v>1.731</v>
      </c>
      <c r="M34" s="148">
        <v>-34701</v>
      </c>
      <c r="N34" s="151">
        <v>-198231</v>
      </c>
      <c r="O34" s="57">
        <v>69493</v>
      </c>
      <c r="P34" s="57">
        <v>-54064</v>
      </c>
      <c r="Q34" s="57"/>
      <c r="R34" s="57">
        <v>-65900</v>
      </c>
      <c r="S34" s="57">
        <v>-85280</v>
      </c>
      <c r="T34" s="143">
        <v>-252295</v>
      </c>
      <c r="U34" s="144"/>
      <c r="V34" s="58" t="s">
        <v>37</v>
      </c>
      <c r="W34" s="94">
        <v>-264131</v>
      </c>
    </row>
    <row r="35" spans="1:23" ht="47.25" customHeight="1">
      <c r="A35" s="45" t="s">
        <v>126</v>
      </c>
      <c r="B35" s="47" t="s">
        <v>58</v>
      </c>
      <c r="C35" s="48">
        <v>600</v>
      </c>
      <c r="D35" s="50">
        <v>443</v>
      </c>
      <c r="E35" s="95">
        <v>0.9351898734177214</v>
      </c>
      <c r="F35" s="96">
        <v>353.62</v>
      </c>
      <c r="G35" s="152">
        <v>380</v>
      </c>
      <c r="H35" s="51" t="s">
        <v>59</v>
      </c>
      <c r="I35" s="52" t="s">
        <v>60</v>
      </c>
      <c r="J35" s="15">
        <f>1421537-1641617</f>
        <v>-220080</v>
      </c>
      <c r="K35" s="98">
        <f>1421537/1641617</f>
        <v>0.8659370608369674</v>
      </c>
      <c r="L35" s="153">
        <v>1.057</v>
      </c>
      <c r="M35" s="15">
        <v>-285763</v>
      </c>
      <c r="N35" s="154">
        <v>-101017</v>
      </c>
      <c r="O35" s="126">
        <v>344923</v>
      </c>
      <c r="P35" s="15">
        <v>2838</v>
      </c>
      <c r="Q35" s="15"/>
      <c r="R35" s="15">
        <v>1730</v>
      </c>
      <c r="S35" s="15">
        <v>318655</v>
      </c>
      <c r="T35" s="107">
        <v>-98178</v>
      </c>
      <c r="U35" s="108"/>
      <c r="V35" s="8" t="s">
        <v>37</v>
      </c>
      <c r="W35" s="151">
        <v>-99286</v>
      </c>
    </row>
    <row r="36" spans="1:23" ht="45.75" customHeight="1">
      <c r="A36" s="18" t="s">
        <v>111</v>
      </c>
      <c r="B36" s="25" t="s">
        <v>15</v>
      </c>
      <c r="C36" s="3">
        <v>880</v>
      </c>
      <c r="D36" s="4">
        <v>143</v>
      </c>
      <c r="E36" s="95">
        <v>0.9424999999999999</v>
      </c>
      <c r="F36" s="96">
        <v>130.3</v>
      </c>
      <c r="G36" s="155">
        <v>133</v>
      </c>
      <c r="H36" s="42" t="s">
        <v>64</v>
      </c>
      <c r="I36" s="6" t="s">
        <v>65</v>
      </c>
      <c r="J36" s="57">
        <f>304049-550859</f>
        <v>-246810</v>
      </c>
      <c r="K36" s="91">
        <f>304049/550859</f>
        <v>0.5519543113573527</v>
      </c>
      <c r="L36" s="92">
        <v>1.974</v>
      </c>
      <c r="M36" s="57">
        <v>-278301</v>
      </c>
      <c r="N36" s="143">
        <v>-321125</v>
      </c>
      <c r="O36" s="15">
        <v>51043</v>
      </c>
      <c r="P36" s="15">
        <v>1755</v>
      </c>
      <c r="Q36" s="15"/>
      <c r="R36" s="15">
        <v>36375</v>
      </c>
      <c r="S36" s="15">
        <f>+N36+O36</f>
        <v>-270082</v>
      </c>
      <c r="T36" s="107">
        <v>-319370</v>
      </c>
      <c r="U36" s="122"/>
      <c r="V36" s="8" t="s">
        <v>37</v>
      </c>
      <c r="W36" s="117">
        <v>-284749</v>
      </c>
    </row>
    <row r="37" spans="1:23" ht="57.75" customHeight="1">
      <c r="A37" s="18" t="s">
        <v>112</v>
      </c>
      <c r="B37" s="17" t="s">
        <v>15</v>
      </c>
      <c r="C37" s="10">
        <v>880</v>
      </c>
      <c r="D37" s="11">
        <v>130</v>
      </c>
      <c r="E37" s="95">
        <v>0.8951724137931035</v>
      </c>
      <c r="F37" s="96">
        <v>136.83</v>
      </c>
      <c r="G37" s="145">
        <v>132</v>
      </c>
      <c r="H37" s="41" t="s">
        <v>66</v>
      </c>
      <c r="I37" s="24" t="s">
        <v>67</v>
      </c>
      <c r="J37" s="54">
        <f>384722-651998</f>
        <v>-267276</v>
      </c>
      <c r="K37" s="196">
        <f>384722/651998</f>
        <v>0.590066227197016</v>
      </c>
      <c r="L37" s="99">
        <v>1.525</v>
      </c>
      <c r="M37" s="15">
        <v>-332286</v>
      </c>
      <c r="N37" s="107">
        <v>-238156</v>
      </c>
      <c r="O37" s="15">
        <v>87194</v>
      </c>
      <c r="P37" s="15">
        <v>-30076</v>
      </c>
      <c r="Q37" s="15"/>
      <c r="R37" s="15">
        <v>-22068</v>
      </c>
      <c r="S37" s="15" t="s">
        <v>95</v>
      </c>
      <c r="T37" s="107">
        <f>1772466-2040698</f>
        <v>-268232</v>
      </c>
      <c r="U37" s="122"/>
      <c r="V37" s="8" t="s">
        <v>37</v>
      </c>
      <c r="W37" s="117">
        <v>-260224</v>
      </c>
    </row>
    <row r="38" spans="1:23" ht="45" customHeight="1">
      <c r="A38" s="44" t="s">
        <v>114</v>
      </c>
      <c r="B38" s="46" t="s">
        <v>77</v>
      </c>
      <c r="C38" s="43"/>
      <c r="D38" s="49" t="s">
        <v>137</v>
      </c>
      <c r="E38" s="156">
        <v>0.96</v>
      </c>
      <c r="F38" s="96">
        <v>85.52</v>
      </c>
      <c r="G38" s="114">
        <v>90</v>
      </c>
      <c r="H38" s="139"/>
      <c r="I38" s="141"/>
      <c r="J38" s="139" t="s">
        <v>77</v>
      </c>
      <c r="K38" s="197" t="s">
        <v>140</v>
      </c>
      <c r="L38" s="197" t="s">
        <v>140</v>
      </c>
      <c r="M38" s="197" t="s">
        <v>140</v>
      </c>
      <c r="N38" s="197" t="s">
        <v>140</v>
      </c>
      <c r="O38" s="126">
        <v>43652</v>
      </c>
      <c r="P38" s="15">
        <v>36803</v>
      </c>
      <c r="Q38" s="15"/>
      <c r="R38" s="15">
        <v>-47343</v>
      </c>
      <c r="S38" s="15">
        <v>43652</v>
      </c>
      <c r="T38" s="107">
        <v>36803</v>
      </c>
      <c r="U38" s="122"/>
      <c r="V38" s="8" t="s">
        <v>14</v>
      </c>
      <c r="W38" s="117">
        <v>-47342</v>
      </c>
    </row>
    <row r="39" spans="1:22" ht="15">
      <c r="A39" s="26" t="s">
        <v>83</v>
      </c>
      <c r="B39" s="27"/>
      <c r="C39" s="28"/>
      <c r="D39" s="28"/>
      <c r="E39" s="175"/>
      <c r="F39" s="175"/>
      <c r="G39" s="175"/>
      <c r="H39" s="29"/>
      <c r="I39" s="30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</row>
    <row r="40" spans="1:22" ht="15">
      <c r="A40" s="26" t="s">
        <v>90</v>
      </c>
      <c r="B40" s="31"/>
      <c r="C40" s="32"/>
      <c r="D40" s="32"/>
      <c r="E40" s="176"/>
      <c r="F40" s="176"/>
      <c r="G40" s="176"/>
      <c r="H40" s="177"/>
      <c r="I40" s="178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</row>
    <row r="41" spans="1:22" ht="15">
      <c r="A41" s="26" t="s">
        <v>139</v>
      </c>
      <c r="B41" s="31"/>
      <c r="C41" s="32"/>
      <c r="D41" s="32"/>
      <c r="E41" s="176"/>
      <c r="F41" s="176"/>
      <c r="G41" s="176"/>
      <c r="H41" s="177"/>
      <c r="I41" s="178"/>
      <c r="J41" s="179"/>
      <c r="K41" s="179"/>
      <c r="L41" s="179"/>
      <c r="M41" s="179"/>
      <c r="N41" s="179"/>
      <c r="O41" s="180"/>
      <c r="P41" s="180"/>
      <c r="Q41" s="180"/>
      <c r="R41" s="180"/>
      <c r="S41" s="175"/>
      <c r="T41" s="180"/>
      <c r="U41" s="180"/>
      <c r="V41" s="180"/>
    </row>
    <row r="42" spans="1:22" ht="15">
      <c r="A42" s="198" t="s">
        <v>142</v>
      </c>
      <c r="B42" s="31"/>
      <c r="C42" s="32"/>
      <c r="D42" s="32"/>
      <c r="E42" s="176"/>
      <c r="F42" s="176"/>
      <c r="G42" s="176"/>
      <c r="H42" s="177"/>
      <c r="I42" s="178"/>
      <c r="J42" s="179"/>
      <c r="K42" s="179"/>
      <c r="L42" s="179"/>
      <c r="M42" s="179"/>
      <c r="N42" s="179"/>
      <c r="O42" s="180"/>
      <c r="P42" s="180"/>
      <c r="Q42" s="180"/>
      <c r="R42" s="180"/>
      <c r="S42" s="175"/>
      <c r="T42" s="180"/>
      <c r="U42" s="180"/>
      <c r="V42" s="180"/>
    </row>
    <row r="44" ht="14.25">
      <c r="A44" s="199" t="s">
        <v>143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geOrder="overThenDown" scale="65" r:id="rId1"/>
  <headerFooter>
    <oddHeader>&amp;L&amp;"Arial,Bold"&amp;16State Board of Education-Authorized Charter Schools Financial Highlights&amp;"-,Regular"&amp;11
&amp;Rmemo-dsib-csd-apr13item02
Attachment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2013 Info Memo DSIB CSD Item 2 Attachment 2 - Information Memoranda (CA State Board of Education)</dc:title>
  <dc:subject>California State Board of Education Authorized Charter Schools Financial Highlights.</dc:subject>
  <dc:creator>California State Board of Education</dc:creator>
  <cp:keywords>Attachment 2</cp:keywords>
  <dc:description/>
  <cp:lastModifiedBy>Princep Uclaray</cp:lastModifiedBy>
  <cp:lastPrinted>2013-04-04T20:40:02Z</cp:lastPrinted>
  <dcterms:created xsi:type="dcterms:W3CDTF">2013-02-19T23:53:08Z</dcterms:created>
  <dcterms:modified xsi:type="dcterms:W3CDTF">2013-05-01T22:58:06Z</dcterms:modified>
  <cp:category/>
  <cp:version/>
  <cp:contentType/>
  <cp:contentStatus/>
</cp:coreProperties>
</file>