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3795CB7B-069F-4880-9525-EEEE1EDFE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V14" i="3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O12" i="2" l="1"/>
  <c r="C13" i="2"/>
  <c r="D13" i="2"/>
  <c r="N13" i="2"/>
  <c r="K13" i="2"/>
  <c r="M13" i="2"/>
  <c r="I13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<sst xmlns="http://schemas.openxmlformats.org/spreadsheetml/2006/main" count="431" uniqueCount="152">
  <si>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</si>
  <si>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</si>
  <si>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</si>
  <si>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</si>
  <si>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</si>
  <si>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</si>
  <si>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</si>
  <si>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</si>
  <si>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</si>
  <si>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</si>
  <si>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</si>
  <si>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</si>
  <si>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</si>
  <si>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</si>
  <si>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</si>
  <si>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</si>
  <si>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</si>
  <si>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</si>
  <si>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</si>
  <si>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</si>
  <si>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</si>
  <si>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Education Protection Account</t>
  </si>
  <si>
    <t>Charter School Special Advance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</si>
  <si>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</si>
  <si>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</si>
  <si>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</si>
  <si>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</si>
  <si>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</si>
  <si>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</si>
  <si>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</si>
  <si>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t>July 2025</t>
  </si>
  <si>
    <r>
      <rPr>
        <b/>
        <sz val="14"/>
        <color rgb="FF000000"/>
        <rFont val="Arial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</si>
  <si>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</rPr>
      <t xml:space="preserve"> 1</t>
    </r>
    <r>
      <rPr>
        <sz val="12"/>
        <color rgb="FF000000"/>
        <rFont val="Arial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</si>
  <si>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</si>
  <si>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</rPr>
      <t>EC:</t>
    </r>
    <r>
      <rPr>
        <sz val="12"/>
        <color rgb="FF000000"/>
        <rFont val="Arial"/>
      </rPr>
      <t xml:space="preserve"> Education Code; </t>
    </r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</si>
  <si>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</si>
  <si>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</si>
  <si>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</si>
  <si>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</si>
  <si>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</si>
  <si>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</si>
  <si>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</si>
  <si>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</si>
  <si>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</si>
  <si>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</si>
  <si>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</si>
  <si>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</si>
  <si>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</si>
  <si>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</si>
  <si>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</si>
  <si>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</si>
  <si>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</si>
  <si>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</si>
  <si>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</si>
  <si>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</si>
  <si>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</si>
  <si>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</si>
  <si>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</si>
  <si>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</si>
  <si>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</si>
  <si>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</si>
  <si>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</si>
  <si>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</si>
  <si>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</si>
  <si>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</si>
  <si>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</rPr>
      <t>Local Control Funding Formula Equity Multiplier</t>
    </r>
    <r>
      <rPr>
        <vertAlign val="superscript"/>
        <sz val="12"/>
        <color rgb="FF000000"/>
        <rFont val="Arial"/>
      </rPr>
      <t>1, 2</t>
    </r>
  </si>
  <si>
    <t>EC 2575.5</t>
  </si>
  <si>
    <r>
      <rPr>
        <sz val="12"/>
        <color rgb="FF000000"/>
        <rFont val="Arial"/>
      </rPr>
      <t>County Office of Education Student Support and Enrichment Block Grant</t>
    </r>
    <r>
      <rPr>
        <vertAlign val="superscript"/>
        <sz val="12"/>
        <color rgb="FF000000"/>
        <rFont val="Arial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</si>
  <si>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</si>
  <si>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</si>
  <si>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</si>
  <si>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</si>
  <si>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</si>
  <si>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</si>
  <si>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</si>
  <si>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</si>
  <si>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</si>
  <si>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</si>
  <si>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</si>
  <si>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</si>
  <si>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</si>
  <si>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</si>
  <si>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</si>
  <si>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</si>
  <si>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</si>
  <si>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</si>
  <si>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</si>
  <si>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</si>
  <si>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</si>
  <si>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</si>
  <si>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</si>
  <si>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</si>
  <si>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</si>
  <si>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</si>
  <si>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</si>
  <si>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</si>
  <si>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</si>
  <si>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</si>
  <si>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</si>
  <si>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</si>
  <si>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</si>
  <si>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</si>
  <si>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</si>
  <si>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</si>
  <si>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</si>
  <si>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</si>
  <si>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</si>
  <si>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</si>
  <si>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</si>
  <si>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</si>
  <si>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</si>
  <si>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</si>
  <si>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</si>
  <si>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</si>
  <si>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</si>
  <si>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</si>
  <si>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</si>
  <si>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</si>
  <si>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</si>
  <si>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</si>
  <si>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</si>
  <si>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</rPr>
      <t xml:space="preserve">AB: </t>
    </r>
    <r>
      <rPr>
        <sz val="12"/>
        <color rgb="FF000000"/>
        <rFont val="Arial"/>
      </rPr>
      <t>Assembly Bill;</t>
    </r>
    <r>
      <rPr>
        <b/>
        <sz val="12"/>
        <color rgb="FF000000"/>
        <rFont val="Arial"/>
      </rPr>
      <t xml:space="preserve"> Ch: </t>
    </r>
    <r>
      <rPr>
        <sz val="12"/>
        <color rgb="FF000000"/>
        <rFont val="Arial"/>
      </rPr>
      <t>Chapter;</t>
    </r>
    <r>
      <rPr>
        <b/>
        <sz val="12"/>
        <color rgb="FF000000"/>
        <rFont val="Arial"/>
      </rPr>
      <t xml:space="preserve"> PCA: </t>
    </r>
    <r>
      <rPr>
        <sz val="12"/>
        <color rgb="FF000000"/>
        <rFont val="Arial"/>
      </rPr>
      <t xml:space="preserve">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</si>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</sst>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30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</font>
    <font>
      <vertAlign val="superscript"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170" fontId="0" fillId="0" borderId="0" xfId="0" applyNumberFormat="1"/>
    <xf numFmtId="170" fontId="10" fillId="0" borderId="0" xfId="0" applyNumberFormat="1" applyFont="1"/>
    <xf numFmtId="166" fontId="0" fillId="0" borderId="0" xfId="0" applyNumberFormat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left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4" fontId="0" fillId="0" borderId="0" xfId="0" applyNumberFormat="1" applyAlignment="1">
      <alignment vertical="center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3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02" dataDxfId="300" totalsRowDxfId="298" headerRowBorderDxfId="301" tableBorderDxfId="299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297" totalsRowDxfId="296" totalsRowCellStyle="Total"/>
    <tableColumn id="2" xr3:uid="{00000000-0010-0000-0000-000002000000}" name="Apportionment Type" dataDxfId="295" totalsRowDxfId="294" totalsRowCellStyle="Total"/>
    <tableColumn id="3" xr3:uid="{00000000-0010-0000-0000-000003000000}" name="July 2024" totalsRowFunction="sum" dataDxfId="293" totalsRowDxfId="292" totalsRowCellStyle="Total"/>
    <tableColumn id="4" xr3:uid="{00000000-0010-0000-0000-000004000000}" name="Aug 2024" totalsRowFunction="sum" dataDxfId="291" totalsRowDxfId="290" totalsRowCellStyle="Total"/>
    <tableColumn id="5" xr3:uid="{00000000-0010-0000-0000-000005000000}" name="Sept 2024" totalsRowFunction="sum" dataDxfId="289" totalsRowDxfId="288" totalsRowCellStyle="Total"/>
    <tableColumn id="6" xr3:uid="{00000000-0010-0000-0000-000006000000}" name="Oct 2024" totalsRowFunction="sum" dataDxfId="287" totalsRowDxfId="286" totalsRowCellStyle="Total"/>
    <tableColumn id="7" xr3:uid="{00000000-0010-0000-0000-000007000000}" name="Nov 2024" totalsRowFunction="sum" dataDxfId="285" totalsRowDxfId="284" totalsRowCellStyle="Total"/>
    <tableColumn id="8" xr3:uid="{00000000-0010-0000-0000-000008000000}" name="Dec 2024" totalsRowFunction="sum" dataDxfId="283" totalsRowDxfId="282" totalsRowCellStyle="Total"/>
    <tableColumn id="9" xr3:uid="{00000000-0010-0000-0000-000009000000}" name="Jan 2025" totalsRowFunction="sum" dataDxfId="281" totalsRowDxfId="280" totalsRowCellStyle="Total"/>
    <tableColumn id="10" xr3:uid="{00000000-0010-0000-0000-00000A000000}" name="Feb 2025" totalsRowFunction="sum" dataDxfId="279" totalsRowDxfId="278" totalsRowCellStyle="Total"/>
    <tableColumn id="11" xr3:uid="{00000000-0010-0000-0000-00000B000000}" name="Mar 2025" totalsRowFunction="sum" dataDxfId="277" totalsRowDxfId="276" totalsRowCellStyle="Total"/>
    <tableColumn id="12" xr3:uid="{00000000-0010-0000-0000-00000C000000}" name="April 2025" totalsRowFunction="sum" dataDxfId="275" totalsRowDxfId="274" totalsRowCellStyle="Total"/>
    <tableColumn id="13" xr3:uid="{00000000-0010-0000-0000-00000D000000}" name="May 2025" totalsRowFunction="sum" dataDxfId="273" totalsRowDxfId="272" totalsRowCellStyle="Total"/>
    <tableColumn id="14" xr3:uid="{00000000-0010-0000-0000-00000E000000}" name="June 2025" totalsRowFunction="sum" dataDxfId="271" totalsRowDxfId="270" totalsRowCellStyle="Total"/>
    <tableColumn id="17" xr3:uid="{00000000-0010-0000-0000-000011000000}" name="Total" totalsRowFunction="sum" dataDxfId="269" totalsRowDxfId="268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67" dataDxfId="265" totalsRowDxfId="263" headerRowBorderDxfId="266" tableBorderDxfId="264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2" totalsRowDxfId="261" totalsRowCellStyle="Total"/>
    <tableColumn id="2" xr3:uid="{00000000-0010-0000-0100-000002000000}" name="Budget Item Number or Authority" dataDxfId="260" totalsRowDxfId="259" totalsRowCellStyle="Total"/>
    <tableColumn id="3" xr3:uid="{00000000-0010-0000-0100-000003000000}" name="State Budget Authority" dataDxfId="258" totalsRowCellStyle="Total"/>
    <tableColumn id="9" xr3:uid="{D8DBD0F6-C8D5-4276-B397-4E484DCA82DF}" name="Fiscal_x000a_Year" dataDxfId="257" totalsRowDxfId="256" totalsRowCellStyle="Total"/>
    <tableColumn id="4" xr3:uid="{00000000-0010-0000-0100-000004000000}" name="Apportionment Title" dataDxfId="255" totalsRowDxfId="254" totalsRowCellStyle="Total"/>
    <tableColumn id="5" xr3:uid="{00000000-0010-0000-0100-000005000000}" name="SACS _x000a_Res. _x000a_Codes" dataDxfId="253" totalsRowCellStyle="Total"/>
    <tableColumn id="7" xr3:uid="{00000000-0010-0000-0100-000007000000}" name="Fiscal Contact_x000a_ Email" dataDxfId="252" totalsRowDxfId="251" dataCellStyle="Hyperlink" totalsRowCellStyle="Total"/>
    <tableColumn id="11" xr3:uid="{00000000-0010-0000-0100-00000B000000}" name="Payment Schedule_x000a_(percent)" dataDxfId="250" totalsRowCellStyle="Total"/>
    <tableColumn id="12" xr3:uid="{00000000-0010-0000-0100-00000C000000}" name="July 2024" totalsRowFunction="sum" dataDxfId="249" totalsRowDxfId="248" totalsRowCellStyle="Total"/>
    <tableColumn id="13" xr3:uid="{00000000-0010-0000-0100-00000D000000}" name="Aug 2024" totalsRowFunction="sum" dataDxfId="247" totalsRowDxfId="246" totalsRowCellStyle="Total"/>
    <tableColumn id="14" xr3:uid="{00000000-0010-0000-0100-00000E000000}" name="Sept 2024" totalsRowFunction="sum" dataDxfId="245" totalsRowDxfId="244" totalsRowCellStyle="Total"/>
    <tableColumn id="15" xr3:uid="{00000000-0010-0000-0100-00000F000000}" name="Oct 2024" totalsRowFunction="sum" dataDxfId="243" totalsRowDxfId="242" totalsRowCellStyle="Total"/>
    <tableColumn id="16" xr3:uid="{00000000-0010-0000-0100-000010000000}" name="Nov 2024" totalsRowFunction="sum" dataDxfId="241" totalsRowDxfId="240" totalsRowCellStyle="Total"/>
    <tableColumn id="17" xr3:uid="{00000000-0010-0000-0100-000011000000}" name="Dec 2024" totalsRowFunction="sum" dataDxfId="239" totalsRowDxfId="238" totalsRowCellStyle="Total"/>
    <tableColumn id="18" xr3:uid="{00000000-0010-0000-0100-000012000000}" name="Jan 2025" totalsRowFunction="sum" dataDxfId="237" totalsRowDxfId="236" totalsRowCellStyle="Total"/>
    <tableColumn id="19" xr3:uid="{00000000-0010-0000-0100-000013000000}" name="Feb 2025" totalsRowFunction="sum" dataDxfId="235" totalsRowDxfId="234" totalsRowCellStyle="Total"/>
    <tableColumn id="20" xr3:uid="{00000000-0010-0000-0100-000014000000}" name="Mar 2025" totalsRowFunction="sum" dataDxfId="233" totalsRowDxfId="232" totalsRowCellStyle="Total"/>
    <tableColumn id="21" xr3:uid="{00000000-0010-0000-0100-000015000000}" name="April 2025" totalsRowFunction="sum" dataDxfId="231" totalsRowDxfId="230" totalsRowCellStyle="Total"/>
    <tableColumn id="22" xr3:uid="{00000000-0010-0000-0100-000016000000}" name="May 2025" totalsRowFunction="sum" dataDxfId="229" totalsRowDxfId="228" totalsRowCellStyle="Total"/>
    <tableColumn id="23" xr3:uid="{00000000-0010-0000-0100-000017000000}" name="June 2025" totalsRowFunction="sum" dataDxfId="227" totalsRowDxfId="226" totalsRowCellStyle="Total"/>
    <tableColumn id="26" xr3:uid="{00000000-0010-0000-0100-00001A000000}" name="Total" totalsRowFunction="sum" dataDxfId="225" totalsRowDxfId="224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3" dataDxfId="221" totalsRowDxfId="219" headerRowBorderDxfId="222" tableBorderDxfId="220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18" totalsRowDxfId="217" totalsRowCellStyle="Total"/>
    <tableColumn id="2" xr3:uid="{00000000-0010-0000-0200-000002000000}" name="Budget Item Number or Authority" dataDxfId="216" totalsRowDxfId="215" totalsRowCellStyle="Total"/>
    <tableColumn id="3" xr3:uid="{00000000-0010-0000-0200-000003000000}" name="State Budget Appropriation" dataDxfId="214" totalsRowDxfId="213" totalsRowCellStyle="Total"/>
    <tableColumn id="6" xr3:uid="{75781396-283C-4E3B-A0C7-4BA2389974E7}" name="Remaining Balance Available_x000a_As of July 1, 2024" dataDxfId="212" totalsRowDxfId="211" totalsRowCellStyle="Total"/>
    <tableColumn id="9" xr3:uid="{5AD06674-BA60-46F9-87BA-58829B013A93}" name="Fiscal_x000a_Year" dataDxfId="210" totalsRowDxfId="209" totalsRowCellStyle="Total"/>
    <tableColumn id="4" xr3:uid="{00000000-0010-0000-0200-000004000000}" name="Apportionment Title" dataDxfId="208" totalsRowDxfId="207" totalsRowCellStyle="Total"/>
    <tableColumn id="5" xr3:uid="{00000000-0010-0000-0200-000005000000}" name="SACS _x000a_Res. _x000a_Codes" dataDxfId="206" totalsRowCellStyle="Total"/>
    <tableColumn id="7" xr3:uid="{00000000-0010-0000-0200-000007000000}" name="Fiscal Contact_x000a_ E-mail" dataDxfId="205" totalsRowDxfId="204" dataCellStyle="Hyperlink" totalsRowCellStyle="Total"/>
    <tableColumn id="11" xr3:uid="{00000000-0010-0000-0200-00000B000000}" name="Payment Schedule" dataDxfId="203" totalsRowDxfId="202" totalsRowCellStyle="Total"/>
    <tableColumn id="12" xr3:uid="{00000000-0010-0000-0200-00000C000000}" name="July 2024" totalsRowFunction="sum" dataDxfId="201" totalsRowDxfId="200" totalsRowCellStyle="Total"/>
    <tableColumn id="13" xr3:uid="{00000000-0010-0000-0200-00000D000000}" name="Aug 2024" totalsRowFunction="sum" dataDxfId="199" totalsRowDxfId="198" totalsRowCellStyle="Total"/>
    <tableColumn id="14" xr3:uid="{00000000-0010-0000-0200-00000E000000}" name="Sept 2024" totalsRowFunction="sum" dataDxfId="197" totalsRowDxfId="196" totalsRowCellStyle="Total"/>
    <tableColumn id="15" xr3:uid="{00000000-0010-0000-0200-00000F000000}" name="Oct 2024" totalsRowFunction="sum" dataDxfId="195" totalsRowDxfId="194" totalsRowCellStyle="Total"/>
    <tableColumn id="16" xr3:uid="{00000000-0010-0000-0200-000010000000}" name="Nov 2024" totalsRowFunction="sum" dataDxfId="193" totalsRowDxfId="192" totalsRowCellStyle="Total"/>
    <tableColumn id="17" xr3:uid="{00000000-0010-0000-0200-000011000000}" name="Dec 2024" totalsRowFunction="sum" dataDxfId="191" totalsRowDxfId="190" totalsRowCellStyle="Total"/>
    <tableColumn id="18" xr3:uid="{00000000-0010-0000-0200-000012000000}" name="Jan 2025" totalsRowFunction="sum" dataDxfId="189" totalsRowDxfId="188" totalsRowCellStyle="Total"/>
    <tableColumn id="19" xr3:uid="{00000000-0010-0000-0200-000013000000}" name="Feb 2025" totalsRowFunction="sum" dataDxfId="187" totalsRowDxfId="186" totalsRowCellStyle="Total"/>
    <tableColumn id="20" xr3:uid="{00000000-0010-0000-0200-000014000000}" name="Mar 2025" totalsRowFunction="sum" dataDxfId="185" totalsRowDxfId="184" totalsRowCellStyle="Total"/>
    <tableColumn id="21" xr3:uid="{00000000-0010-0000-0200-000015000000}" name="April 2025" totalsRowFunction="sum" dataDxfId="183" totalsRowDxfId="182" totalsRowCellStyle="Total"/>
    <tableColumn id="22" xr3:uid="{00000000-0010-0000-0200-000016000000}" name="May 2025" totalsRowFunction="sum" dataDxfId="181" totalsRowDxfId="180" totalsRowCellStyle="Total"/>
    <tableColumn id="23" xr3:uid="{00000000-0010-0000-0200-000017000000}" name="June 2025" totalsRowFunction="sum" dataDxfId="179" totalsRowDxfId="178" totalsRowCellStyle="Total"/>
    <tableColumn id="26" xr3:uid="{00000000-0010-0000-0200-00001A000000}" name="Total" totalsRowFunction="sum" dataDxfId="177" totalsRowDxfId="176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5" dataDxfId="173" headerRowBorderDxfId="174" tableBorderDxfId="172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1" totalsRowDxfId="170" totalsRowCellStyle="Total"/>
    <tableColumn id="2" xr3:uid="{00000000-0010-0000-0300-000002000000}" name="Budget Item Number or Authority" dataDxfId="169" totalsRowDxfId="168" totalsRowCellStyle="Total"/>
    <tableColumn id="3" xr3:uid="{00000000-0010-0000-0300-000003000000}" name="State Budget Authority" dataDxfId="167" totalsRowDxfId="166" totalsRowCellStyle="Total"/>
    <tableColumn id="8" xr3:uid="{177DAC6F-A246-4F00-852D-0DF9416C6E0D}" name="Fiscal_x000a_Year" dataDxfId="165" totalsRowDxfId="164" totalsRowCellStyle="Total"/>
    <tableColumn id="4" xr3:uid="{00000000-0010-0000-0300-000004000000}" name="Apportionment Title" dataDxfId="163" totalsRowDxfId="162" totalsRowCellStyle="Total"/>
    <tableColumn id="5" xr3:uid="{00000000-0010-0000-0300-000005000000}" name="SACS _x000a_Res. _x000a_Codes" dataDxfId="161" totalsRowDxfId="160" totalsRowCellStyle="Total"/>
    <tableColumn id="7" xr3:uid="{00000000-0010-0000-0300-000007000000}" name="Fiscal Contact_x000a_ E-mail" dataDxfId="159" totalsRowDxfId="158" totalsRowCellStyle="Total"/>
    <tableColumn id="11" xr3:uid="{00000000-0010-0000-0300-00000B000000}" name="Payment Schedule" dataDxfId="157" totalsRowDxfId="156" totalsRowCellStyle="Total"/>
    <tableColumn id="12" xr3:uid="{00000000-0010-0000-0300-00000C000000}" name="July 2024" totalsRowFunction="sum" dataDxfId="155" totalsRowDxfId="154" totalsRowCellStyle="Total"/>
    <tableColumn id="13" xr3:uid="{00000000-0010-0000-0300-00000D000000}" name="Aug 2024" totalsRowFunction="sum" dataDxfId="153" totalsRowDxfId="152" totalsRowCellStyle="Total"/>
    <tableColumn id="14" xr3:uid="{00000000-0010-0000-0300-00000E000000}" name="Sept 2024" totalsRowFunction="sum" dataDxfId="151" totalsRowDxfId="150" totalsRowCellStyle="Total"/>
    <tableColumn id="15" xr3:uid="{00000000-0010-0000-0300-00000F000000}" name="Oct 2024" totalsRowFunction="sum" dataDxfId="149" totalsRowDxfId="148" totalsRowCellStyle="Total"/>
    <tableColumn id="16" xr3:uid="{00000000-0010-0000-0300-000010000000}" name="Nov 2024" totalsRowFunction="sum" dataDxfId="147" totalsRowDxfId="146" totalsRowCellStyle="Total"/>
    <tableColumn id="17" xr3:uid="{00000000-0010-0000-0300-000011000000}" name="Dec 2024" totalsRowFunction="sum" dataDxfId="145" totalsRowDxfId="144" totalsRowCellStyle="Total"/>
    <tableColumn id="18" xr3:uid="{00000000-0010-0000-0300-000012000000}" name="Jan 2025" totalsRowFunction="sum" dataDxfId="143" totalsRowDxfId="142" totalsRowCellStyle="Total"/>
    <tableColumn id="19" xr3:uid="{00000000-0010-0000-0300-000013000000}" name="Feb 2025" totalsRowFunction="sum" dataDxfId="141" totalsRowDxfId="140" totalsRowCellStyle="Total"/>
    <tableColumn id="20" xr3:uid="{00000000-0010-0000-0300-000014000000}" name="Mar 2025" totalsRowFunction="sum" dataDxfId="139" totalsRowDxfId="138" totalsRowCellStyle="Total"/>
    <tableColumn id="21" xr3:uid="{00000000-0010-0000-0300-000015000000}" name="April 2025" totalsRowFunction="sum" dataDxfId="137" totalsRowDxfId="136" totalsRowCellStyle="Total"/>
    <tableColumn id="22" xr3:uid="{00000000-0010-0000-0300-000016000000}" name="May 2025" totalsRowFunction="sum" dataDxfId="135" totalsRowDxfId="134" totalsRowCellStyle="Total"/>
    <tableColumn id="23" xr3:uid="{00000000-0010-0000-0300-000017000000}" name="June 2025" totalsRowFunction="sum" dataDxfId="133" totalsRowDxfId="132" totalsRowCellStyle="Total"/>
    <tableColumn id="26" xr3:uid="{00000000-0010-0000-0300-00001A000000}" name="Total" totalsRowFunction="sum" dataDxfId="131" totalsRowDxfId="130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29" dataDxfId="127" totalsRowDxfId="125" headerRowBorderDxfId="128" tableBorderDxfId="126" totalsRowCellStyle="Total">
  <autoFilter ref="A7:V33" xr:uid="{00000000-000C-0000-FFFF-FFFF04000000}">
    <filterColumn colId="0" hiddenButton="1"/>
  </autoFilter>
  <tableColumns count="22">
    <tableColumn id="1" xr3:uid="{00000000-0010-0000-0400-000001000000}" name="PCA" totalsRowLabel="Total Federal Payments" dataDxfId="124" totalsRowDxfId="123" totalsRowCellStyle="Total"/>
    <tableColumn id="2" xr3:uid="{00000000-0010-0000-0400-000002000000}" name="Budget Item Number or Authority" data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80" customFormat="1" ht="18" x14ac:dyDescent="0.25">
      <c r="A1" s="79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78" t="s">
        <v>3</v>
      </c>
      <c r="B4" s="2"/>
    </row>
    <row r="5" spans="1:17" ht="15.75" x14ac:dyDescent="0.25">
      <c r="A5" s="75" t="s">
        <v>4</v>
      </c>
      <c r="B5" s="74"/>
    </row>
    <row r="6" spans="1:17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104">
        <v>3136.6</v>
      </c>
      <c r="D7" s="104">
        <v>3138.8</v>
      </c>
      <c r="E7" s="104">
        <v>5373.9</v>
      </c>
      <c r="F7" s="104">
        <v>5371.8</v>
      </c>
      <c r="G7" s="104">
        <v>5029.1000000000004</v>
      </c>
      <c r="H7" s="104">
        <v>5029.1000000000004</v>
      </c>
      <c r="I7" s="104">
        <v>5166.2</v>
      </c>
      <c r="J7" s="104">
        <v>4777.8999999999996</v>
      </c>
      <c r="K7" s="104">
        <v>4777.8999999999996</v>
      </c>
      <c r="L7" s="104">
        <v>4777.8999999999996</v>
      </c>
      <c r="M7" s="104">
        <v>4777.8999999999996</v>
      </c>
      <c r="N7" s="104">
        <v>14.1</v>
      </c>
      <c r="O7" s="24">
        <f t="shared" ref="O7:O11" si="0">SUM(C7:N7)</f>
        <v>51371.199999999997</v>
      </c>
      <c r="Q7" s="121"/>
    </row>
    <row r="8" spans="1:17" s="2" customFormat="1" ht="39.950000000000003" customHeight="1" x14ac:dyDescent="0.25">
      <c r="A8" s="11">
        <v>1</v>
      </c>
      <c r="B8" s="6" t="s">
        <v>21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>
        <f>'1. PA and EPA'!Q8</f>
        <v>2140.8000000000002</v>
      </c>
      <c r="L8" s="17">
        <f>'1. PA and EPA'!R8</f>
        <v>0</v>
      </c>
      <c r="M8" s="17">
        <f>'1. PA and EPA'!S8</f>
        <v>0</v>
      </c>
      <c r="N8" s="39">
        <v>6773.8</v>
      </c>
      <c r="O8" s="46">
        <f t="shared" si="0"/>
        <v>13165.6</v>
      </c>
      <c r="Q8" s="121"/>
    </row>
    <row r="9" spans="1:17" s="2" customFormat="1" ht="39.950000000000003" customHeight="1" x14ac:dyDescent="0.25">
      <c r="A9" s="11">
        <v>1</v>
      </c>
      <c r="B9" s="6" t="s">
        <v>22</v>
      </c>
      <c r="C9" s="17">
        <v>0</v>
      </c>
      <c r="D9" s="17">
        <v>0</v>
      </c>
      <c r="E9" s="39">
        <v>19.8</v>
      </c>
      <c r="F9" s="17">
        <v>0</v>
      </c>
      <c r="G9" s="17">
        <v>0</v>
      </c>
      <c r="H9" s="39">
        <v>9.6999999999999993</v>
      </c>
      <c r="I9" s="17">
        <v>0</v>
      </c>
      <c r="J9" s="38">
        <v>0</v>
      </c>
      <c r="K9" s="38">
        <v>0</v>
      </c>
      <c r="L9" s="17">
        <v>0</v>
      </c>
      <c r="M9" s="17">
        <v>0</v>
      </c>
      <c r="N9" s="38">
        <v>0</v>
      </c>
      <c r="O9" s="46">
        <f t="shared" si="0"/>
        <v>29.5</v>
      </c>
      <c r="Q9" s="121"/>
    </row>
    <row r="10" spans="1:17" s="2" customFormat="1" ht="39.950000000000003" customHeight="1" x14ac:dyDescent="0.25">
      <c r="A10" s="11">
        <v>2</v>
      </c>
      <c r="B10" s="6" t="s">
        <v>23</v>
      </c>
      <c r="C10" s="17">
        <f>Table1[[#Totals],[July 2024]]</f>
        <v>0</v>
      </c>
      <c r="D10" s="17">
        <f>Table1[[#Totals],[Aug 2024]]</f>
        <v>0</v>
      </c>
      <c r="E10" s="17">
        <f>Table1[[#Totals],[Sept 2024]]</f>
        <v>119.9</v>
      </c>
      <c r="F10" s="17">
        <f>Table1[[#Totals],[Oct 2024]]</f>
        <v>0</v>
      </c>
      <c r="G10" s="17">
        <f>Table1[[#Totals],[Nov 2024]]</f>
        <v>291.39999999999998</v>
      </c>
      <c r="H10" s="17">
        <f>Table1[[#Totals],[Dec 2024]]</f>
        <v>0</v>
      </c>
      <c r="I10" s="17">
        <f>Table1[[#Totals],[Jan 2025]]</f>
        <v>26.8</v>
      </c>
      <c r="J10" s="16">
        <f>Table1[[#Totals],[Feb 2025]]</f>
        <v>0</v>
      </c>
      <c r="K10" s="16">
        <f>Table1[[#Totals],[Mar 2025]]</f>
        <v>0</v>
      </c>
      <c r="L10" s="17">
        <f>Table1[[#Totals],[April 2025]]</f>
        <v>9.7999999999999989</v>
      </c>
      <c r="M10" s="17">
        <f>Table1[[#Totals],[May 2025]]</f>
        <v>3.5</v>
      </c>
      <c r="N10" s="16">
        <f>Table1[[#Totals],[June 2025]]</f>
        <v>0</v>
      </c>
      <c r="O10" s="46">
        <f t="shared" si="0"/>
        <v>451.4</v>
      </c>
      <c r="Q10" s="121"/>
    </row>
    <row r="11" spans="1:17" s="2" customFormat="1" ht="39.950000000000003" customHeight="1" x14ac:dyDescent="0.25">
      <c r="A11" s="11">
        <v>3</v>
      </c>
      <c r="B11" s="6" t="s">
        <v>24</v>
      </c>
      <c r="C11" s="18">
        <f>Table4[[#Totals],[July 2024]]</f>
        <v>0</v>
      </c>
      <c r="D11" s="18">
        <f>Table4[[#Totals],[Aug 2024]]</f>
        <v>0</v>
      </c>
      <c r="E11" s="17">
        <f>Table4[[#Totals],[Sept 2024]]</f>
        <v>364.3</v>
      </c>
      <c r="F11" s="18">
        <f>Table4[[#Totals],[Oct 2024]]</f>
        <v>0</v>
      </c>
      <c r="G11" s="18">
        <f>Table4[[#Totals],[Nov 2024]]</f>
        <v>0</v>
      </c>
      <c r="H11" s="17">
        <f>Table4[[#Totals],[Dec 2024]]</f>
        <v>348.8</v>
      </c>
      <c r="I11" s="18">
        <f>Table4[[#Totals],[Jan 2025]]</f>
        <v>0</v>
      </c>
      <c r="J11" s="18">
        <f>Table4[[#Totals],[Feb 2025]]</f>
        <v>0</v>
      </c>
      <c r="K11" s="18">
        <f>Table4[[#Totals],[Mar 2025]]</f>
        <v>443.7</v>
      </c>
      <c r="L11" s="18">
        <f>Table4[[#Totals],[April 2025]]</f>
        <v>0</v>
      </c>
      <c r="M11" s="18">
        <f>Table4[[#Totals],[May 2025]]</f>
        <v>0</v>
      </c>
      <c r="N11" s="18">
        <f>Table4[[#Totals],[June 2025]]</f>
        <v>395.1</v>
      </c>
      <c r="O11" s="46">
        <f t="shared" si="0"/>
        <v>1551.9</v>
      </c>
      <c r="Q11" s="121"/>
    </row>
    <row r="12" spans="1:17" s="2" customFormat="1" ht="39.950000000000003" customHeight="1" x14ac:dyDescent="0.25">
      <c r="A12" s="12">
        <v>4</v>
      </c>
      <c r="B12" s="13" t="s">
        <v>25</v>
      </c>
      <c r="C12" s="42">
        <f>Table5[[#Totals],[July 2024]]</f>
        <v>0</v>
      </c>
      <c r="D12" s="42">
        <f>Table5[[#Totals],[Aug 2024]]</f>
        <v>0</v>
      </c>
      <c r="E12" s="42">
        <f>Table5[[#Totals],[Sept 2024]]</f>
        <v>1556.6</v>
      </c>
      <c r="F12" s="41">
        <f>Table5[[#Totals],[Oct 2024]]</f>
        <v>862.29999999999984</v>
      </c>
      <c r="G12" s="41">
        <f>Table5[[#Totals],[Nov 2024]]</f>
        <v>0</v>
      </c>
      <c r="H12" s="41">
        <f>Table5[[#Totals],[Dec 2024]]</f>
        <v>2345.5999999999995</v>
      </c>
      <c r="I12" s="41">
        <f>Table5[[#Totals],[Jan 2025]]</f>
        <v>0</v>
      </c>
      <c r="J12" s="41">
        <f>Table5[[#Totals],[Feb 2025]]</f>
        <v>1.8</v>
      </c>
      <c r="K12" s="41">
        <f>Table5[[#Totals],[Mar 2025]]</f>
        <v>454.2000000000001</v>
      </c>
      <c r="L12" s="41">
        <f>Table5[[#Totals],[April 2025]]</f>
        <v>14.9</v>
      </c>
      <c r="M12" s="41">
        <f>Table5[[#Totals],[May 2025]]</f>
        <v>36.1</v>
      </c>
      <c r="N12" s="41">
        <f>Table5[[#Totals],[June 2025]]</f>
        <v>246.8</v>
      </c>
      <c r="O12" s="47">
        <f>SUM(C12:N12)</f>
        <v>5518.2999999999993</v>
      </c>
      <c r="Q12" s="121"/>
    </row>
    <row r="13" spans="1:17" ht="15.75" x14ac:dyDescent="0.25">
      <c r="A13" s="112" t="s">
        <v>26</v>
      </c>
      <c r="B13" s="113"/>
      <c r="C13" s="114">
        <f>SUBTOTAL(109,Table3[July 2024])</f>
        <v>3136.6</v>
      </c>
      <c r="D13" s="114">
        <f>SUBTOTAL(109,Table3[Aug 2024])</f>
        <v>3138.8</v>
      </c>
      <c r="E13" s="114">
        <f>SUBTOTAL(109,Table3[Sept 2024])</f>
        <v>9560</v>
      </c>
      <c r="F13" s="114">
        <f>SUBTOTAL(109,Table3[Oct 2024])</f>
        <v>6234.1</v>
      </c>
      <c r="G13" s="114">
        <f>SUBTOTAL(109,Table3[Nov 2024])</f>
        <v>5320.5</v>
      </c>
      <c r="H13" s="114">
        <f>SUBTOTAL(109,Table3[Dec 2024])</f>
        <v>9858.7000000000007</v>
      </c>
      <c r="I13" s="114">
        <f>SUBTOTAL(109,Table3[Jan 2025])</f>
        <v>5193</v>
      </c>
      <c r="J13" s="114">
        <f>SUBTOTAL(109,Table3[Feb 2025])</f>
        <v>4779.7</v>
      </c>
      <c r="K13" s="114">
        <f>SUBTOTAL(109,Table3[Mar 2025])</f>
        <v>7816.5999999999995</v>
      </c>
      <c r="L13" s="114">
        <f>SUBTOTAL(109,Table3[April 2025])</f>
        <v>4802.5999999999995</v>
      </c>
      <c r="M13" s="114">
        <f>SUBTOTAL(109,Table3[May 2025])</f>
        <v>4817.5</v>
      </c>
      <c r="N13" s="114">
        <f>SUBTOTAL(109,Table3[June 2025])</f>
        <v>7429.8000000000011</v>
      </c>
      <c r="O13" s="114">
        <f>SUBTOTAL(109,Table3[Total])</f>
        <v>72087.899999999994</v>
      </c>
      <c r="Q13" s="121"/>
    </row>
    <row r="14" spans="1:17" x14ac:dyDescent="0.2">
      <c r="A14" t="s">
        <v>27</v>
      </c>
      <c r="B14" s="1"/>
    </row>
    <row r="15" spans="1:17" x14ac:dyDescent="0.2">
      <c r="A15" t="s">
        <v>28</v>
      </c>
      <c r="B15" s="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7" x14ac:dyDescent="0.2">
      <c r="A16" t="s">
        <v>29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3" x14ac:dyDescent="0.2">
      <c r="A17" s="125" t="s">
        <v>30</v>
      </c>
    </row>
    <row r="21" spans="1:3" x14ac:dyDescent="0.2">
      <c r="C21" s="15"/>
    </row>
  </sheetData>
  <phoneticPr fontId="20" type="noConversion"/>
  <conditionalFormatting sqref="C7:O12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3" max="23" width="10.33203125" bestFit="1" customWidth="1"/>
  </cols>
  <sheetData>
    <row r="1" spans="1:23" ht="18" x14ac:dyDescent="0.25">
      <c r="A1" s="81" t="s">
        <v>31</v>
      </c>
    </row>
    <row r="2" spans="1:23" x14ac:dyDescent="0.2">
      <c r="A2" t="s">
        <v>1</v>
      </c>
      <c r="H2" s="5"/>
    </row>
    <row r="3" spans="1:23" ht="18.75" x14ac:dyDescent="0.25">
      <c r="A3" s="105" t="s">
        <v>32</v>
      </c>
      <c r="B3" s="2"/>
    </row>
    <row r="4" spans="1:23" ht="18.75" x14ac:dyDescent="0.25">
      <c r="A4" s="105" t="s">
        <v>33</v>
      </c>
      <c r="B4" s="2"/>
    </row>
    <row r="5" spans="1:23" ht="15.75" x14ac:dyDescent="0.25">
      <c r="A5" s="103" t="s">
        <v>34</v>
      </c>
      <c r="H5" s="5"/>
    </row>
    <row r="6" spans="1:23" ht="66.599999999999994" customHeight="1" x14ac:dyDescent="0.25">
      <c r="A6" s="34" t="s">
        <v>35</v>
      </c>
      <c r="B6" s="35" t="s">
        <v>36</v>
      </c>
      <c r="C6" s="35" t="s">
        <v>37</v>
      </c>
      <c r="D6" s="35" t="s">
        <v>38</v>
      </c>
      <c r="E6" s="35" t="s">
        <v>39</v>
      </c>
      <c r="F6" s="35" t="s">
        <v>40</v>
      </c>
      <c r="G6" s="35" t="s">
        <v>41</v>
      </c>
      <c r="H6" s="35" t="s">
        <v>42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3" s="15" customFormat="1" ht="45" customHeight="1" x14ac:dyDescent="0.2">
      <c r="A7" s="48" t="s">
        <v>43</v>
      </c>
      <c r="B7" s="19" t="s">
        <v>44</v>
      </c>
      <c r="C7" s="49" t="s">
        <v>44</v>
      </c>
      <c r="D7" s="51" t="s">
        <v>45</v>
      </c>
      <c r="E7" s="50" t="s">
        <v>20</v>
      </c>
      <c r="F7" s="19" t="s">
        <v>46</v>
      </c>
      <c r="G7" s="21" t="s">
        <v>47</v>
      </c>
      <c r="H7" s="25" t="s">
        <v>48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>
        <v>4777.8999999999996</v>
      </c>
      <c r="Q7" s="52">
        <v>4777.8999999999996</v>
      </c>
      <c r="R7" s="52">
        <v>4777.8999999999996</v>
      </c>
      <c r="S7" s="52">
        <v>4777.8999999999996</v>
      </c>
      <c r="T7" s="52">
        <v>14.1</v>
      </c>
      <c r="U7" s="53">
        <f>SUM(Table2[[#This Row],[July 2024]:[June 2025]])</f>
        <v>51371.199999999997</v>
      </c>
      <c r="W7" s="122"/>
    </row>
    <row r="8" spans="1:23" s="15" customFormat="1" ht="45" customHeight="1" x14ac:dyDescent="0.2">
      <c r="A8" s="48">
        <v>25226</v>
      </c>
      <c r="B8" s="19" t="s">
        <v>44</v>
      </c>
      <c r="C8" s="49" t="s">
        <v>44</v>
      </c>
      <c r="D8" s="51" t="s">
        <v>45</v>
      </c>
      <c r="E8" s="22" t="s">
        <v>21</v>
      </c>
      <c r="F8" s="19" t="s">
        <v>49</v>
      </c>
      <c r="G8" s="21" t="s">
        <v>47</v>
      </c>
      <c r="H8" s="25" t="s">
        <v>50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76">
        <v>2140.8000000000002</v>
      </c>
      <c r="R8" s="55">
        <v>0</v>
      </c>
      <c r="S8" s="55">
        <v>0</v>
      </c>
      <c r="T8" s="60">
        <v>6773.8</v>
      </c>
      <c r="U8" s="53">
        <f>SUM(Table2[[#This Row],[July 2024]:[June 2025]])</f>
        <v>13165.6</v>
      </c>
    </row>
    <row r="9" spans="1:23" s="15" customFormat="1" ht="45" customHeight="1" x14ac:dyDescent="0.2">
      <c r="A9" s="57" t="s">
        <v>51</v>
      </c>
      <c r="B9" s="19" t="s">
        <v>52</v>
      </c>
      <c r="C9" s="90">
        <v>5569500000</v>
      </c>
      <c r="D9" s="51" t="s">
        <v>45</v>
      </c>
      <c r="E9" s="58" t="s">
        <v>53</v>
      </c>
      <c r="F9" s="20" t="s">
        <v>54</v>
      </c>
      <c r="G9" s="21" t="s">
        <v>47</v>
      </c>
      <c r="H9" s="25" t="s">
        <v>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3" s="15" customFormat="1" ht="45" customHeight="1" x14ac:dyDescent="0.2">
      <c r="A10" s="48">
        <v>23766</v>
      </c>
      <c r="B10" s="19" t="s">
        <v>55</v>
      </c>
      <c r="C10" s="90">
        <v>9383000</v>
      </c>
      <c r="D10" s="51" t="s">
        <v>45</v>
      </c>
      <c r="E10" s="58" t="s">
        <v>56</v>
      </c>
      <c r="F10" s="19" t="s">
        <v>57</v>
      </c>
      <c r="G10" s="21" t="s">
        <v>47</v>
      </c>
      <c r="H10" s="25" t="s">
        <v>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3" s="15" customFormat="1" ht="45" customHeight="1" x14ac:dyDescent="0.2">
      <c r="A11" s="48">
        <v>23751</v>
      </c>
      <c r="B11" s="19" t="s">
        <v>44</v>
      </c>
      <c r="C11" s="49" t="s">
        <v>44</v>
      </c>
      <c r="D11" s="51" t="s">
        <v>45</v>
      </c>
      <c r="E11" s="22" t="s">
        <v>22</v>
      </c>
      <c r="F11" s="25" t="s">
        <v>46</v>
      </c>
      <c r="G11" s="21" t="s">
        <v>47</v>
      </c>
      <c r="H11" s="59" t="s">
        <v>58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83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3" s="15" customFormat="1" ht="45" customHeight="1" x14ac:dyDescent="0.2">
      <c r="A12" s="48">
        <v>25709</v>
      </c>
      <c r="B12" s="19" t="s">
        <v>44</v>
      </c>
      <c r="C12" s="49" t="s">
        <v>44</v>
      </c>
      <c r="D12" s="51" t="s">
        <v>45</v>
      </c>
      <c r="E12" s="61" t="s">
        <v>59</v>
      </c>
      <c r="F12" s="25" t="s">
        <v>46</v>
      </c>
      <c r="G12" s="21" t="s">
        <v>47</v>
      </c>
      <c r="H12" s="59" t="s">
        <v>48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3" s="15" customFormat="1" ht="45" customHeight="1" x14ac:dyDescent="0.2">
      <c r="A13" s="48">
        <v>25631</v>
      </c>
      <c r="B13" s="63" t="s">
        <v>60</v>
      </c>
      <c r="C13" s="49">
        <v>3995000000</v>
      </c>
      <c r="D13" s="51" t="s">
        <v>45</v>
      </c>
      <c r="E13" s="61" t="s">
        <v>61</v>
      </c>
      <c r="F13" s="19">
        <v>2600</v>
      </c>
      <c r="G13" s="21" t="s">
        <v>47</v>
      </c>
      <c r="H13" s="25" t="s">
        <v>48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3" s="15" customFormat="1" ht="45" customHeight="1" x14ac:dyDescent="0.2">
      <c r="A14" s="48">
        <v>25739</v>
      </c>
      <c r="B14" s="66" t="s">
        <v>62</v>
      </c>
      <c r="C14" s="90">
        <v>907138000</v>
      </c>
      <c r="D14" s="51" t="s">
        <v>45</v>
      </c>
      <c r="E14" s="82" t="s">
        <v>63</v>
      </c>
      <c r="F14" s="67">
        <v>6770</v>
      </c>
      <c r="G14" s="21" t="s">
        <v>47</v>
      </c>
      <c r="H14" s="68" t="s">
        <v>48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3" s="15" customFormat="1" ht="45" customHeight="1" x14ac:dyDescent="0.2">
      <c r="A15" s="48">
        <v>25717</v>
      </c>
      <c r="B15" s="66" t="s">
        <v>64</v>
      </c>
      <c r="C15" s="49">
        <v>303210000</v>
      </c>
      <c r="D15" s="51" t="s">
        <v>45</v>
      </c>
      <c r="E15" s="61" t="s">
        <v>65</v>
      </c>
      <c r="F15" s="67">
        <v>7399</v>
      </c>
      <c r="G15" s="21" t="s">
        <v>47</v>
      </c>
      <c r="H15" s="68" t="s">
        <v>48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3" s="15" customFormat="1" ht="45" customHeight="1" x14ac:dyDescent="0.2">
      <c r="A16" s="48">
        <v>25751</v>
      </c>
      <c r="B16" s="66" t="s">
        <v>66</v>
      </c>
      <c r="C16" s="91" t="s">
        <v>44</v>
      </c>
      <c r="D16" s="51" t="s">
        <v>45</v>
      </c>
      <c r="E16" s="106" t="s">
        <v>67</v>
      </c>
      <c r="F16" s="67">
        <v>6018</v>
      </c>
      <c r="G16" s="21" t="s">
        <v>47</v>
      </c>
      <c r="H16" s="68" t="s">
        <v>48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6" t="s">
        <v>68</v>
      </c>
      <c r="B17" s="127"/>
      <c r="C17" s="128"/>
      <c r="D17" s="129"/>
      <c r="E17" s="130"/>
      <c r="F17" s="128"/>
      <c r="G17" s="127"/>
      <c r="H17" s="128"/>
      <c r="I17" s="131">
        <f>SUBTOTAL(109,Table2[July 2024])</f>
        <v>3136.6</v>
      </c>
      <c r="J17" s="131">
        <f>SUBTOTAL(109,Table2[Aug 2024])</f>
        <v>3138.8</v>
      </c>
      <c r="K17" s="131">
        <f>SUBTOTAL(109,Table2[Sept 2024])</f>
        <v>7519.2</v>
      </c>
      <c r="L17" s="131">
        <f>SUBTOTAL(109,Table2[Oct 2024])</f>
        <v>5371.8</v>
      </c>
      <c r="M17" s="131">
        <f>SUBTOTAL(109,Table2[Nov 2024])</f>
        <v>5029.1000000000004</v>
      </c>
      <c r="N17" s="131">
        <f>SUBTOTAL(109,Table2[Dec 2024])</f>
        <v>7164.3</v>
      </c>
      <c r="O17" s="131">
        <f>SUBTOTAL(109,Table2[Jan 2025])</f>
        <v>5166.2</v>
      </c>
      <c r="P17" s="131">
        <f>SUBTOTAL(109,Table2[Feb 2025])</f>
        <v>4777.8999999999996</v>
      </c>
      <c r="Q17" s="131">
        <f>SUBTOTAL(109,Table2[Mar 2025])</f>
        <v>6918.7</v>
      </c>
      <c r="R17" s="131">
        <f>SUBTOTAL(109,Table2[April 2025])</f>
        <v>4777.8999999999996</v>
      </c>
      <c r="S17" s="131">
        <f>SUBTOTAL(109,Table2[May 2025])</f>
        <v>4777.8999999999996</v>
      </c>
      <c r="T17" s="131">
        <f>SUBTOTAL(109,Table2[June 2025])</f>
        <v>6787.9000000000005</v>
      </c>
      <c r="U17" s="131">
        <f>SUBTOTAL(109,Table2[Total])</f>
        <v>64566.299999999996</v>
      </c>
    </row>
    <row r="18" spans="1:21" x14ac:dyDescent="0.2">
      <c r="A18" t="s">
        <v>27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28</v>
      </c>
    </row>
    <row r="20" spans="1:21" x14ac:dyDescent="0.2">
      <c r="A20" t="s">
        <v>29</v>
      </c>
    </row>
    <row r="21" spans="1:21" x14ac:dyDescent="0.2">
      <c r="A21" s="14" t="str">
        <f>Summary!A17</f>
        <v>July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4" ht="18" x14ac:dyDescent="0.25">
      <c r="A1" s="10" t="s">
        <v>69</v>
      </c>
    </row>
    <row r="2" spans="1:24" x14ac:dyDescent="0.2">
      <c r="A2" t="s">
        <v>1</v>
      </c>
    </row>
    <row r="3" spans="1:24" ht="15.75" x14ac:dyDescent="0.25">
      <c r="A3" t="s">
        <v>70</v>
      </c>
    </row>
    <row r="4" spans="1:24" ht="66" customHeight="1" x14ac:dyDescent="0.25">
      <c r="A4" s="34" t="s">
        <v>35</v>
      </c>
      <c r="B4" s="35" t="s">
        <v>36</v>
      </c>
      <c r="C4" s="35" t="s">
        <v>71</v>
      </c>
      <c r="D4" s="35" t="s">
        <v>72</v>
      </c>
      <c r="E4" s="35" t="s">
        <v>38</v>
      </c>
      <c r="F4" s="35" t="s">
        <v>39</v>
      </c>
      <c r="G4" s="35" t="s">
        <v>40</v>
      </c>
      <c r="H4" s="35" t="s">
        <v>73</v>
      </c>
      <c r="I4" s="35" t="s">
        <v>74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4" s="15" customFormat="1" ht="45" customHeight="1" x14ac:dyDescent="0.2">
      <c r="A5" s="48" t="s">
        <v>75</v>
      </c>
      <c r="B5" s="20" t="s">
        <v>76</v>
      </c>
      <c r="C5" s="49">
        <v>6217000</v>
      </c>
      <c r="D5" s="49">
        <v>6217000</v>
      </c>
      <c r="E5" s="92" t="s">
        <v>45</v>
      </c>
      <c r="F5" s="22" t="s">
        <v>77</v>
      </c>
      <c r="G5" s="19">
        <v>7810</v>
      </c>
      <c r="H5" s="21" t="s">
        <v>3</v>
      </c>
      <c r="I5" s="25" t="s">
        <v>78</v>
      </c>
      <c r="J5" s="70">
        <v>0</v>
      </c>
      <c r="K5" s="70">
        <v>0</v>
      </c>
      <c r="L5" s="123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  <c r="X5" s="133"/>
    </row>
    <row r="6" spans="1:24" s="15" customFormat="1" ht="45" customHeight="1" x14ac:dyDescent="0.2">
      <c r="A6" s="48">
        <v>23434</v>
      </c>
      <c r="B6" s="93" t="s">
        <v>79</v>
      </c>
      <c r="C6" s="49">
        <v>8739000</v>
      </c>
      <c r="D6" s="49">
        <v>8739000</v>
      </c>
      <c r="E6" s="92" t="s">
        <v>45</v>
      </c>
      <c r="F6" s="22" t="s">
        <v>80</v>
      </c>
      <c r="G6" s="19">
        <v>6731</v>
      </c>
      <c r="H6" s="21" t="s">
        <v>3</v>
      </c>
      <c r="I6" s="25" t="s">
        <v>78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123">
        <v>8.6999999999999993</v>
      </c>
      <c r="T6" s="55"/>
      <c r="U6" s="70">
        <v>0</v>
      </c>
      <c r="V6" s="71">
        <f>SUM(Table1[[#This Row],[July 2024]:[June 2025]])</f>
        <v>8.6999999999999993</v>
      </c>
      <c r="X6" s="133"/>
    </row>
    <row r="7" spans="1:24" s="15" customFormat="1" ht="45" customHeight="1" x14ac:dyDescent="0.2">
      <c r="A7" s="94" t="s">
        <v>81</v>
      </c>
      <c r="B7" s="20" t="s">
        <v>82</v>
      </c>
      <c r="C7" s="49">
        <v>1161000</v>
      </c>
      <c r="D7" s="49">
        <v>1161000</v>
      </c>
      <c r="E7" s="92" t="s">
        <v>45</v>
      </c>
      <c r="F7" s="22" t="s">
        <v>83</v>
      </c>
      <c r="G7" s="25" t="s">
        <v>84</v>
      </c>
      <c r="H7" s="21" t="s">
        <v>3</v>
      </c>
      <c r="I7" s="25" t="s">
        <v>78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123">
        <v>1.1000000000000001</v>
      </c>
      <c r="T7" s="55"/>
      <c r="U7" s="70">
        <v>0</v>
      </c>
      <c r="V7" s="71">
        <f>SUM(Table1[[#This Row],[July 2024]:[June 2025]])</f>
        <v>1.1000000000000001</v>
      </c>
      <c r="X7" s="133"/>
    </row>
    <row r="8" spans="1:24" s="15" customFormat="1" ht="45" customHeight="1" x14ac:dyDescent="0.2">
      <c r="A8" s="48">
        <v>25660</v>
      </c>
      <c r="B8" s="20" t="s">
        <v>85</v>
      </c>
      <c r="C8" s="49">
        <v>35000000</v>
      </c>
      <c r="D8" s="49">
        <v>17713073</v>
      </c>
      <c r="E8" s="51" t="s">
        <v>86</v>
      </c>
      <c r="F8" s="22" t="s">
        <v>87</v>
      </c>
      <c r="G8" s="73">
        <v>7415</v>
      </c>
      <c r="H8" s="21" t="s">
        <v>88</v>
      </c>
      <c r="I8" s="25" t="s">
        <v>78</v>
      </c>
      <c r="J8" s="55">
        <v>0</v>
      </c>
      <c r="K8" s="70">
        <v>0</v>
      </c>
      <c r="L8" s="123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  <c r="X8" s="133"/>
    </row>
    <row r="9" spans="1:24" s="15" customFormat="1" ht="45" customHeight="1" x14ac:dyDescent="0.2">
      <c r="A9" s="48">
        <v>25691</v>
      </c>
      <c r="B9" s="20" t="s">
        <v>89</v>
      </c>
      <c r="C9" s="49">
        <v>90000000</v>
      </c>
      <c r="D9" s="49">
        <v>90000000</v>
      </c>
      <c r="E9" s="92" t="s">
        <v>86</v>
      </c>
      <c r="F9" s="22" t="s">
        <v>87</v>
      </c>
      <c r="G9" s="73">
        <v>7415</v>
      </c>
      <c r="H9" s="21" t="s">
        <v>88</v>
      </c>
      <c r="I9" s="25" t="s">
        <v>78</v>
      </c>
      <c r="J9" s="55">
        <v>0</v>
      </c>
      <c r="K9" s="55">
        <v>0</v>
      </c>
      <c r="L9" s="124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  <c r="X9" s="133"/>
    </row>
    <row r="10" spans="1:24" s="15" customFormat="1" ht="45" customHeight="1" x14ac:dyDescent="0.2">
      <c r="A10" s="48" t="s">
        <v>90</v>
      </c>
      <c r="B10" s="20" t="s">
        <v>91</v>
      </c>
      <c r="C10" s="49">
        <v>8059000</v>
      </c>
      <c r="D10" s="49">
        <v>8059000</v>
      </c>
      <c r="E10" s="51" t="s">
        <v>45</v>
      </c>
      <c r="F10" s="22" t="s">
        <v>92</v>
      </c>
      <c r="G10" s="73">
        <v>7810</v>
      </c>
      <c r="H10" s="21" t="s">
        <v>3</v>
      </c>
      <c r="I10" s="108" t="s">
        <v>78</v>
      </c>
      <c r="J10" s="55">
        <v>0</v>
      </c>
      <c r="K10" s="55">
        <v>0</v>
      </c>
      <c r="L10" s="124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  <c r="X10" s="133"/>
    </row>
    <row r="11" spans="1:24" s="15" customFormat="1" ht="45" customHeight="1" x14ac:dyDescent="0.2">
      <c r="A11" s="48">
        <v>25769</v>
      </c>
      <c r="B11" s="20" t="s">
        <v>93</v>
      </c>
      <c r="C11" s="49">
        <v>25000000</v>
      </c>
      <c r="D11" s="49">
        <v>25000000</v>
      </c>
      <c r="E11" s="92" t="s">
        <v>45</v>
      </c>
      <c r="F11" s="22" t="s">
        <v>94</v>
      </c>
      <c r="G11" s="73">
        <v>7810</v>
      </c>
      <c r="H11" s="21" t="s">
        <v>3</v>
      </c>
      <c r="I11" s="25" t="s">
        <v>78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124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  <c r="X11" s="133"/>
    </row>
    <row r="12" spans="1:24" s="15" customFormat="1" ht="45" customHeight="1" x14ac:dyDescent="0.2">
      <c r="A12" s="48">
        <v>25186</v>
      </c>
      <c r="B12" s="95" t="s">
        <v>95</v>
      </c>
      <c r="C12" s="96">
        <v>266843000</v>
      </c>
      <c r="D12" s="96">
        <v>266843000</v>
      </c>
      <c r="E12" s="51" t="s">
        <v>45</v>
      </c>
      <c r="F12" s="22" t="s">
        <v>96</v>
      </c>
      <c r="G12" s="19" t="s">
        <v>46</v>
      </c>
      <c r="H12" s="21" t="s">
        <v>97</v>
      </c>
      <c r="I12" s="25" t="s">
        <v>78</v>
      </c>
      <c r="J12" s="70">
        <v>0</v>
      </c>
      <c r="K12" s="70">
        <v>0</v>
      </c>
      <c r="L12" s="70">
        <v>0</v>
      </c>
      <c r="M12" s="70">
        <v>0</v>
      </c>
      <c r="N12" s="123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  <c r="X12" s="133"/>
    </row>
    <row r="13" spans="1:24" s="15" customFormat="1" ht="45" customHeight="1" x14ac:dyDescent="0.2">
      <c r="A13" s="48">
        <v>25718</v>
      </c>
      <c r="B13" s="20" t="s">
        <v>98</v>
      </c>
      <c r="C13" s="49">
        <v>3500000</v>
      </c>
      <c r="D13" s="49">
        <v>3500000</v>
      </c>
      <c r="E13" s="92" t="s">
        <v>45</v>
      </c>
      <c r="F13" s="22" t="s">
        <v>99</v>
      </c>
      <c r="G13" s="19">
        <v>6620</v>
      </c>
      <c r="H13" s="23" t="s">
        <v>3</v>
      </c>
      <c r="I13" s="25" t="s">
        <v>78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70">
        <v>0</v>
      </c>
      <c r="S13" s="70">
        <v>0</v>
      </c>
      <c r="T13" s="124">
        <v>3.5</v>
      </c>
      <c r="U13" s="55">
        <v>0</v>
      </c>
      <c r="V13" s="72">
        <f>SUM(Table1[[#This Row],[July 2024]:[June 2025]])</f>
        <v>3.5</v>
      </c>
      <c r="X13" s="133"/>
    </row>
    <row r="14" spans="1:24" s="15" customFormat="1" ht="45" customHeight="1" x14ac:dyDescent="0.2">
      <c r="A14" s="48">
        <v>25592</v>
      </c>
      <c r="B14" s="20" t="s">
        <v>100</v>
      </c>
      <c r="C14" s="49">
        <v>3920000</v>
      </c>
      <c r="D14" s="49">
        <v>3920000</v>
      </c>
      <c r="E14" s="51" t="s">
        <v>45</v>
      </c>
      <c r="F14" s="22" t="s">
        <v>101</v>
      </c>
      <c r="G14" s="19">
        <v>7810</v>
      </c>
      <c r="H14" s="21" t="s">
        <v>3</v>
      </c>
      <c r="I14" s="108" t="s">
        <v>78</v>
      </c>
      <c r="J14" s="55">
        <v>0</v>
      </c>
      <c r="K14" s="55">
        <v>0</v>
      </c>
      <c r="L14" s="124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  <c r="X14" s="133"/>
    </row>
    <row r="15" spans="1:24" s="15" customFormat="1" ht="45" customHeight="1" x14ac:dyDescent="0.2">
      <c r="A15" s="48" t="s">
        <v>102</v>
      </c>
      <c r="B15" s="97" t="s">
        <v>103</v>
      </c>
      <c r="C15" s="49">
        <v>26184000</v>
      </c>
      <c r="D15" s="49">
        <v>26184000</v>
      </c>
      <c r="E15" s="20" t="s">
        <v>45</v>
      </c>
      <c r="F15" s="22" t="s">
        <v>104</v>
      </c>
      <c r="G15" s="77" t="s">
        <v>105</v>
      </c>
      <c r="H15" s="23" t="s">
        <v>3</v>
      </c>
      <c r="I15" s="25" t="s">
        <v>78</v>
      </c>
      <c r="J15" s="70">
        <v>0</v>
      </c>
      <c r="K15" s="70">
        <v>0</v>
      </c>
      <c r="L15" s="70">
        <v>0</v>
      </c>
      <c r="M15" s="70">
        <v>0</v>
      </c>
      <c r="N15" s="123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  <c r="X15" s="133"/>
    </row>
    <row r="16" spans="1:24" s="15" customFormat="1" ht="45" customHeight="1" x14ac:dyDescent="0.2">
      <c r="A16" s="48">
        <v>23318</v>
      </c>
      <c r="B16" s="20" t="s">
        <v>106</v>
      </c>
      <c r="C16" s="49">
        <v>1787101</v>
      </c>
      <c r="D16" s="49">
        <v>1787101</v>
      </c>
      <c r="E16" s="51" t="s">
        <v>45</v>
      </c>
      <c r="F16" s="22" t="s">
        <v>107</v>
      </c>
      <c r="G16" s="19" t="s">
        <v>46</v>
      </c>
      <c r="H16" s="21" t="s">
        <v>3</v>
      </c>
      <c r="I16" s="25" t="s">
        <v>78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23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  <c r="X16" s="133"/>
    </row>
    <row r="17" spans="1:24" ht="15.75" x14ac:dyDescent="0.25">
      <c r="A17" s="126" t="s">
        <v>108</v>
      </c>
      <c r="B17" s="129"/>
      <c r="C17" s="132"/>
      <c r="D17" s="132"/>
      <c r="E17" s="129"/>
      <c r="F17" s="130"/>
      <c r="G17" s="128"/>
      <c r="H17" s="127"/>
      <c r="I17" s="127"/>
      <c r="J17" s="131">
        <f>SUBTOTAL(109,Table1[July 2024])</f>
        <v>0</v>
      </c>
      <c r="K17" s="131">
        <f>SUBTOTAL(109,Table1[Aug 2024])</f>
        <v>0</v>
      </c>
      <c r="L17" s="131">
        <f>SUBTOTAL(109,Table1[Sept 2024])</f>
        <v>119.9</v>
      </c>
      <c r="M17" s="131">
        <f>SUBTOTAL(109,Table1[Oct 2024])</f>
        <v>0</v>
      </c>
      <c r="N17" s="131">
        <f>SUBTOTAL(109,Table1[Nov 2024])</f>
        <v>291.39999999999998</v>
      </c>
      <c r="O17" s="131">
        <f>SUBTOTAL(109,Table1[Dec 2024])</f>
        <v>0</v>
      </c>
      <c r="P17" s="131">
        <f>SUBTOTAL(109,Table1[Jan 2025])</f>
        <v>26.8</v>
      </c>
      <c r="Q17" s="134">
        <f>SUBTOTAL(109,Table1[Feb 2025])</f>
        <v>0</v>
      </c>
      <c r="R17" s="131">
        <f>SUBTOTAL(109,Table1[Mar 2025])</f>
        <v>0</v>
      </c>
      <c r="S17" s="131">
        <f>SUBTOTAL(109,Table1[April 2025])</f>
        <v>9.7999999999999989</v>
      </c>
      <c r="T17" s="131">
        <f>SUBTOTAL(109,Table1[May 2025])</f>
        <v>3.5</v>
      </c>
      <c r="U17" s="131">
        <f>SUBTOTAL(109,Table1[June 2025])</f>
        <v>0</v>
      </c>
      <c r="V17" s="131">
        <f>SUBTOTAL(109,Table1[Total])</f>
        <v>451.4</v>
      </c>
      <c r="X17" s="133"/>
    </row>
    <row r="18" spans="1:24" x14ac:dyDescent="0.2">
      <c r="A18" t="s">
        <v>27</v>
      </c>
    </row>
    <row r="19" spans="1:24" x14ac:dyDescent="0.2">
      <c r="A19" t="s">
        <v>28</v>
      </c>
    </row>
    <row r="20" spans="1:24" x14ac:dyDescent="0.2">
      <c r="A20" t="s">
        <v>29</v>
      </c>
      <c r="C20" s="7"/>
      <c r="D20" s="7"/>
      <c r="E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4" x14ac:dyDescent="0.2">
      <c r="A21" s="14" t="str">
        <f>Summary!A17</f>
        <v>July 2025</v>
      </c>
    </row>
  </sheetData>
  <sheetProtection selectLockedCells="1" selectUnlockedCells="1"/>
  <phoneticPr fontId="20" type="noConversion"/>
  <conditionalFormatting sqref="J5:V5 J6:S7 U6:U7 J8:U16">
    <cfRule type="containsText" dxfId="72" priority="4" stopIfTrue="1" operator="containsText" text="TBD">
      <formula>NOT(ISERROR(SEARCH("TBD",J5)))</formula>
    </cfRule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109</v>
      </c>
    </row>
    <row r="2" spans="1:21" x14ac:dyDescent="0.2">
      <c r="A2" t="s">
        <v>1</v>
      </c>
    </row>
    <row r="3" spans="1:21" ht="15.75" x14ac:dyDescent="0.25">
      <c r="A3" s="103" t="s">
        <v>110</v>
      </c>
      <c r="B3" s="2"/>
    </row>
    <row r="4" spans="1:21" ht="68.45" customHeight="1" x14ac:dyDescent="0.25">
      <c r="A4" s="34" t="s">
        <v>35</v>
      </c>
      <c r="B4" s="35" t="s">
        <v>36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73</v>
      </c>
      <c r="H4" s="35" t="s">
        <v>74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7" t="s">
        <v>111</v>
      </c>
      <c r="B5" s="28" t="s">
        <v>112</v>
      </c>
      <c r="C5" s="44" t="s">
        <v>112</v>
      </c>
      <c r="D5" s="51" t="s">
        <v>113</v>
      </c>
      <c r="E5" s="32" t="s">
        <v>114</v>
      </c>
      <c r="F5" s="29" t="s">
        <v>115</v>
      </c>
      <c r="G5" s="30" t="s">
        <v>3</v>
      </c>
      <c r="H5" s="31" t="s">
        <v>50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111</v>
      </c>
      <c r="B6" s="20" t="s">
        <v>112</v>
      </c>
      <c r="C6" s="45" t="s">
        <v>112</v>
      </c>
      <c r="D6" s="51" t="s">
        <v>45</v>
      </c>
      <c r="E6" s="22" t="s">
        <v>114</v>
      </c>
      <c r="F6" s="19" t="s">
        <v>115</v>
      </c>
      <c r="G6" s="21" t="s">
        <v>3</v>
      </c>
      <c r="H6" s="25" t="s">
        <v>50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11">
        <v>443.7</v>
      </c>
      <c r="R6" s="33">
        <v>0</v>
      </c>
      <c r="S6" s="33">
        <v>0</v>
      </c>
      <c r="T6" s="19">
        <v>395.1</v>
      </c>
      <c r="U6" s="26">
        <f>SUM(Table4[[#This Row],[July 2024]:[June 2025]])</f>
        <v>1187.5999999999999</v>
      </c>
    </row>
    <row r="7" spans="1:21" ht="15.75" x14ac:dyDescent="0.2">
      <c r="A7" s="115" t="s">
        <v>116</v>
      </c>
      <c r="B7" s="115"/>
      <c r="C7" s="115"/>
      <c r="D7" s="115"/>
      <c r="E7" s="115"/>
      <c r="F7" s="116"/>
      <c r="G7" s="115"/>
      <c r="H7" s="115"/>
      <c r="I7" s="117">
        <f>SUBTOTAL(109,Table4[July 2024])</f>
        <v>0</v>
      </c>
      <c r="J7" s="117">
        <f>SUBTOTAL(109,Table4[Aug 2024])</f>
        <v>0</v>
      </c>
      <c r="K7" s="117">
        <f>SUBTOTAL(109,Table4[Sept 2024])</f>
        <v>364.3</v>
      </c>
      <c r="L7" s="117">
        <f>SUBTOTAL(109,Table4[Oct 2024])</f>
        <v>0</v>
      </c>
      <c r="M7" s="117">
        <f>SUBTOTAL(109,Table4[Nov 2024])</f>
        <v>0</v>
      </c>
      <c r="N7" s="117">
        <f>SUBTOTAL(109,Table4[Dec 2024])</f>
        <v>348.8</v>
      </c>
      <c r="O7" s="117">
        <f>SUBTOTAL(109,Table4[Jan 2025])</f>
        <v>0</v>
      </c>
      <c r="P7" s="117">
        <f>SUBTOTAL(109,Table4[Feb 2025])</f>
        <v>0</v>
      </c>
      <c r="Q7" s="117">
        <f>SUBTOTAL(109,Table4[Mar 2025])</f>
        <v>443.7</v>
      </c>
      <c r="R7" s="117">
        <f>SUBTOTAL(109,Table4[April 2025])</f>
        <v>0</v>
      </c>
      <c r="S7" s="117">
        <f>SUBTOTAL(109,Table4[May 2025])</f>
        <v>0</v>
      </c>
      <c r="T7" s="117">
        <f>SUBTOTAL(109,Table4[June 2025])</f>
        <v>395.1</v>
      </c>
      <c r="U7" s="118">
        <f>SUBTOTAL(109,Table4[Total])</f>
        <v>1551.8999999999999</v>
      </c>
    </row>
    <row r="8" spans="1:21" x14ac:dyDescent="0.2">
      <c r="A8" t="s">
        <v>27</v>
      </c>
    </row>
    <row r="9" spans="1:21" x14ac:dyDescent="0.2">
      <c r="A9" t="s">
        <v>28</v>
      </c>
    </row>
    <row r="10" spans="1:21" x14ac:dyDescent="0.2">
      <c r="A10" t="s">
        <v>29</v>
      </c>
    </row>
    <row r="11" spans="1:21" x14ac:dyDescent="0.2">
      <c r="A11" s="14" t="str">
        <f>Summary!A17</f>
        <v>July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10.6640625" bestFit="1" customWidth="1"/>
    <col min="8" max="8" width="17.5546875" bestFit="1" customWidth="1"/>
    <col min="9" max="9" width="21.44140625" bestFit="1" customWidth="1"/>
    <col min="10" max="10" width="13.109375" bestFit="1" customWidth="1"/>
    <col min="11" max="11" width="13" bestFit="1" customWidth="1"/>
    <col min="12" max="12" width="13.44140625" bestFit="1" customWidth="1"/>
    <col min="13" max="22" width="12.6640625" customWidth="1"/>
    <col min="26" max="26" width="26" customWidth="1"/>
  </cols>
  <sheetData>
    <row r="1" spans="1:22" ht="18" x14ac:dyDescent="0.25">
      <c r="A1" s="10" t="s">
        <v>117</v>
      </c>
    </row>
    <row r="2" spans="1:22" x14ac:dyDescent="0.2">
      <c r="A2" t="s">
        <v>1</v>
      </c>
    </row>
    <row r="3" spans="1:22" ht="18" x14ac:dyDescent="0.2">
      <c r="A3" s="43" t="s">
        <v>118</v>
      </c>
    </row>
    <row r="4" spans="1:22" s="9" customFormat="1" ht="18" x14ac:dyDescent="0.2">
      <c r="A4" s="43" t="s">
        <v>119</v>
      </c>
    </row>
    <row r="5" spans="1:22" s="9" customFormat="1" ht="18" x14ac:dyDescent="0.2">
      <c r="A5" s="43" t="s">
        <v>120</v>
      </c>
    </row>
    <row r="6" spans="1:22" ht="15.75" x14ac:dyDescent="0.25">
      <c r="A6" s="103" t="s">
        <v>121</v>
      </c>
    </row>
    <row r="7" spans="1:22" ht="63.6" customHeight="1" x14ac:dyDescent="0.25">
      <c r="A7" s="34" t="s">
        <v>35</v>
      </c>
      <c r="B7" s="35" t="s">
        <v>36</v>
      </c>
      <c r="C7" s="35" t="s">
        <v>71</v>
      </c>
      <c r="D7" s="35" t="s">
        <v>72</v>
      </c>
      <c r="E7" s="35" t="s">
        <v>38</v>
      </c>
      <c r="F7" s="35" t="s">
        <v>39</v>
      </c>
      <c r="G7" s="35" t="s">
        <v>40</v>
      </c>
      <c r="H7" s="35" t="s">
        <v>73</v>
      </c>
      <c r="I7" s="35" t="s">
        <v>74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122</v>
      </c>
      <c r="C8" s="49">
        <v>13571726487</v>
      </c>
      <c r="D8" s="98">
        <v>254362742</v>
      </c>
      <c r="E8" s="51" t="s">
        <v>123</v>
      </c>
      <c r="F8" s="50" t="s">
        <v>124</v>
      </c>
      <c r="G8" s="20" t="s">
        <v>125</v>
      </c>
      <c r="H8" s="21" t="s">
        <v>3</v>
      </c>
      <c r="I8" s="25" t="s">
        <v>50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4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126</v>
      </c>
      <c r="C9" s="49">
        <v>55560291</v>
      </c>
      <c r="D9" s="98">
        <v>16380654</v>
      </c>
      <c r="E9" s="20" t="s">
        <v>127</v>
      </c>
      <c r="F9" s="22" t="s">
        <v>128</v>
      </c>
      <c r="G9" s="20">
        <v>5634</v>
      </c>
      <c r="H9" s="21" t="s">
        <v>3</v>
      </c>
      <c r="I9" s="25" t="s">
        <v>50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4">
        <f>SUM(Table5[[#This Row],[July 2024]:[June 2025]])</f>
        <v>16</v>
      </c>
    </row>
    <row r="10" spans="1:22" s="15" customFormat="1" ht="60.95" customHeight="1" x14ac:dyDescent="0.2">
      <c r="A10" s="94" t="s">
        <v>129</v>
      </c>
      <c r="B10" s="20" t="s">
        <v>130</v>
      </c>
      <c r="C10" s="49">
        <v>437390000</v>
      </c>
      <c r="D10" s="98">
        <v>49563634</v>
      </c>
      <c r="E10" s="20" t="s">
        <v>123</v>
      </c>
      <c r="F10" s="22" t="s">
        <v>131</v>
      </c>
      <c r="G10" s="20">
        <v>3218</v>
      </c>
      <c r="H10" s="21" t="s">
        <v>3</v>
      </c>
      <c r="I10" s="25" t="s">
        <v>50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4">
        <f>SUM(Table5[[#This Row],[July 2024]:[June 2025]])</f>
        <v>44.400000000000006</v>
      </c>
    </row>
    <row r="11" spans="1:22" s="15" customFormat="1" ht="60.95" customHeight="1" x14ac:dyDescent="0.2">
      <c r="A11" s="94" t="s">
        <v>132</v>
      </c>
      <c r="B11" s="20" t="s">
        <v>130</v>
      </c>
      <c r="C11" s="49">
        <v>753985000</v>
      </c>
      <c r="D11" s="98">
        <v>104491237</v>
      </c>
      <c r="E11" s="20" t="s">
        <v>123</v>
      </c>
      <c r="F11" s="61" t="s">
        <v>133</v>
      </c>
      <c r="G11" s="20">
        <v>3219</v>
      </c>
      <c r="H11" s="21" t="s">
        <v>3</v>
      </c>
      <c r="I11" s="25" t="s">
        <v>50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4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134</v>
      </c>
      <c r="C12" s="49">
        <v>133228000</v>
      </c>
      <c r="D12" s="98">
        <v>83811493</v>
      </c>
      <c r="E12" s="20" t="s">
        <v>86</v>
      </c>
      <c r="F12" s="22" t="s">
        <v>135</v>
      </c>
      <c r="G12" s="19">
        <v>3182</v>
      </c>
      <c r="H12" s="21" t="s">
        <v>3</v>
      </c>
      <c r="I12" s="25" t="s">
        <v>50</v>
      </c>
      <c r="J12" s="40">
        <v>0</v>
      </c>
      <c r="K12" s="40">
        <v>0</v>
      </c>
      <c r="L12" s="83">
        <v>0</v>
      </c>
      <c r="M12" s="60">
        <v>42.8</v>
      </c>
      <c r="N12" s="40">
        <v>0</v>
      </c>
      <c r="O12" s="60">
        <v>19.7</v>
      </c>
      <c r="P12" s="83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4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134</v>
      </c>
      <c r="C13" s="49">
        <v>135495000</v>
      </c>
      <c r="D13" s="98">
        <v>101621117</v>
      </c>
      <c r="E13" s="20" t="s">
        <v>113</v>
      </c>
      <c r="F13" s="22" t="s">
        <v>135</v>
      </c>
      <c r="G13" s="19">
        <v>3182</v>
      </c>
      <c r="H13" s="21" t="s">
        <v>3</v>
      </c>
      <c r="I13" s="25" t="s">
        <v>50</v>
      </c>
      <c r="J13" s="85">
        <v>0</v>
      </c>
      <c r="K13" s="85">
        <v>0</v>
      </c>
      <c r="L13" s="83">
        <v>0</v>
      </c>
      <c r="M13" s="60">
        <v>1.2</v>
      </c>
      <c r="N13" s="85">
        <v>0</v>
      </c>
      <c r="O13" s="60">
        <v>2.6</v>
      </c>
      <c r="P13" s="83">
        <v>0</v>
      </c>
      <c r="Q13" s="85">
        <v>0</v>
      </c>
      <c r="R13" s="85">
        <v>0</v>
      </c>
      <c r="S13" s="60">
        <v>14.9</v>
      </c>
      <c r="T13" s="85">
        <v>0</v>
      </c>
      <c r="U13" s="83">
        <v>0</v>
      </c>
      <c r="V13" s="84">
        <f>SUM(Table5[[#This Row],[July 2024]:[June 2025]])</f>
        <v>18.7</v>
      </c>
    </row>
    <row r="14" spans="1:22" s="15" customFormat="1" ht="45" customHeight="1" x14ac:dyDescent="0.2">
      <c r="A14" s="48">
        <v>15438</v>
      </c>
      <c r="B14" s="20" t="s">
        <v>134</v>
      </c>
      <c r="C14" s="49">
        <v>144468349</v>
      </c>
      <c r="D14" s="49">
        <v>143749305</v>
      </c>
      <c r="E14" s="86" t="s">
        <v>45</v>
      </c>
      <c r="F14" s="22" t="s">
        <v>135</v>
      </c>
      <c r="G14" s="19">
        <v>3182</v>
      </c>
      <c r="H14" s="21" t="s">
        <v>3</v>
      </c>
      <c r="I14" s="25" t="s">
        <v>50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83">
        <v>0</v>
      </c>
      <c r="T14" s="19">
        <v>36.1</v>
      </c>
      <c r="U14" s="40">
        <v>0</v>
      </c>
      <c r="V14" s="84">
        <f>SUM(Table5[[#This Row],[July 2024]:[June 2025]])</f>
        <v>36.1</v>
      </c>
    </row>
    <row r="15" spans="1:22" s="15" customFormat="1" ht="45" customHeight="1" x14ac:dyDescent="0.2">
      <c r="A15" s="48">
        <v>14329</v>
      </c>
      <c r="B15" s="19" t="s">
        <v>136</v>
      </c>
      <c r="C15" s="49">
        <v>1896939916</v>
      </c>
      <c r="D15" s="98">
        <v>18876215</v>
      </c>
      <c r="E15" s="20" t="s">
        <v>86</v>
      </c>
      <c r="F15" s="87" t="s">
        <v>137</v>
      </c>
      <c r="G15" s="19">
        <v>3010</v>
      </c>
      <c r="H15" s="21" t="s">
        <v>3</v>
      </c>
      <c r="I15" s="25" t="s">
        <v>50</v>
      </c>
      <c r="J15" s="40">
        <v>0</v>
      </c>
      <c r="K15" s="40">
        <v>0</v>
      </c>
      <c r="L15" s="83">
        <v>0</v>
      </c>
      <c r="M15" s="110">
        <v>9.3000000000000007</v>
      </c>
      <c r="N15" s="89">
        <v>0</v>
      </c>
      <c r="O15" s="60">
        <v>7.7</v>
      </c>
      <c r="P15" s="88">
        <v>0</v>
      </c>
      <c r="Q15" s="89">
        <v>0</v>
      </c>
      <c r="R15" s="89">
        <v>0</v>
      </c>
      <c r="S15" s="40">
        <v>0</v>
      </c>
      <c r="T15" s="89">
        <v>0</v>
      </c>
      <c r="U15" s="89">
        <v>0</v>
      </c>
      <c r="V15" s="84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136</v>
      </c>
      <c r="C16" s="49">
        <v>1927297387</v>
      </c>
      <c r="D16" s="49">
        <v>612155927</v>
      </c>
      <c r="E16" s="20" t="s">
        <v>113</v>
      </c>
      <c r="F16" s="87" t="s">
        <v>137</v>
      </c>
      <c r="G16" s="19">
        <v>3010</v>
      </c>
      <c r="H16" s="21" t="s">
        <v>3</v>
      </c>
      <c r="I16" s="25" t="s">
        <v>50</v>
      </c>
      <c r="J16" s="40">
        <v>0</v>
      </c>
      <c r="K16" s="40">
        <v>0</v>
      </c>
      <c r="L16" s="83">
        <v>0</v>
      </c>
      <c r="M16" s="110">
        <v>461.9</v>
      </c>
      <c r="N16" s="89">
        <v>0</v>
      </c>
      <c r="O16" s="60">
        <v>128.6</v>
      </c>
      <c r="P16" s="88">
        <v>0</v>
      </c>
      <c r="Q16" s="89">
        <v>0</v>
      </c>
      <c r="R16" s="60">
        <v>10.9</v>
      </c>
      <c r="S16" s="40">
        <v>0</v>
      </c>
      <c r="T16" s="89">
        <v>0</v>
      </c>
      <c r="U16" s="60">
        <v>6.5</v>
      </c>
      <c r="V16" s="84">
        <f>SUM(Table5[[#This Row],[July 2024]:[June 2025]])</f>
        <v>607.9</v>
      </c>
    </row>
    <row r="17" spans="1:22" s="15" customFormat="1" ht="45" customHeight="1" x14ac:dyDescent="0.2">
      <c r="A17" s="48">
        <v>14329</v>
      </c>
      <c r="B17" s="19" t="s">
        <v>136</v>
      </c>
      <c r="C17" s="49">
        <v>2109685484</v>
      </c>
      <c r="D17" s="49">
        <v>2109685484</v>
      </c>
      <c r="E17" s="86" t="s">
        <v>45</v>
      </c>
      <c r="F17" s="22" t="s">
        <v>138</v>
      </c>
      <c r="G17" s="19">
        <v>3010</v>
      </c>
      <c r="H17" s="21" t="s">
        <v>3</v>
      </c>
      <c r="I17" s="25" t="s">
        <v>50</v>
      </c>
      <c r="J17" s="40">
        <v>0</v>
      </c>
      <c r="K17" s="40">
        <v>0</v>
      </c>
      <c r="L17" s="83">
        <v>0</v>
      </c>
      <c r="M17" s="110">
        <v>221.2</v>
      </c>
      <c r="N17" s="89">
        <v>0</v>
      </c>
      <c r="O17" s="60">
        <v>897.2</v>
      </c>
      <c r="P17" s="88">
        <v>0</v>
      </c>
      <c r="Q17" s="89">
        <v>0</v>
      </c>
      <c r="R17" s="60">
        <v>315.2</v>
      </c>
      <c r="S17" s="40">
        <v>0</v>
      </c>
      <c r="T17" s="89">
        <v>0</v>
      </c>
      <c r="U17" s="60">
        <v>140.30000000000001</v>
      </c>
      <c r="V17" s="84">
        <f>SUM(Table5[[#This Row],[July 2024]:[June 2025]])</f>
        <v>1573.9</v>
      </c>
    </row>
    <row r="18" spans="1:22" s="15" customFormat="1" ht="45" customHeight="1" x14ac:dyDescent="0.2">
      <c r="A18" s="48">
        <v>14357</v>
      </c>
      <c r="B18" s="19" t="s">
        <v>136</v>
      </c>
      <c r="C18" s="49">
        <v>17886417</v>
      </c>
      <c r="D18" s="98">
        <v>394916</v>
      </c>
      <c r="E18" s="20" t="s">
        <v>86</v>
      </c>
      <c r="F18" s="22" t="s">
        <v>139</v>
      </c>
      <c r="G18" s="19">
        <v>3025</v>
      </c>
      <c r="H18" s="21" t="s">
        <v>3</v>
      </c>
      <c r="I18" s="25" t="s">
        <v>50</v>
      </c>
      <c r="J18" s="40">
        <v>0</v>
      </c>
      <c r="K18" s="40">
        <v>0</v>
      </c>
      <c r="L18" s="83">
        <v>0</v>
      </c>
      <c r="M18" s="110">
        <v>0.4</v>
      </c>
      <c r="N18" s="89">
        <v>0</v>
      </c>
      <c r="O18" s="119" t="s">
        <v>140</v>
      </c>
      <c r="P18" s="40">
        <v>0</v>
      </c>
      <c r="Q18" s="89">
        <v>0</v>
      </c>
      <c r="R18" s="89">
        <v>0</v>
      </c>
      <c r="S18" s="40">
        <v>0</v>
      </c>
      <c r="T18" s="89">
        <v>0</v>
      </c>
      <c r="U18" s="89">
        <v>0</v>
      </c>
      <c r="V18" s="84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136</v>
      </c>
      <c r="C19" s="49">
        <v>17741559</v>
      </c>
      <c r="D19" s="99">
        <v>4159936</v>
      </c>
      <c r="E19" s="86" t="s">
        <v>113</v>
      </c>
      <c r="F19" s="22" t="s">
        <v>139</v>
      </c>
      <c r="G19" s="19">
        <v>3025</v>
      </c>
      <c r="H19" s="21" t="s">
        <v>3</v>
      </c>
      <c r="I19" s="25" t="s">
        <v>50</v>
      </c>
      <c r="J19" s="40">
        <v>0</v>
      </c>
      <c r="K19" s="40">
        <v>0</v>
      </c>
      <c r="L19" s="83">
        <v>0</v>
      </c>
      <c r="M19" s="110">
        <v>0.9</v>
      </c>
      <c r="N19" s="89">
        <v>0</v>
      </c>
      <c r="O19" s="60">
        <v>1.2</v>
      </c>
      <c r="P19" s="40">
        <v>0</v>
      </c>
      <c r="Q19" s="89">
        <v>0</v>
      </c>
      <c r="R19" s="60">
        <v>1.3</v>
      </c>
      <c r="S19" s="40">
        <v>0</v>
      </c>
      <c r="T19" s="89">
        <v>0</v>
      </c>
      <c r="U19" s="60">
        <v>0.4</v>
      </c>
      <c r="V19" s="84">
        <f>SUM(Table5[[#This Row],[July 2024]:[June 2025]])</f>
        <v>3.8000000000000003</v>
      </c>
    </row>
    <row r="20" spans="1:22" s="15" customFormat="1" ht="45" customHeight="1" x14ac:dyDescent="0.2">
      <c r="A20" s="48">
        <v>14357</v>
      </c>
      <c r="B20" s="19" t="s">
        <v>136</v>
      </c>
      <c r="C20" s="49">
        <v>16753449</v>
      </c>
      <c r="D20" s="49">
        <v>16753449</v>
      </c>
      <c r="E20" s="20" t="s">
        <v>45</v>
      </c>
      <c r="F20" s="22" t="s">
        <v>139</v>
      </c>
      <c r="G20" s="19">
        <v>3025</v>
      </c>
      <c r="H20" s="21" t="s">
        <v>3</v>
      </c>
      <c r="I20" s="25" t="s">
        <v>50</v>
      </c>
      <c r="J20" s="85">
        <v>0</v>
      </c>
      <c r="K20" s="85">
        <v>0</v>
      </c>
      <c r="L20" s="83">
        <v>0</v>
      </c>
      <c r="M20" s="111">
        <v>1</v>
      </c>
      <c r="N20" s="89">
        <v>0</v>
      </c>
      <c r="O20" s="60">
        <v>3</v>
      </c>
      <c r="P20" s="40">
        <v>0</v>
      </c>
      <c r="Q20" s="89">
        <v>0</v>
      </c>
      <c r="R20" s="60">
        <v>2.1</v>
      </c>
      <c r="S20" s="40">
        <v>0</v>
      </c>
      <c r="T20" s="88">
        <v>0</v>
      </c>
      <c r="U20" s="60">
        <v>1.6</v>
      </c>
      <c r="V20" s="84">
        <f>SUM(Table5[[#This Row],[July 2024]:[June 2025]])</f>
        <v>7.6999999999999993</v>
      </c>
    </row>
    <row r="21" spans="1:22" s="15" customFormat="1" ht="45" customHeight="1" x14ac:dyDescent="0.2">
      <c r="A21" s="48">
        <v>14341</v>
      </c>
      <c r="B21" s="19" t="s">
        <v>141</v>
      </c>
      <c r="C21" s="100">
        <v>216545796</v>
      </c>
      <c r="D21" s="101">
        <v>7758278</v>
      </c>
      <c r="E21" s="20" t="s">
        <v>86</v>
      </c>
      <c r="F21" s="22" t="s">
        <v>142</v>
      </c>
      <c r="G21" s="19">
        <v>4035</v>
      </c>
      <c r="H21" s="21" t="s">
        <v>3</v>
      </c>
      <c r="I21" s="25" t="s">
        <v>50</v>
      </c>
      <c r="J21" s="40">
        <v>0</v>
      </c>
      <c r="K21" s="40">
        <v>0</v>
      </c>
      <c r="L21" s="83">
        <v>0</v>
      </c>
      <c r="M21" s="111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4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141</v>
      </c>
      <c r="C22" s="100">
        <v>218023742</v>
      </c>
      <c r="D22" s="49">
        <v>75412214</v>
      </c>
      <c r="E22" s="20" t="s">
        <v>113</v>
      </c>
      <c r="F22" s="22" t="s">
        <v>142</v>
      </c>
      <c r="G22" s="19">
        <v>4035</v>
      </c>
      <c r="H22" s="21" t="s">
        <v>3</v>
      </c>
      <c r="I22" s="25" t="s">
        <v>50</v>
      </c>
      <c r="J22" s="85">
        <v>0</v>
      </c>
      <c r="K22" s="85">
        <v>0</v>
      </c>
      <c r="L22" s="83">
        <v>0</v>
      </c>
      <c r="M22" s="66">
        <v>23.2</v>
      </c>
      <c r="N22" s="85">
        <v>0</v>
      </c>
      <c r="O22" s="60">
        <v>32.200000000000003</v>
      </c>
      <c r="P22" s="40">
        <v>0</v>
      </c>
      <c r="Q22" s="85">
        <v>0</v>
      </c>
      <c r="R22" s="60">
        <v>10.1</v>
      </c>
      <c r="S22" s="40">
        <v>0</v>
      </c>
      <c r="T22" s="85">
        <v>0</v>
      </c>
      <c r="U22" s="60">
        <v>4.7</v>
      </c>
      <c r="V22" s="84">
        <f>SUM(Table5[[#This Row],[July 2024]:[June 2025]])</f>
        <v>70.2</v>
      </c>
    </row>
    <row r="23" spans="1:22" s="15" customFormat="1" ht="45" customHeight="1" x14ac:dyDescent="0.2">
      <c r="A23" s="48">
        <v>14341</v>
      </c>
      <c r="B23" s="19" t="s">
        <v>141</v>
      </c>
      <c r="C23" s="100">
        <v>218471000</v>
      </c>
      <c r="D23" s="100">
        <v>218471000</v>
      </c>
      <c r="E23" s="20" t="s">
        <v>45</v>
      </c>
      <c r="F23" s="22" t="s">
        <v>142</v>
      </c>
      <c r="G23" s="19">
        <v>4035</v>
      </c>
      <c r="H23" s="21" t="s">
        <v>3</v>
      </c>
      <c r="I23" s="25" t="s">
        <v>50</v>
      </c>
      <c r="J23" s="85">
        <v>0</v>
      </c>
      <c r="K23" s="85">
        <v>0</v>
      </c>
      <c r="L23" s="83">
        <v>0</v>
      </c>
      <c r="M23" s="66">
        <v>16.899999999999999</v>
      </c>
      <c r="N23" s="85">
        <v>0</v>
      </c>
      <c r="O23" s="60">
        <v>41.4</v>
      </c>
      <c r="P23" s="40">
        <v>0</v>
      </c>
      <c r="Q23" s="85">
        <v>0</v>
      </c>
      <c r="R23" s="60">
        <v>41.3</v>
      </c>
      <c r="S23" s="40">
        <v>0</v>
      </c>
      <c r="T23" s="85">
        <v>0</v>
      </c>
      <c r="U23" s="60">
        <v>32.299999999999997</v>
      </c>
      <c r="V23" s="84">
        <f>SUM(Table5[[#This Row],[July 2024]:[June 2025]])</f>
        <v>131.89999999999998</v>
      </c>
    </row>
    <row r="24" spans="1:22" s="15" customFormat="1" ht="45" customHeight="1" x14ac:dyDescent="0.2">
      <c r="A24" s="48">
        <v>15146</v>
      </c>
      <c r="B24" s="19" t="s">
        <v>143</v>
      </c>
      <c r="C24" s="49">
        <v>3675935</v>
      </c>
      <c r="D24" s="98">
        <v>720083</v>
      </c>
      <c r="E24" s="20" t="s">
        <v>86</v>
      </c>
      <c r="F24" s="22" t="s">
        <v>144</v>
      </c>
      <c r="G24" s="19">
        <v>4201</v>
      </c>
      <c r="H24" s="21" t="s">
        <v>3</v>
      </c>
      <c r="I24" s="25" t="s">
        <v>50</v>
      </c>
      <c r="J24" s="40">
        <v>0</v>
      </c>
      <c r="K24" s="40">
        <v>0</v>
      </c>
      <c r="L24" s="83">
        <v>0</v>
      </c>
      <c r="M24" s="111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4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143</v>
      </c>
      <c r="C25" s="49">
        <v>12324437</v>
      </c>
      <c r="D25" s="98">
        <v>4556504</v>
      </c>
      <c r="E25" s="20" t="s">
        <v>113</v>
      </c>
      <c r="F25" s="22" t="s">
        <v>144</v>
      </c>
      <c r="G25" s="19">
        <v>4201</v>
      </c>
      <c r="H25" s="21" t="s">
        <v>3</v>
      </c>
      <c r="I25" s="25" t="s">
        <v>50</v>
      </c>
      <c r="J25" s="40">
        <v>0</v>
      </c>
      <c r="K25" s="40">
        <v>0</v>
      </c>
      <c r="L25" s="83">
        <v>0</v>
      </c>
      <c r="M25" s="111">
        <v>0.8</v>
      </c>
      <c r="N25" s="40">
        <v>0</v>
      </c>
      <c r="O25" s="60">
        <v>0.7</v>
      </c>
      <c r="P25" s="40">
        <v>0</v>
      </c>
      <c r="Q25" s="40">
        <v>0</v>
      </c>
      <c r="R25" s="60">
        <v>0.6</v>
      </c>
      <c r="S25" s="40">
        <v>0</v>
      </c>
      <c r="T25" s="40">
        <v>0</v>
      </c>
      <c r="U25" s="60">
        <v>0.9</v>
      </c>
      <c r="V25" s="84">
        <f>SUM(Table5[[#This Row],[July 2024]:[June 2025]])</f>
        <v>3</v>
      </c>
    </row>
    <row r="26" spans="1:22" s="15" customFormat="1" ht="45" customHeight="1" x14ac:dyDescent="0.2">
      <c r="A26" s="48">
        <v>15146</v>
      </c>
      <c r="B26" s="19" t="s">
        <v>143</v>
      </c>
      <c r="C26" s="49">
        <v>21831278</v>
      </c>
      <c r="D26" s="49">
        <v>21831278</v>
      </c>
      <c r="E26" s="20" t="s">
        <v>45</v>
      </c>
      <c r="F26" s="22" t="s">
        <v>144</v>
      </c>
      <c r="G26" s="19">
        <v>4201</v>
      </c>
      <c r="H26" s="21" t="s">
        <v>3</v>
      </c>
      <c r="I26" s="25" t="s">
        <v>50</v>
      </c>
      <c r="J26" s="40">
        <v>0</v>
      </c>
      <c r="K26" s="40">
        <v>0</v>
      </c>
      <c r="L26" s="83">
        <v>0</v>
      </c>
      <c r="M26" s="111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>
        <v>2.1</v>
      </c>
      <c r="S26" s="40">
        <v>0</v>
      </c>
      <c r="T26" s="40">
        <v>0</v>
      </c>
      <c r="U26" s="60">
        <v>1.5</v>
      </c>
      <c r="V26" s="84">
        <f>SUM(Table5[[#This Row],[July 2024]:[June 2025]])</f>
        <v>7.5</v>
      </c>
    </row>
    <row r="27" spans="1:22" s="15" customFormat="1" ht="45" customHeight="1" x14ac:dyDescent="0.2">
      <c r="A27" s="48">
        <v>14346</v>
      </c>
      <c r="B27" s="19" t="s">
        <v>143</v>
      </c>
      <c r="C27" s="49">
        <v>145177250</v>
      </c>
      <c r="D27" s="98">
        <v>6267607</v>
      </c>
      <c r="E27" s="20" t="s">
        <v>86</v>
      </c>
      <c r="F27" s="22" t="s">
        <v>145</v>
      </c>
      <c r="G27" s="19">
        <v>4203</v>
      </c>
      <c r="H27" s="21" t="s">
        <v>3</v>
      </c>
      <c r="I27" s="25" t="s">
        <v>50</v>
      </c>
      <c r="J27" s="40">
        <v>0</v>
      </c>
      <c r="K27" s="40">
        <v>0</v>
      </c>
      <c r="L27" s="83">
        <v>0</v>
      </c>
      <c r="M27" s="111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4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143</v>
      </c>
      <c r="C28" s="49">
        <v>140774160</v>
      </c>
      <c r="D28" s="49">
        <v>60501101</v>
      </c>
      <c r="E28" s="20" t="s">
        <v>113</v>
      </c>
      <c r="F28" s="22" t="s">
        <v>145</v>
      </c>
      <c r="G28" s="19">
        <v>4203</v>
      </c>
      <c r="H28" s="21" t="s">
        <v>3</v>
      </c>
      <c r="I28" s="25" t="s">
        <v>50</v>
      </c>
      <c r="J28" s="40">
        <v>0</v>
      </c>
      <c r="K28" s="40">
        <v>0</v>
      </c>
      <c r="L28" s="83">
        <v>0</v>
      </c>
      <c r="M28" s="111">
        <v>25.7</v>
      </c>
      <c r="N28" s="40">
        <v>0</v>
      </c>
      <c r="O28" s="60">
        <v>18.7</v>
      </c>
      <c r="P28" s="40">
        <v>0</v>
      </c>
      <c r="Q28" s="40">
        <v>0</v>
      </c>
      <c r="R28" s="60">
        <v>7.7</v>
      </c>
      <c r="S28" s="40">
        <v>0</v>
      </c>
      <c r="T28" s="40">
        <v>0</v>
      </c>
      <c r="U28" s="60">
        <v>3.2</v>
      </c>
      <c r="V28" s="84">
        <f>SUM(Table5[[#This Row],[July 2024]:[June 2025]])</f>
        <v>55.300000000000004</v>
      </c>
    </row>
    <row r="29" spans="1:22" s="15" customFormat="1" ht="45" customHeight="1" x14ac:dyDescent="0.2">
      <c r="A29" s="48">
        <v>14346</v>
      </c>
      <c r="B29" s="19" t="s">
        <v>143</v>
      </c>
      <c r="C29" s="49">
        <v>139881888</v>
      </c>
      <c r="D29" s="49">
        <v>139881888</v>
      </c>
      <c r="E29" s="20" t="s">
        <v>45</v>
      </c>
      <c r="F29" s="22" t="s">
        <v>145</v>
      </c>
      <c r="G29" s="19">
        <v>4203</v>
      </c>
      <c r="H29" s="21" t="s">
        <v>3</v>
      </c>
      <c r="I29" s="25" t="s">
        <v>50</v>
      </c>
      <c r="J29" s="40">
        <v>0</v>
      </c>
      <c r="K29" s="40">
        <v>0</v>
      </c>
      <c r="L29" s="83">
        <v>0</v>
      </c>
      <c r="M29" s="111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>
        <v>34.6</v>
      </c>
      <c r="S29" s="40">
        <v>0</v>
      </c>
      <c r="T29" s="40">
        <v>0</v>
      </c>
      <c r="U29" s="60">
        <v>23.4</v>
      </c>
      <c r="V29" s="84">
        <f>SUM(Table5[[#This Row],[July 2024]:[June 2025]])</f>
        <v>82.2</v>
      </c>
    </row>
    <row r="30" spans="1:22" s="15" customFormat="1" ht="45" customHeight="1" x14ac:dyDescent="0.2">
      <c r="A30" s="48">
        <v>15396</v>
      </c>
      <c r="B30" s="20" t="s">
        <v>146</v>
      </c>
      <c r="C30" s="100">
        <v>145492660</v>
      </c>
      <c r="D30" s="101">
        <v>12896329</v>
      </c>
      <c r="E30" s="20" t="s">
        <v>86</v>
      </c>
      <c r="F30" s="22" t="s">
        <v>147</v>
      </c>
      <c r="G30" s="19">
        <v>4127</v>
      </c>
      <c r="H30" s="21" t="s">
        <v>3</v>
      </c>
      <c r="I30" s="25" t="s">
        <v>50</v>
      </c>
      <c r="J30" s="40">
        <v>0</v>
      </c>
      <c r="K30" s="40">
        <v>0</v>
      </c>
      <c r="L30" s="109">
        <v>0</v>
      </c>
      <c r="M30" s="111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4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146</v>
      </c>
      <c r="C31" s="100">
        <v>149867032</v>
      </c>
      <c r="D31" s="101">
        <v>71187089</v>
      </c>
      <c r="E31" s="20" t="s">
        <v>113</v>
      </c>
      <c r="F31" s="22" t="s">
        <v>147</v>
      </c>
      <c r="G31" s="19">
        <v>4127</v>
      </c>
      <c r="H31" s="21" t="s">
        <v>3</v>
      </c>
      <c r="I31" s="25" t="s">
        <v>50</v>
      </c>
      <c r="J31" s="40">
        <v>0</v>
      </c>
      <c r="K31" s="40">
        <v>0</v>
      </c>
      <c r="L31" s="83">
        <v>0</v>
      </c>
      <c r="M31" s="111">
        <v>27.6</v>
      </c>
      <c r="N31" s="40">
        <v>0</v>
      </c>
      <c r="O31" s="60">
        <v>17.2</v>
      </c>
      <c r="P31" s="40">
        <v>0</v>
      </c>
      <c r="Q31" s="40">
        <v>0</v>
      </c>
      <c r="R31" s="60">
        <v>8.3000000000000007</v>
      </c>
      <c r="S31" s="40">
        <v>0</v>
      </c>
      <c r="T31" s="40">
        <v>0</v>
      </c>
      <c r="U31" s="60">
        <v>7</v>
      </c>
      <c r="V31" s="84">
        <f>SUM(Table5[[#This Row],[July 2024]:[June 2025]])</f>
        <v>60.099999999999994</v>
      </c>
    </row>
    <row r="32" spans="1:22" s="15" customFormat="1" ht="45" customHeight="1" x14ac:dyDescent="0.2">
      <c r="A32" s="48">
        <v>15396</v>
      </c>
      <c r="B32" s="20" t="s">
        <v>146</v>
      </c>
      <c r="C32" s="102">
        <v>145227534</v>
      </c>
      <c r="D32" s="102">
        <v>145227534</v>
      </c>
      <c r="E32" s="20" t="s">
        <v>45</v>
      </c>
      <c r="F32" s="22" t="s">
        <v>147</v>
      </c>
      <c r="G32" s="19">
        <v>4127</v>
      </c>
      <c r="H32" s="21" t="s">
        <v>3</v>
      </c>
      <c r="I32" s="25" t="s">
        <v>50</v>
      </c>
      <c r="J32" s="40">
        <v>0</v>
      </c>
      <c r="K32" s="40">
        <v>0</v>
      </c>
      <c r="L32" s="83">
        <v>0</v>
      </c>
      <c r="M32" s="111">
        <v>7.4</v>
      </c>
      <c r="N32" s="40">
        <v>0</v>
      </c>
      <c r="O32" s="60">
        <v>21</v>
      </c>
      <c r="P32" s="40">
        <v>0</v>
      </c>
      <c r="Q32" s="40">
        <v>0</v>
      </c>
      <c r="R32" s="60">
        <v>20</v>
      </c>
      <c r="S32" s="40">
        <v>0</v>
      </c>
      <c r="T32" s="40">
        <v>0</v>
      </c>
      <c r="U32" s="60">
        <v>21.5</v>
      </c>
      <c r="V32" s="84">
        <f>SUM(Table5[[#This Row],[July 2024]:[June 2025]])</f>
        <v>69.900000000000006</v>
      </c>
    </row>
    <row r="33" spans="1:22" s="15" customFormat="1" ht="45" customHeight="1" x14ac:dyDescent="0.2">
      <c r="A33" s="48">
        <v>14356</v>
      </c>
      <c r="B33" s="19" t="s">
        <v>148</v>
      </c>
      <c r="C33" s="49">
        <v>5078912</v>
      </c>
      <c r="D33" s="49">
        <v>5078912</v>
      </c>
      <c r="E33" s="20" t="s">
        <v>45</v>
      </c>
      <c r="F33" s="22" t="s">
        <v>149</v>
      </c>
      <c r="G33" s="19">
        <v>4126</v>
      </c>
      <c r="H33" s="21" t="s">
        <v>3</v>
      </c>
      <c r="I33" s="25" t="s">
        <v>150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40">
        <v>0</v>
      </c>
      <c r="P33" s="40">
        <v>0</v>
      </c>
      <c r="Q33" s="60">
        <v>1.8</v>
      </c>
      <c r="R33" s="85">
        <v>0</v>
      </c>
      <c r="S33" s="85">
        <v>0</v>
      </c>
      <c r="T33" s="85">
        <v>0</v>
      </c>
      <c r="U33" s="60">
        <v>3.5</v>
      </c>
      <c r="V33" s="84">
        <f>SUM(Table5[[#This Row],[July 2024]:[June 2025]])</f>
        <v>5.3</v>
      </c>
    </row>
    <row r="34" spans="1:22" ht="18.600000000000001" customHeight="1" x14ac:dyDescent="0.25">
      <c r="A34" s="126" t="s">
        <v>151</v>
      </c>
      <c r="B34" s="128"/>
      <c r="C34" s="132"/>
      <c r="D34" s="132"/>
      <c r="E34" s="129"/>
      <c r="F34" s="130"/>
      <c r="G34" s="127"/>
      <c r="H34" s="127"/>
      <c r="I34" s="127"/>
      <c r="J34" s="131">
        <f>SUBTOTAL(109,Table5[July 2024])</f>
        <v>0</v>
      </c>
      <c r="K34" s="131">
        <f>SUBTOTAL(109,Table5[Aug 2024])</f>
        <v>0</v>
      </c>
      <c r="L34" s="131">
        <f>SUBTOTAL(109,Table5[Sept 2024])</f>
        <v>1556.6</v>
      </c>
      <c r="M34" s="131">
        <f>SUBTOTAL(109,Table5[Oct 2024])</f>
        <v>862.29999999999984</v>
      </c>
      <c r="N34" s="131">
        <f>SUBTOTAL(109,Table5[Nov 2024])</f>
        <v>0</v>
      </c>
      <c r="O34" s="131">
        <f>SUBTOTAL(109,Table5[Dec 2024])</f>
        <v>2345.5999999999995</v>
      </c>
      <c r="P34" s="131">
        <f>SUBTOTAL(109,Table5[Jan 2025])</f>
        <v>0</v>
      </c>
      <c r="Q34" s="131">
        <f>SUBTOTAL(109,Table5[Feb 2025])</f>
        <v>1.8</v>
      </c>
      <c r="R34" s="131">
        <f>SUBTOTAL(109,Table5[Mar 2025])</f>
        <v>454.2000000000001</v>
      </c>
      <c r="S34" s="131">
        <f>SUBTOTAL(109,Table5[April 2025])</f>
        <v>14.9</v>
      </c>
      <c r="T34" s="131">
        <f>SUBTOTAL(109,Table5[May 2025])</f>
        <v>36.1</v>
      </c>
      <c r="U34" s="131">
        <f>SUBTOTAL(109,Table5[June 2025])</f>
        <v>246.8</v>
      </c>
      <c r="V34" s="131">
        <f>SUBTOTAL(109,Table5[Total])</f>
        <v>5518.2999999999993</v>
      </c>
    </row>
    <row r="35" spans="1:22" x14ac:dyDescent="0.2">
      <c r="A35" t="s">
        <v>27</v>
      </c>
    </row>
    <row r="36" spans="1:22" x14ac:dyDescent="0.2">
      <c r="A36" t="s">
        <v>28</v>
      </c>
    </row>
    <row r="37" spans="1:22" x14ac:dyDescent="0.2">
      <c r="A37" t="s">
        <v>29</v>
      </c>
    </row>
    <row r="38" spans="1:22" x14ac:dyDescent="0.2">
      <c r="A38" s="14" t="str">
        <f>Summary!A17</f>
        <v>July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EstCashFlow12-24: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2025-06-30T23:06:50Z</dcterms:created>
  <dcterms:modified xsi:type="dcterms:W3CDTF">2025-06-30T23:07:02Z</dcterms:modified>
  <cp:category/>
  <cp:contentStatus/>
</cp:coreProperties>
</file>