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EF644791-191C-4E8D-AB5C-A0FF8E44BFB8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Summary" sheetId="2" r:id="rId1"/>
    <sheet name="1. PA and EPA" sheetId="4" r:id="rId2"/>
    <sheet name="2. State Categorical" sheetId="3" r:id="rId3"/>
    <sheet name="3. Lottery" sheetId="5" r:id="rId4"/>
    <sheet name="4. Federal Program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4" l="1"/>
  <c r="U7" i="4"/>
  <c r="U8" i="4"/>
  <c r="U9" i="4"/>
  <c r="U10" i="4"/>
  <c r="U11" i="4"/>
  <c r="U12" i="4"/>
  <c r="U13" i="4"/>
  <c r="U14" i="4"/>
  <c r="U15" i="4"/>
  <c r="U16" i="4"/>
  <c r="E9" i="2"/>
  <c r="V29" i="3"/>
  <c r="V23" i="3"/>
  <c r="V26" i="3"/>
  <c r="V28" i="3"/>
  <c r="V27" i="3"/>
  <c r="V10" i="3"/>
  <c r="V9" i="3"/>
  <c r="V12" i="3"/>
  <c r="V21" i="3"/>
  <c r="V24" i="3"/>
  <c r="V20" i="3"/>
  <c r="V19" i="3"/>
  <c r="V22" i="3"/>
  <c r="E7" i="2"/>
  <c r="D9" i="2"/>
  <c r="F9" i="2"/>
  <c r="G9" i="2"/>
  <c r="H9" i="2"/>
  <c r="I9" i="2"/>
  <c r="J9" i="2"/>
  <c r="K9" i="2"/>
  <c r="L9" i="2"/>
  <c r="M9" i="2"/>
  <c r="N9" i="2"/>
  <c r="C9" i="2"/>
  <c r="D7" i="2"/>
  <c r="F7" i="2"/>
  <c r="G7" i="2"/>
  <c r="H7" i="2"/>
  <c r="I7" i="2"/>
  <c r="J7" i="2"/>
  <c r="K7" i="2"/>
  <c r="L7" i="2"/>
  <c r="M7" i="2"/>
  <c r="N7" i="2"/>
  <c r="C7" i="2"/>
  <c r="N8" i="2"/>
  <c r="V16" i="3"/>
  <c r="V13" i="3"/>
  <c r="A33" i="7"/>
  <c r="O9" i="2" l="1"/>
  <c r="V25" i="3"/>
  <c r="V6" i="3"/>
  <c r="V7" i="3"/>
  <c r="V8" i="3"/>
  <c r="V11" i="3"/>
  <c r="V14" i="3"/>
  <c r="V15" i="3"/>
  <c r="V17" i="3"/>
  <c r="V18" i="3"/>
  <c r="J30" i="3"/>
  <c r="K30" i="3"/>
  <c r="L30" i="3"/>
  <c r="M30" i="3"/>
  <c r="N30" i="3"/>
  <c r="O30" i="3"/>
  <c r="P30" i="3"/>
  <c r="Q30" i="3"/>
  <c r="R30" i="3"/>
  <c r="S30" i="3"/>
  <c r="T30" i="3"/>
  <c r="U30" i="3"/>
  <c r="A34" i="3"/>
  <c r="V30" i="3" l="1"/>
  <c r="V18" i="7"/>
  <c r="V12" i="7"/>
  <c r="V14" i="7"/>
  <c r="V28" i="7" l="1"/>
  <c r="V27" i="7"/>
  <c r="V9" i="7"/>
  <c r="V24" i="7"/>
  <c r="V21" i="7"/>
  <c r="U29" i="7" l="1"/>
  <c r="E8" i="2" l="1"/>
  <c r="I17" i="4" l="1"/>
  <c r="J29" i="7"/>
  <c r="V26" i="7"/>
  <c r="V23" i="7"/>
  <c r="V20" i="7"/>
  <c r="V17" i="7"/>
  <c r="V15" i="7"/>
  <c r="V11" i="7"/>
  <c r="V8" i="7"/>
  <c r="A21" i="4" l="1"/>
  <c r="K8" i="2"/>
  <c r="A11" i="5"/>
  <c r="U6" i="5"/>
  <c r="U5" i="5"/>
  <c r="V7" i="7"/>
  <c r="V10" i="7"/>
  <c r="V13" i="7"/>
  <c r="V16" i="7"/>
  <c r="V19" i="7"/>
  <c r="V22" i="7"/>
  <c r="V25" i="7"/>
  <c r="V29" i="7" l="1"/>
  <c r="K29" i="7" l="1"/>
  <c r="L29" i="7"/>
  <c r="M29" i="7"/>
  <c r="N29" i="7"/>
  <c r="O29" i="7"/>
  <c r="P29" i="7"/>
  <c r="Q29" i="7"/>
  <c r="R29" i="7"/>
  <c r="S29" i="7"/>
  <c r="T29" i="7"/>
  <c r="I7" i="5"/>
  <c r="C11" i="2" s="1"/>
  <c r="J7" i="5"/>
  <c r="K7" i="5"/>
  <c r="L7" i="5"/>
  <c r="M7" i="5"/>
  <c r="N7" i="5"/>
  <c r="O7" i="5"/>
  <c r="P7" i="5"/>
  <c r="Q7" i="5"/>
  <c r="R7" i="5"/>
  <c r="S7" i="5"/>
  <c r="T7" i="5"/>
  <c r="U7" i="5"/>
  <c r="J17" i="4"/>
  <c r="K17" i="4"/>
  <c r="L17" i="4"/>
  <c r="M17" i="4"/>
  <c r="N17" i="4"/>
  <c r="O17" i="4"/>
  <c r="P17" i="4"/>
  <c r="Q17" i="4"/>
  <c r="R17" i="4"/>
  <c r="S17" i="4"/>
  <c r="T17" i="4"/>
  <c r="U17" i="4"/>
  <c r="M8" i="2" l="1"/>
  <c r="L8" i="2"/>
  <c r="J8" i="2"/>
  <c r="I8" i="2"/>
  <c r="H8" i="2"/>
  <c r="G8" i="2"/>
  <c r="F8" i="2"/>
  <c r="D8" i="2"/>
  <c r="C8" i="2"/>
  <c r="O7" i="2" l="1"/>
  <c r="D11" i="2"/>
  <c r="G11" i="2"/>
  <c r="N12" i="2"/>
  <c r="I11" i="2"/>
  <c r="G10" i="2"/>
  <c r="J11" i="2"/>
  <c r="F12" i="2"/>
  <c r="F10" i="2"/>
  <c r="N10" i="2"/>
  <c r="E11" i="2"/>
  <c r="K12" i="2"/>
  <c r="J12" i="2"/>
  <c r="D12" i="2"/>
  <c r="G12" i="2"/>
  <c r="I12" i="2"/>
  <c r="L12" i="2"/>
  <c r="C12" i="2"/>
  <c r="M12" i="2"/>
  <c r="E12" i="2"/>
  <c r="H12" i="2"/>
  <c r="F11" i="2"/>
  <c r="M11" i="2"/>
  <c r="H11" i="2"/>
  <c r="N11" i="2"/>
  <c r="K11" i="2"/>
  <c r="L11" i="2"/>
  <c r="I10" i="2"/>
  <c r="J10" i="2"/>
  <c r="C10" i="2"/>
  <c r="K10" i="2"/>
  <c r="D10" i="2"/>
  <c r="L10" i="2"/>
  <c r="H10" i="2"/>
  <c r="E10" i="2"/>
  <c r="M10" i="2"/>
  <c r="O8" i="2"/>
  <c r="O12" i="2" l="1"/>
  <c r="C13" i="2"/>
  <c r="D13" i="2"/>
  <c r="N13" i="2"/>
  <c r="K13" i="2"/>
  <c r="M13" i="2"/>
  <c r="I13" i="2"/>
  <c r="G13" i="2"/>
  <c r="F13" i="2"/>
  <c r="O10" i="2"/>
  <c r="J13" i="2"/>
  <c r="O11" i="2"/>
  <c r="L13" i="2"/>
  <c r="E13" i="2"/>
  <c r="H13" i="2"/>
  <c r="O13" i="2" l="1"/>
</calcChain>
</file>

<file path=xl/sharedStrings.xml><?xml version="1.0" encoding="utf-8"?>
<sst xmlns="http://schemas.openxmlformats.org/spreadsheetml/2006/main" count="549" uniqueCount="167">
  <si>
    <t>Dollar amounts in monthly columns are in millions.</t>
  </si>
  <si>
    <t>Contact the Categorical Allocations and Audit Resolutions Office for additional information or questions at:</t>
  </si>
  <si>
    <t>CAAR@cde.ca.gov</t>
  </si>
  <si>
    <r>
      <rPr>
        <b/>
        <sz val="12"/>
        <rFont val="Arial"/>
        <family val="2"/>
      </rPr>
      <t>TBD</t>
    </r>
    <r>
      <rPr>
        <sz val="12"/>
        <rFont val="Arial"/>
        <family val="2"/>
      </rPr>
      <t>: To be determined.</t>
    </r>
  </si>
  <si>
    <t>Sheet</t>
  </si>
  <si>
    <t>Apportionment Type</t>
  </si>
  <si>
    <t>July 2025</t>
  </si>
  <si>
    <t>Aug 2025</t>
  </si>
  <si>
    <t>Sept 2025</t>
  </si>
  <si>
    <t>Oct 2025</t>
  </si>
  <si>
    <t>Nov 2025</t>
  </si>
  <si>
    <t>Dec 2025</t>
  </si>
  <si>
    <t>Jan 2026</t>
  </si>
  <si>
    <t>Feb 2026</t>
  </si>
  <si>
    <t>Mar 2026</t>
  </si>
  <si>
    <t>April 2026</t>
  </si>
  <si>
    <t>May 2026</t>
  </si>
  <si>
    <t>June 2026</t>
  </si>
  <si>
    <t>Total</t>
  </si>
  <si>
    <t>Principal Apportionment</t>
  </si>
  <si>
    <t>Education Protection Account</t>
  </si>
  <si>
    <t>Charter School Special Advance</t>
  </si>
  <si>
    <t>State Categorical Apportionments (Non-Principal Apportionment)</t>
  </si>
  <si>
    <t>Lottery Apportionments</t>
  </si>
  <si>
    <t>Federal Categorical Apportionments</t>
  </si>
  <si>
    <t xml:space="preserve"> Total </t>
  </si>
  <si>
    <t>Prepared by: Bill Douglas</t>
  </si>
  <si>
    <t>California Department of Education</t>
  </si>
  <si>
    <t>School Fiscal Services Division</t>
  </si>
  <si>
    <t>November 2025</t>
  </si>
  <si>
    <r>
      <rPr>
        <b/>
        <sz val="14"/>
        <color rgb="FF000000"/>
        <rFont val="Arial"/>
        <family val="2"/>
      </rPr>
      <t>Estimated Cash Flow, Principal Apportionment and Education Protection Account, Fiscal Year</t>
    </r>
    <r>
      <rPr>
        <b/>
        <sz val="14"/>
        <color theme="1"/>
        <rFont val="Arial"/>
        <family val="2"/>
      </rPr>
      <t xml:space="preserve"> 2025-26</t>
    </r>
  </si>
  <si>
    <r>
      <rPr>
        <vertAlign val="superscript"/>
        <sz val="12"/>
        <color rgb="FF000000"/>
        <rFont val="Arial"/>
        <family val="2"/>
      </rPr>
      <t xml:space="preserve"> 1</t>
    </r>
    <r>
      <rPr>
        <sz val="12"/>
        <color rgb="FF000000"/>
        <rFont val="Arial"/>
        <family val="2"/>
      </rPr>
      <t>Funding for these programs is included in the Principal Apportionment.</t>
    </r>
  </si>
  <si>
    <r>
      <rPr>
        <b/>
        <sz val="12"/>
        <color rgb="FF000000"/>
        <rFont val="Arial"/>
        <family val="2"/>
      </rPr>
      <t>EC:</t>
    </r>
    <r>
      <rPr>
        <sz val="12"/>
        <color rgb="FF000000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</t>
    </r>
  </si>
  <si>
    <t>PCA</t>
  </si>
  <si>
    <t>Budget Item Number or Authority</t>
  </si>
  <si>
    <t>State Budget Authority</t>
  </si>
  <si>
    <t>Fiscal
Year</t>
  </si>
  <si>
    <t>Apportionment Title</t>
  </si>
  <si>
    <t>SACS 
Res. 
Codes</t>
  </si>
  <si>
    <t>Fiscal Contact
 Email</t>
  </si>
  <si>
    <t>Payment Schedule
(percent)</t>
  </si>
  <si>
    <t>Various</t>
  </si>
  <si>
    <t>Continuous</t>
  </si>
  <si>
    <t>25-26</t>
  </si>
  <si>
    <t>0000</t>
  </si>
  <si>
    <t>PASE@cde.ca.gov</t>
  </si>
  <si>
    <t>EC 14041</t>
  </si>
  <si>
    <t>TBD</t>
  </si>
  <si>
    <t>24-25</t>
  </si>
  <si>
    <t>Principal Apportionment 2024-25 Deferred Payment</t>
  </si>
  <si>
    <t>EC 14041 and 14041.6</t>
  </si>
  <si>
    <t>1400</t>
  </si>
  <si>
    <t>Quarterly</t>
  </si>
  <si>
    <t>23100 &amp; 23833 &amp; 24536 &amp; 25455</t>
  </si>
  <si>
    <t xml:space="preserve">6100-161-0001 </t>
  </si>
  <si>
    <r>
      <rPr>
        <sz val="12"/>
        <color rgb="FF000000"/>
        <rFont val="Arial"/>
        <family val="2"/>
      </rPr>
      <t>Special Education (AB 602, Infant, Mental Health, &amp; Early Ed Intervention Preschool Grant)</t>
    </r>
    <r>
      <rPr>
        <vertAlign val="superscript"/>
        <sz val="12"/>
        <color rgb="FF000000"/>
        <rFont val="Arial"/>
        <family val="2"/>
      </rPr>
      <t>1</t>
    </r>
  </si>
  <si>
    <t>6500/6510/
6546/6547</t>
  </si>
  <si>
    <t>6100-158-0001</t>
  </si>
  <si>
    <r>
      <t>Adults in Correctional Facilities</t>
    </r>
    <r>
      <rPr>
        <vertAlign val="superscript"/>
        <sz val="12"/>
        <color rgb="FF000000"/>
        <rFont val="Arial"/>
        <family val="2"/>
      </rPr>
      <t>1</t>
    </r>
  </si>
  <si>
    <t>6015</t>
  </si>
  <si>
    <t>EC 47652</t>
  </si>
  <si>
    <r>
      <t>Home-to-School Transportation Reimbursement</t>
    </r>
    <r>
      <rPr>
        <vertAlign val="superscript"/>
        <sz val="12"/>
        <color rgb="FF000000"/>
        <rFont val="Arial"/>
        <family val="2"/>
      </rPr>
      <t>1</t>
    </r>
  </si>
  <si>
    <t>6100-110-0001</t>
  </si>
  <si>
    <r>
      <rPr>
        <sz val="12"/>
        <color rgb="FF000000"/>
        <rFont val="Arial"/>
        <family val="2"/>
      </rPr>
      <t>Expanded Learning Opportunities Program</t>
    </r>
    <r>
      <rPr>
        <vertAlign val="superscript"/>
        <sz val="12"/>
        <color rgb="FF000000"/>
        <rFont val="Arial"/>
        <family val="2"/>
      </rPr>
      <t>1</t>
    </r>
  </si>
  <si>
    <t>EC 8820</t>
  </si>
  <si>
    <r>
      <rPr>
        <sz val="12"/>
        <color rgb="FF000000"/>
        <rFont val="Arial"/>
        <family val="2"/>
      </rPr>
      <t>Arts and Music in Schools (Proposition 28)</t>
    </r>
    <r>
      <rPr>
        <vertAlign val="superscript"/>
        <sz val="12"/>
        <color rgb="FF000000"/>
        <rFont val="Arial"/>
        <family val="2"/>
      </rPr>
      <t>1</t>
    </r>
  </si>
  <si>
    <t>EC 42238.024</t>
  </si>
  <si>
    <r>
      <rPr>
        <sz val="12"/>
        <color rgb="FF000000"/>
        <rFont val="Arial"/>
        <family val="2"/>
      </rPr>
      <t>Local Control Funding Formula Equity Multiplier</t>
    </r>
    <r>
      <rPr>
        <vertAlign val="superscript"/>
        <sz val="12"/>
        <color rgb="FF000000"/>
        <rFont val="Arial"/>
        <family val="2"/>
      </rPr>
      <t>1</t>
    </r>
  </si>
  <si>
    <t>EC 2575.5</t>
  </si>
  <si>
    <r>
      <rPr>
        <sz val="12"/>
        <color rgb="FF000000"/>
        <rFont val="Arial"/>
        <family val="2"/>
      </rPr>
      <t>County Office of Education Student Support and Enrichment Block Grant</t>
    </r>
    <r>
      <rPr>
        <vertAlign val="superscript"/>
        <sz val="12"/>
        <color rgb="FF000000"/>
        <rFont val="Arial"/>
        <family val="2"/>
      </rPr>
      <t>1</t>
    </r>
  </si>
  <si>
    <t>Total Principal Apportionment Payments</t>
  </si>
  <si>
    <t>Estimated Cash Flow, State Categorical Apportionments, Fiscal Year 2025-26</t>
  </si>
  <si>
    <t>1) Payment is split over 2 Fiscal years.  $9 million will be paid in FY 2025-26 and the remaining $90 millioni will be paid in FY 2026-27.</t>
  </si>
  <si>
    <r>
      <rPr>
        <b/>
        <sz val="12"/>
        <color indexed="8"/>
        <rFont val="Arial"/>
        <family val="2"/>
      </rPr>
      <t xml:space="preserve">AB: </t>
    </r>
    <r>
      <rPr>
        <sz val="12"/>
        <color indexed="8"/>
        <rFont val="Arial"/>
        <family val="2"/>
      </rPr>
      <t>Assembly Bill;</t>
    </r>
    <r>
      <rPr>
        <b/>
        <sz val="12"/>
        <color indexed="8"/>
        <rFont val="Arial"/>
        <family val="2"/>
      </rPr>
      <t xml:space="preserve"> Ch: </t>
    </r>
    <r>
      <rPr>
        <sz val="12"/>
        <color indexed="8"/>
        <rFont val="Arial"/>
        <family val="2"/>
      </rPr>
      <t xml:space="preserve">Chapter; </t>
    </r>
    <r>
      <rPr>
        <b/>
        <sz val="12"/>
        <color rgb="FF000000"/>
        <rFont val="Arial"/>
        <family val="2"/>
      </rPr>
      <t>EC:</t>
    </r>
    <r>
      <rPr>
        <sz val="12"/>
        <color indexed="8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indexed="8"/>
        <rFont val="Arial"/>
        <family val="2"/>
      </rPr>
      <t xml:space="preserve"> Program Cost Account;</t>
    </r>
    <r>
      <rPr>
        <b/>
        <sz val="12"/>
        <color indexed="8"/>
        <rFont val="Arial"/>
        <family val="2"/>
      </rPr>
      <t xml:space="preserve"> ROCP:</t>
    </r>
    <r>
      <rPr>
        <sz val="12"/>
        <color indexed="8"/>
        <rFont val="Arial"/>
        <family val="2"/>
      </rPr>
      <t xml:space="preserve"> Regional Occupational Center or Program; </t>
    </r>
    <r>
      <rPr>
        <b/>
        <sz val="12"/>
        <color indexed="8"/>
        <rFont val="Arial"/>
        <family val="2"/>
      </rPr>
      <t>SACS</t>
    </r>
    <r>
      <rPr>
        <sz val="12"/>
        <color indexed="8"/>
        <rFont val="Arial"/>
        <family val="2"/>
      </rPr>
      <t xml:space="preserve">: Standardized Account Code Structure; </t>
    </r>
    <r>
      <rPr>
        <b/>
        <sz val="12"/>
        <color indexed="8"/>
        <rFont val="Arial"/>
        <family val="2"/>
      </rPr>
      <t>TBD:</t>
    </r>
    <r>
      <rPr>
        <sz val="12"/>
        <color indexed="8"/>
        <rFont val="Arial"/>
        <family val="2"/>
      </rPr>
      <t xml:space="preserve"> To be determined. </t>
    </r>
  </si>
  <si>
    <t>State Budget Appropriation</t>
  </si>
  <si>
    <t>Remaining Balance Available
As of July 1, 2025</t>
  </si>
  <si>
    <t>Fiscal Contact
 E-mail</t>
  </si>
  <si>
    <t>Payment Schedule</t>
  </si>
  <si>
    <t>25392 &amp; 25394</t>
  </si>
  <si>
    <t>6100-106-0001</t>
  </si>
  <si>
    <t>California Collaborative for Educational Excellence (Marin County Office of Education)</t>
  </si>
  <si>
    <t>100</t>
  </si>
  <si>
    <t>6100-156-0001 (2)</t>
  </si>
  <si>
    <t>CalWORKs for Adult Education Programs</t>
  </si>
  <si>
    <t>23550</t>
  </si>
  <si>
    <t>6100-105-0001 (1)
Prov. 2</t>
  </si>
  <si>
    <t>CalWORKs for ROCPs and Adult Education Programs</t>
  </si>
  <si>
    <t>6371</t>
  </si>
  <si>
    <t xml:space="preserve">Section 139 of Assembly Bill 181 (Chapter 52, Statutes of 2022) </t>
  </si>
  <si>
    <t>22-23</t>
  </si>
  <si>
    <t>Classified School Employee Summer Assistance Program</t>
  </si>
  <si>
    <t>CSESAP@cde.ca.gov</t>
  </si>
  <si>
    <t>Budget Act Item 6100-220-000, SB 154 (Ch. 43, Statutes of 2022) as amended by AB 178 (Ch. 45, Statutes of 2024)</t>
  </si>
  <si>
    <t>6100-220-0001</t>
  </si>
  <si>
    <t>23-24</t>
  </si>
  <si>
    <t xml:space="preserve">Item 6100-220-0001 of AB 107(Ch. 22, Statutes of 2024) as amended by Sec. 213 of SB 108 (Ch. 35, Statutes of 2024) </t>
  </si>
  <si>
    <r>
      <t>9/90</t>
    </r>
    <r>
      <rPr>
        <vertAlign val="superscript"/>
        <sz val="12"/>
        <color theme="1"/>
        <rFont val="Arial"/>
        <family val="2"/>
      </rPr>
      <t>1</t>
    </r>
  </si>
  <si>
    <t>23634, 25466, 24230, 24003, 24570, 23759, &amp; 23760</t>
  </si>
  <si>
    <t>6100-107-0001
Various Schedules and Provisions</t>
  </si>
  <si>
    <t>Fiscal Crisis &amp; Management Assistance Team (Kern County Office of Education)</t>
  </si>
  <si>
    <t>6100-296-0001</t>
  </si>
  <si>
    <t>Mandate Block Grant</t>
  </si>
  <si>
    <t>Mandate@cde.ca.gov</t>
  </si>
  <si>
    <t>Sec. 55 of SB 114 (Ch. 48, 2023)</t>
  </si>
  <si>
    <t>Reversing Opioid Overdose</t>
  </si>
  <si>
    <t>Sec. 135 of AB 130 (Ch. 44, 2021) subdivision (c)</t>
  </si>
  <si>
    <t>SACS Maintenance &amp; Operations Support (Kern County Office of Education)</t>
  </si>
  <si>
    <t>24220 &amp; 25309</t>
  </si>
  <si>
    <t>6100-172-0001</t>
  </si>
  <si>
    <t>Student Friendly Services &amp; Online Educational Resources (Riverside County Office of Education)</t>
  </si>
  <si>
    <t>7410/7411</t>
  </si>
  <si>
    <t>EC 1330(e) &amp; (f)</t>
  </si>
  <si>
    <t>Unemployment Insurance Management System</t>
  </si>
  <si>
    <t>Sec. 14 of AB 121 (Ch. 8, 2025); EC 32526</t>
  </si>
  <si>
    <t>Learning Recovery Emergency Block Grant</t>
  </si>
  <si>
    <t>Sections 15 and 83 of AB 121 (Ch. 8, 2025)</t>
  </si>
  <si>
    <t>Literacy Instruction Professional Development</t>
  </si>
  <si>
    <t>Sec. 51 of AB 121 (Ch. 8, 2025); EC 53009</t>
  </si>
  <si>
    <t>Literacy Coaches and Reading Specialists Grant</t>
  </si>
  <si>
    <t>25790, 25791, 25792, 25805, 25808</t>
  </si>
  <si>
    <t>Sec. 81 of AB 121 (Ch. 8, 2025); Sch (2) of Item 6100-485 and Prov. 2 of Item 6100-488</t>
  </si>
  <si>
    <t>Student Support and Professional Development Discretionary Block Grant</t>
  </si>
  <si>
    <t>50/50</t>
  </si>
  <si>
    <t>Sec. 84 of AB 121 (Ch. 8, 2025)</t>
  </si>
  <si>
    <t>Secondary School Redesign Pilot Program (California Collaborative for Educational Excellence)</t>
  </si>
  <si>
    <t>Sec. 86 of AB 121 (Ch. 8, 2025)</t>
  </si>
  <si>
    <t>Special Olympics (Riverside County Office of Education)</t>
  </si>
  <si>
    <t>Sec. 88 of AB 121 (Ch. 8, 2025)</t>
  </si>
  <si>
    <t>Literacy Screenings Professional Development</t>
  </si>
  <si>
    <t>Sec. 96 of AB 121 (Ch. 8, 2025)</t>
  </si>
  <si>
    <t>Children and Youth Behavioral Health Initiative (Sacramento County Office of Education)</t>
  </si>
  <si>
    <t>6100-122-0001, Provision 1</t>
  </si>
  <si>
    <t>Specialized Secondary Programs Operated in Conjunction with the California State University</t>
  </si>
  <si>
    <t>EC 42238.03(e)(2)(C)</t>
  </si>
  <si>
    <t>State Special Schools for Local Control Funding Formula Entitlements</t>
  </si>
  <si>
    <t>N/A</t>
  </si>
  <si>
    <t>Non-Budget Act Item 6100-628-0001; EC 8820–8822</t>
  </si>
  <si>
    <t>State Special Schools for Arts and Music in Schools</t>
  </si>
  <si>
    <t>Total State Apportionments</t>
  </si>
  <si>
    <t>Estimated Cash Flow, Lottery Apportionments, Fiscal Year 2025-26</t>
  </si>
  <si>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</si>
  <si>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Unavailable</t>
  </si>
  <si>
    <t>Lottery Funds payment schedule</t>
  </si>
  <si>
    <t>1100/6300</t>
  </si>
  <si>
    <t>Total Lottery Payments</t>
  </si>
  <si>
    <t>Estimated Cash Flow, Federal Categorical Apportionments, Fiscal Year 2025-26</t>
  </si>
  <si>
    <r>
      <rPr>
        <vertAlign val="superscript"/>
        <sz val="12"/>
        <color rgb="FF000000"/>
        <rFont val="Arial"/>
        <family val="2"/>
      </rPr>
      <t xml:space="preserve">1 </t>
    </r>
    <r>
      <rPr>
        <sz val="12"/>
        <color rgb="FF000000"/>
        <rFont val="Arial"/>
        <family val="2"/>
      </rPr>
      <t>Federal apportionments for Title I, Part A; Title I, Part D; Title II, Part A, Title III EL, Title III Immigrant, and Title IV are based on timely reporting of cash balances via the Federal Cash Management Data Collection System.</t>
    </r>
  </si>
  <si>
    <r>
      <rPr>
        <vertAlign val="superscript"/>
        <sz val="12"/>
        <color rgb="FF000000"/>
        <rFont val="Arial"/>
        <family val="2"/>
      </rPr>
      <t xml:space="preserve">2 </t>
    </r>
    <r>
      <rPr>
        <sz val="12"/>
        <color rgb="FF000000"/>
        <rFont val="Arial"/>
        <family val="2"/>
      </rPr>
      <t>Federal apportionments for Comprehensive Support and Improvement (CSI) to local educational agencies (LEAs) are based on timely reporting of expenditures via the Grant Management and Reporting Tool.</t>
    </r>
  </si>
  <si>
    <r>
      <rPr>
        <b/>
        <sz val="12"/>
        <color rgb="FF000000"/>
        <rFont val="Arial"/>
        <family val="2"/>
      </rPr>
      <t xml:space="preserve">AB: </t>
    </r>
    <r>
      <rPr>
        <sz val="12"/>
        <color rgb="FF000000"/>
        <rFont val="Arial"/>
        <family val="2"/>
      </rPr>
      <t>Assembly Bill;</t>
    </r>
    <r>
      <rPr>
        <b/>
        <sz val="12"/>
        <color rgb="FF000000"/>
        <rFont val="Arial"/>
        <family val="2"/>
      </rPr>
      <t xml:space="preserve"> Ch: </t>
    </r>
    <r>
      <rPr>
        <sz val="12"/>
        <color rgb="FF000000"/>
        <rFont val="Arial"/>
        <family val="2"/>
      </rPr>
      <t>Chapter;</t>
    </r>
    <r>
      <rPr>
        <b/>
        <sz val="12"/>
        <color rgb="FF000000"/>
        <rFont val="Arial"/>
        <family val="2"/>
      </rPr>
      <t xml:space="preserve"> PCA: </t>
    </r>
    <r>
      <rPr>
        <sz val="12"/>
        <color rgb="FF000000"/>
        <rFont val="Arial"/>
        <family val="2"/>
      </rPr>
      <t xml:space="preserve">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</si>
  <si>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6100-134-0890 Sch(2) Prov. 6</t>
  </si>
  <si>
    <r>
      <t>Title I Comprehensive Support and Improvement (CSI), Local Educational Agency (LEA)</t>
    </r>
    <r>
      <rPr>
        <vertAlign val="superscript"/>
        <sz val="12"/>
        <color theme="1"/>
        <rFont val="Arial"/>
        <family val="2"/>
      </rPr>
      <t>2</t>
    </r>
  </si>
  <si>
    <t>6100-134-0890 (2)</t>
  </si>
  <si>
    <r>
      <t>Title I, Part A, Basic, Concentration, and Neglected</t>
    </r>
    <r>
      <rPr>
        <vertAlign val="superscript"/>
        <sz val="12"/>
        <rFont val="Arial"/>
        <family val="2"/>
      </rPr>
      <t>1</t>
    </r>
  </si>
  <si>
    <r>
      <t>Title I, Part A, Basic, Concentration, and Neglected</t>
    </r>
    <r>
      <rPr>
        <vertAlign val="superscript"/>
        <sz val="12"/>
        <color theme="1"/>
        <rFont val="Arial"/>
        <family val="2"/>
      </rPr>
      <t>1</t>
    </r>
  </si>
  <si>
    <r>
      <t>Title I, Part D, Subpart 2, Delinquent</t>
    </r>
    <r>
      <rPr>
        <vertAlign val="superscript"/>
        <sz val="12"/>
        <color theme="1"/>
        <rFont val="Arial"/>
        <family val="2"/>
      </rPr>
      <t>1</t>
    </r>
  </si>
  <si>
    <t>6100-195-0890 (1)</t>
  </si>
  <si>
    <r>
      <t>Title II, Part A - Teacher Quality</t>
    </r>
    <r>
      <rPr>
        <vertAlign val="superscript"/>
        <sz val="12"/>
        <color theme="1"/>
        <rFont val="Arial"/>
        <family val="2"/>
      </rPr>
      <t>1</t>
    </r>
  </si>
  <si>
    <t>6100-125-0890 (3)</t>
  </si>
  <si>
    <r>
      <t>Title III, Part A - Immigrant</t>
    </r>
    <r>
      <rPr>
        <vertAlign val="superscript"/>
        <sz val="12"/>
        <color theme="1"/>
        <rFont val="Arial"/>
        <family val="2"/>
      </rPr>
      <t>1</t>
    </r>
  </si>
  <si>
    <r>
      <t>Title III, Part A - English Learner</t>
    </r>
    <r>
      <rPr>
        <vertAlign val="superscript"/>
        <sz val="12"/>
        <color theme="1"/>
        <rFont val="Arial"/>
        <family val="2"/>
      </rPr>
      <t>1</t>
    </r>
  </si>
  <si>
    <t>6100-134-0890 (3)</t>
  </si>
  <si>
    <r>
      <t>Title IV, Student Support and Academic Achievement</t>
    </r>
    <r>
      <rPr>
        <vertAlign val="superscript"/>
        <sz val="12"/>
        <color theme="1"/>
        <rFont val="Arial"/>
        <family val="2"/>
      </rPr>
      <t>1</t>
    </r>
  </si>
  <si>
    <t>6100-137-0890</t>
  </si>
  <si>
    <t>Title V, Part B, Subpart 2, Rural and Low-Income School</t>
  </si>
  <si>
    <t>Bi-Annual</t>
  </si>
  <si>
    <t>Total Federal Payments</t>
  </si>
  <si>
    <t>Estimated Cash Flow, Select Programs, Fiscal Year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</si>
</sst>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_(&quot;$&quot;* #,##0.0_);_(&quot;$&quot;* \(#,##0.0\);_(&quot;$&quot;* &quot;-&quot;?_);_(@_)"/>
    <numFmt numFmtId="167" formatCode="_(&quot;$&quot;* #,##0_);_(&quot;$&quot;* \(#,##0\);_(&quot;$&quot;* &quot;-&quot;??_);_(@_)"/>
    <numFmt numFmtId="168" formatCode="[$-409]mmmm\ d\,\ yyyy;@"/>
    <numFmt numFmtId="169" formatCode="&quot;$&quot;#,##0.0"/>
    <numFmt numFmtId="170" formatCode="_(&quot;$&quot;* #,##0.0_);_(&quot;$&quot;* \(#,##0.0\);_(&quot;$&quot;* &quot;-&quot;??_);_(@_)"/>
    <numFmt numFmtId="171" formatCode="#,##0.000000"/>
    <numFmt numFmtId="172" formatCode="&quot;$&quot;#,##0.0_);[Red]\(&quot;$&quot;#,##0.0\)"/>
    <numFmt numFmtId="173" formatCode="&quot;$&quot;#,##0.00"/>
  </numFmts>
  <fonts count="27" x14ac:knownFonts="1">
    <font>
      <sz val="12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0" tint="-0.34998626667073579"/>
      <name val="Arial"/>
      <family val="2"/>
    </font>
    <font>
      <sz val="12"/>
      <color rgb="FF8C8C8C"/>
      <name val="Arial"/>
      <family val="2"/>
    </font>
    <font>
      <sz val="12"/>
      <color theme="0" tint="-0.14999847407452621"/>
      <name val="Arial"/>
      <family val="2"/>
    </font>
    <font>
      <vertAlign val="superscript"/>
      <sz val="12"/>
      <color theme="1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8"/>
      <name val="Arial"/>
      <family val="2"/>
    </font>
    <font>
      <sz val="12"/>
      <color rgb="FF595959"/>
      <name val="Arial"/>
      <family val="2"/>
    </font>
    <font>
      <sz val="11"/>
      <color rgb="FFFF6600"/>
      <name val="Calibri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1" applyNumberFormat="0" applyFill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/>
    <xf numFmtId="0" fontId="0" fillId="2" borderId="0" xfId="0" applyFill="1"/>
    <xf numFmtId="164" fontId="0" fillId="0" borderId="0" xfId="0" applyNumberFormat="1"/>
    <xf numFmtId="167" fontId="11" fillId="0" borderId="0" xfId="2" applyNumberFormat="1" applyFont="1"/>
    <xf numFmtId="0" fontId="10" fillId="0" borderId="2" xfId="0" applyFont="1" applyBorder="1" applyAlignment="1">
      <alignment horizontal="left" vertical="center" wrapText="1"/>
    </xf>
    <xf numFmtId="15" fontId="0" fillId="0" borderId="0" xfId="0" applyNumberFormat="1"/>
    <xf numFmtId="0" fontId="13" fillId="0" borderId="0" xfId="0" applyFont="1"/>
    <xf numFmtId="0" fontId="2" fillId="0" borderId="0" xfId="0" applyFont="1"/>
    <xf numFmtId="0" fontId="7" fillId="0" borderId="0" xfId="4" applyFont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168" fontId="0" fillId="0" borderId="0" xfId="0" quotePrefix="1" applyNumberFormat="1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7" applyFill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4" fillId="0" borderId="9" xfId="7" applyFill="1" applyBorder="1" applyAlignment="1" applyProtection="1">
      <alignment horizontal="center" vertical="center"/>
    </xf>
    <xf numFmtId="170" fontId="10" fillId="0" borderId="10" xfId="0" applyNumberFormat="1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7" applyFill="1" applyBorder="1" applyAlignment="1" applyProtection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3" fontId="14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wrapText="1"/>
    </xf>
    <xf numFmtId="49" fontId="12" fillId="4" borderId="4" xfId="0" applyNumberFormat="1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166" fontId="1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8" fillId="0" borderId="0" xfId="0" applyFont="1"/>
    <xf numFmtId="165" fontId="0" fillId="3" borderId="2" xfId="0" applyNumberFormat="1" applyFill="1" applyBorder="1" applyAlignment="1">
      <alignment horizontal="center" vertical="center"/>
    </xf>
    <xf numFmtId="166" fontId="10" fillId="0" borderId="10" xfId="0" applyNumberFormat="1" applyFont="1" applyBorder="1" applyAlignment="1">
      <alignment vertical="center"/>
    </xf>
    <xf numFmtId="166" fontId="10" fillId="0" borderId="5" xfId="2" applyNumberFormat="1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/>
    </xf>
    <xf numFmtId="166" fontId="10" fillId="0" borderId="10" xfId="0" applyNumberFormat="1" applyFont="1" applyBorder="1" applyAlignment="1">
      <alignment horizontal="right" vertical="center" wrapText="1"/>
    </xf>
    <xf numFmtId="166" fontId="0" fillId="0" borderId="2" xfId="0" applyNumberForma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10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22" fillId="0" borderId="0" xfId="0" applyFont="1"/>
    <xf numFmtId="0" fontId="5" fillId="0" borderId="0" xfId="0" applyFont="1"/>
    <xf numFmtId="0" fontId="24" fillId="0" borderId="2" xfId="0" applyFont="1" applyBorder="1" applyAlignment="1">
      <alignment horizontal="center" vertical="center"/>
    </xf>
    <xf numFmtId="0" fontId="4" fillId="0" borderId="0" xfId="7" applyAlignment="1" applyProtection="1"/>
    <xf numFmtId="0" fontId="26" fillId="0" borderId="0" xfId="3" applyFont="1" applyFill="1"/>
    <xf numFmtId="0" fontId="24" fillId="0" borderId="0" xfId="0" applyFont="1"/>
    <xf numFmtId="0" fontId="18" fillId="0" borderId="14" xfId="0" applyFont="1" applyBorder="1" applyAlignment="1">
      <alignment vertical="center"/>
    </xf>
    <xf numFmtId="3" fontId="18" fillId="0" borderId="2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6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left"/>
    </xf>
    <xf numFmtId="0" fontId="0" fillId="3" borderId="7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70" fontId="0" fillId="0" borderId="0" xfId="0" applyNumberFormat="1"/>
    <xf numFmtId="170" fontId="10" fillId="0" borderId="0" xfId="0" applyNumberFormat="1" applyFont="1"/>
    <xf numFmtId="166" fontId="0" fillId="0" borderId="0" xfId="0" applyNumberFormat="1" applyAlignment="1">
      <alignment vertical="center"/>
    </xf>
    <xf numFmtId="49" fontId="18" fillId="0" borderId="0" xfId="0" quotePrefix="1" applyNumberFormat="1" applyFont="1" applyAlignment="1">
      <alignment horizontal="left"/>
    </xf>
    <xf numFmtId="164" fontId="0" fillId="0" borderId="0" xfId="0" applyNumberFormat="1" applyAlignment="1">
      <alignment vertical="center"/>
    </xf>
    <xf numFmtId="169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/>
    </xf>
    <xf numFmtId="169" fontId="10" fillId="0" borderId="9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21" fillId="0" borderId="2" xfId="0" applyNumberFormat="1" applyFont="1" applyBorder="1" applyAlignment="1">
      <alignment vertical="center"/>
    </xf>
    <xf numFmtId="38" fontId="0" fillId="0" borderId="2" xfId="0" applyNumberFormat="1" applyBorder="1" applyAlignment="1">
      <alignment vertical="center"/>
    </xf>
    <xf numFmtId="164" fontId="6" fillId="0" borderId="15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3" fontId="15" fillId="0" borderId="4" xfId="0" applyNumberFormat="1" applyFont="1" applyBorder="1" applyAlignment="1">
      <alignment horizontal="center" vertical="center"/>
    </xf>
    <xf numFmtId="3" fontId="15" fillId="6" borderId="4" xfId="0" applyNumberFormat="1" applyFont="1" applyFill="1" applyBorder="1" applyAlignment="1">
      <alignment horizontal="center" vertical="center"/>
    </xf>
    <xf numFmtId="172" fontId="0" fillId="0" borderId="0" xfId="0" applyNumberFormat="1"/>
    <xf numFmtId="165" fontId="0" fillId="0" borderId="2" xfId="0" applyNumberFormat="1" applyBorder="1" applyAlignment="1">
      <alignment horizontal="right" vertical="center" wrapText="1"/>
    </xf>
    <xf numFmtId="3" fontId="18" fillId="6" borderId="2" xfId="0" applyNumberFormat="1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166" fontId="0" fillId="0" borderId="0" xfId="0" applyNumberFormat="1"/>
    <xf numFmtId="171" fontId="18" fillId="0" borderId="2" xfId="0" quotePrefix="1" applyNumberFormat="1" applyFont="1" applyBorder="1" applyAlignment="1">
      <alignment horizontal="center" vertical="center"/>
    </xf>
    <xf numFmtId="173" fontId="0" fillId="0" borderId="0" xfId="0" applyNumberFormat="1"/>
    <xf numFmtId="0" fontId="5" fillId="0" borderId="2" xfId="0" applyFont="1" applyBorder="1" applyAlignment="1">
      <alignment horizontal="right" vertical="center"/>
    </xf>
    <xf numFmtId="0" fontId="7" fillId="0" borderId="0" xfId="4" applyFont="1" applyFill="1"/>
    <xf numFmtId="6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4" fontId="18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169" fontId="0" fillId="0" borderId="0" xfId="0" applyNumberFormat="1"/>
    <xf numFmtId="170" fontId="10" fillId="0" borderId="1" xfId="8" applyNumberFormat="1" applyAlignment="1">
      <alignment horizontal="center" vertical="center"/>
    </xf>
    <xf numFmtId="170" fontId="10" fillId="0" borderId="1" xfId="8" applyNumberFormat="1" applyAlignment="1">
      <alignment horizontal="left" vertical="center" wrapText="1"/>
    </xf>
    <xf numFmtId="170" fontId="10" fillId="0" borderId="1" xfId="8" applyNumberFormat="1"/>
    <xf numFmtId="0" fontId="0" fillId="0" borderId="8" xfId="0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165" fontId="5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3" fontId="14" fillId="0" borderId="9" xfId="0" applyNumberFormat="1" applyFont="1" applyBorder="1" applyAlignment="1">
      <alignment vertical="center"/>
    </xf>
    <xf numFmtId="0" fontId="10" fillId="0" borderId="1" xfId="8" applyAlignment="1">
      <alignment horizontal="left"/>
    </xf>
    <xf numFmtId="0" fontId="10" fillId="0" borderId="1" xfId="8" applyAlignment="1">
      <alignment horizontal="center"/>
    </xf>
    <xf numFmtId="0" fontId="10" fillId="0" borderId="1" xfId="8"/>
    <xf numFmtId="0" fontId="10" fillId="0" borderId="1" xfId="8" applyAlignment="1">
      <alignment horizontal="center" wrapText="1"/>
    </xf>
    <xf numFmtId="0" fontId="10" fillId="0" borderId="1" xfId="8" applyAlignment="1">
      <alignment wrapText="1"/>
    </xf>
    <xf numFmtId="169" fontId="10" fillId="0" borderId="1" xfId="8" applyNumberFormat="1"/>
    <xf numFmtId="0" fontId="0" fillId="0" borderId="9" xfId="0" applyBorder="1" applyAlignment="1">
      <alignment horizontal="center" vertical="center" wrapText="1"/>
    </xf>
    <xf numFmtId="165" fontId="0" fillId="0" borderId="9" xfId="0" applyNumberFormat="1" applyBorder="1" applyAlignment="1">
      <alignment horizontal="right" vertical="center"/>
    </xf>
    <xf numFmtId="165" fontId="5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9" fontId="0" fillId="0" borderId="9" xfId="0" applyNumberFormat="1" applyBorder="1" applyAlignment="1">
      <alignment horizontal="center" vertical="center"/>
    </xf>
    <xf numFmtId="3" fontId="14" fillId="0" borderId="9" xfId="0" applyNumberFormat="1" applyFont="1" applyBorder="1" applyAlignment="1">
      <alignment horizontal="right" vertical="center"/>
    </xf>
    <xf numFmtId="3" fontId="15" fillId="6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Border="1" applyAlignment="1">
      <alignment horizontal="right" vertical="center" wrapText="1"/>
    </xf>
    <xf numFmtId="0" fontId="10" fillId="0" borderId="1" xfId="8" applyAlignment="1">
      <alignment horizontal="right"/>
    </xf>
    <xf numFmtId="169" fontId="10" fillId="5" borderId="1" xfId="8" applyNumberFormat="1" applyFill="1"/>
    <xf numFmtId="165" fontId="0" fillId="0" borderId="9" xfId="0" applyNumberFormat="1" applyBorder="1" applyAlignment="1">
      <alignment horizontal="center" vertical="center"/>
    </xf>
    <xf numFmtId="0" fontId="16" fillId="0" borderId="9" xfId="0" applyFont="1" applyBorder="1" applyAlignment="1">
      <alignment horizontal="right" vertical="center"/>
    </xf>
    <xf numFmtId="8" fontId="0" fillId="0" borderId="9" xfId="0" applyNumberFormat="1" applyBorder="1" applyAlignment="1">
      <alignment horizontal="center" vertical="center"/>
    </xf>
    <xf numFmtId="164" fontId="6" fillId="0" borderId="9" xfId="0" applyNumberFormat="1" applyFont="1" applyBorder="1" applyAlignment="1">
      <alignment horizontal="right" vertical="center" wrapText="1"/>
    </xf>
    <xf numFmtId="0" fontId="10" fillId="0" borderId="1" xfId="8" applyAlignment="1">
      <alignment vertical="center"/>
    </xf>
    <xf numFmtId="0" fontId="10" fillId="0" borderId="1" xfId="8" applyAlignment="1">
      <alignment horizontal="center" vertical="center" wrapText="1"/>
    </xf>
    <xf numFmtId="169" fontId="10" fillId="0" borderId="1" xfId="8" applyNumberFormat="1" applyAlignment="1">
      <alignment vertical="center"/>
    </xf>
    <xf numFmtId="169" fontId="10" fillId="0" borderId="1" xfId="8" applyNumberFormat="1" applyAlignment="1">
      <alignment horizontal="right" vertical="center" wrapText="1"/>
    </xf>
    <xf numFmtId="3" fontId="0" fillId="0" borderId="9" xfId="0" applyNumberFormat="1" applyBorder="1" applyAlignment="1">
      <alignment vertical="center"/>
    </xf>
    <xf numFmtId="3" fontId="0" fillId="0" borderId="9" xfId="0" applyNumberFormat="1" applyBorder="1" applyAlignment="1">
      <alignment horizontal="right" vertical="center"/>
    </xf>
    <xf numFmtId="3" fontId="0" fillId="7" borderId="9" xfId="0" applyNumberForma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3" fontId="18" fillId="0" borderId="9" xfId="0" applyNumberFormat="1" applyFont="1" applyBorder="1" applyAlignment="1">
      <alignment vertical="center"/>
    </xf>
    <xf numFmtId="169" fontId="10" fillId="0" borderId="9" xfId="0" applyNumberFormat="1" applyFont="1" applyBorder="1" applyAlignment="1">
      <alignment horizontal="right" vertical="center" wrapText="1"/>
    </xf>
  </cellXfs>
  <cellStyles count="9">
    <cellStyle name="Comma 2" xfId="1" xr:uid="{00000000-0005-0000-0000-000000000000}"/>
    <cellStyle name="Currency" xfId="2" builtinId="4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7" builtinId="8" customBuiltin="1"/>
    <cellStyle name="Normal" xfId="0" builtinId="0" customBuiltin="1"/>
    <cellStyle name="Total" xfId="8" builtinId="25" customBuiltin="1"/>
  </cellStyles>
  <dxfs count="346"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</dxf>
    <dxf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</dxf>
    <dxf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numFmt numFmtId="174" formatCode="&quot;$&quot;#,##0.0_);\(&quot;$&quot;#,##0.0\)"/>
    </dxf>
    <dxf>
      <font>
        <color theme="1" tint="0.34998626667073579"/>
      </font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</dxf>
    <dxf>
      <numFmt numFmtId="174" formatCode="&quot;$&quot;#,##0.0_);\(&quot;$&quot;#,##0.0\)"/>
    </dxf>
    <dxf>
      <font>
        <b/>
        <i val="0"/>
        <color auto="1"/>
      </font>
      <numFmt numFmtId="165" formatCode="&quot;$&quot;#,##0"/>
    </dxf>
    <dxf>
      <font>
        <b/>
        <i val="0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b/>
        <i val="0"/>
        <color auto="1"/>
      </font>
      <numFmt numFmtId="165" formatCode="&quot;$&quot;#,##0"/>
    </dxf>
    <dxf>
      <font>
        <b/>
        <i val="0"/>
        <color auto="1"/>
      </font>
      <numFmt numFmtId="174" formatCode="&quot;$&quot;#,##0.0_);\(&quot;$&quot;#,##0.0\)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auto="1"/>
      </font>
      <numFmt numFmtId="165" formatCode="&quot;$&quot;#,##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numFmt numFmtId="165" formatCode="&quot;$&quot;#,##0"/>
    </dxf>
    <dxf>
      <fill>
        <patternFill>
          <bgColor theme="0" tint="-0.34998626667073579"/>
        </patternFill>
      </fill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numFmt numFmtId="169" formatCode="&quot;$&quot;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numFmt numFmtId="165" formatCode="&quot;$&quot;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numFmt numFmtId="165" formatCode="&quot;$&quot;#,##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  <fill>
        <patternFill patternType="solid">
          <fgColor indexed="64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color auto="1"/>
      </font>
      <numFmt numFmtId="165" formatCode="&quot;$&quot;#,##0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numFmt numFmtId="165" formatCode="&quot;$&quot;#,##0"/>
      <fill>
        <patternFill patternType="none"/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</dxf>
    <dxf>
      <numFmt numFmtId="166" formatCode="_(&quot;$&quot;* #,##0.0_);_(&quot;$&quot;* \(#,##0.0\);_(&quot;$&quot;* &quot;-&quot;?_);_(@_)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(&quot;$&quot;* #,##0.0_);_(&quot;$&quot;* \(#,##0.0\);_(&quot;$&quot;* &quot;-&quot;??_);_(@_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(&quot;$&quot;* #,##0.0_);_(&quot;$&quot;* \(#,##0.0\);_(&quot;$&quot;* &quot;-&quot;??_);_(@_)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FF"/>
      <color rgb="FF00FFFF"/>
      <color rgb="FFEBF1DE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O13" totalsRowCount="1" headerRowDxfId="345" dataDxfId="343" totalsRowDxfId="341" headerRowBorderDxfId="344" tableBorderDxfId="342" totalsRowCellStyle="Total">
  <autoFilter ref="A6:O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7:O12">
    <sortCondition ref="A10"/>
  </sortState>
  <tableColumns count="15">
    <tableColumn id="1" xr3:uid="{00000000-0010-0000-0000-000001000000}" name="Sheet" totalsRowLabel=" Total " dataDxfId="340" totalsRowDxfId="339" totalsRowCellStyle="Total"/>
    <tableColumn id="2" xr3:uid="{00000000-0010-0000-0000-000002000000}" name="Apportionment Type" dataDxfId="338" totalsRowDxfId="337" totalsRowCellStyle="Total"/>
    <tableColumn id="3" xr3:uid="{00000000-0010-0000-0000-000003000000}" name="July 2025" totalsRowFunction="sum" dataDxfId="336" totalsRowDxfId="335" totalsRowCellStyle="Total"/>
    <tableColumn id="4" xr3:uid="{00000000-0010-0000-0000-000004000000}" name="Aug 2025" totalsRowFunction="sum" dataDxfId="334" totalsRowDxfId="333" totalsRowCellStyle="Total"/>
    <tableColumn id="5" xr3:uid="{00000000-0010-0000-0000-000005000000}" name="Sept 2025" totalsRowFunction="sum" dataDxfId="332" totalsRowDxfId="331" totalsRowCellStyle="Total"/>
    <tableColumn id="6" xr3:uid="{00000000-0010-0000-0000-000006000000}" name="Oct 2025" totalsRowFunction="sum" dataDxfId="330" totalsRowDxfId="329" totalsRowCellStyle="Total"/>
    <tableColumn id="7" xr3:uid="{00000000-0010-0000-0000-000007000000}" name="Nov 2025" totalsRowFunction="sum" dataDxfId="328" totalsRowDxfId="327" totalsRowCellStyle="Total"/>
    <tableColumn id="8" xr3:uid="{00000000-0010-0000-0000-000008000000}" name="Dec 2025" totalsRowFunction="sum" dataDxfId="326" totalsRowDxfId="325" totalsRowCellStyle="Total"/>
    <tableColumn id="9" xr3:uid="{00000000-0010-0000-0000-000009000000}" name="Jan 2026" totalsRowFunction="sum" dataDxfId="324" totalsRowDxfId="323" totalsRowCellStyle="Total"/>
    <tableColumn id="10" xr3:uid="{00000000-0010-0000-0000-00000A000000}" name="Feb 2026" totalsRowFunction="sum" dataDxfId="322" totalsRowDxfId="321" totalsRowCellStyle="Total"/>
    <tableColumn id="11" xr3:uid="{00000000-0010-0000-0000-00000B000000}" name="Mar 2026" totalsRowFunction="sum" dataDxfId="320" totalsRowDxfId="319" totalsRowCellStyle="Total"/>
    <tableColumn id="12" xr3:uid="{00000000-0010-0000-0000-00000C000000}" name="April 2026" totalsRowFunction="sum" dataDxfId="318" totalsRowDxfId="317" totalsRowCellStyle="Total"/>
    <tableColumn id="13" xr3:uid="{00000000-0010-0000-0000-00000D000000}" name="May 2026" totalsRowFunction="sum" dataDxfId="316" totalsRowDxfId="315" totalsRowCellStyle="Total"/>
    <tableColumn id="14" xr3:uid="{00000000-0010-0000-0000-00000E000000}" name="June 2026" totalsRowFunction="sum" dataDxfId="314" totalsRowDxfId="313" totalsRowCellStyle="Total"/>
    <tableColumn id="17" xr3:uid="{00000000-0010-0000-0000-000011000000}" name="Total" totalsRowFunction="sum" dataDxfId="312" totalsRowDxfId="311" totalsRowCellStyle="Total">
      <calculatedColumnFormula>SUM(C7:N7)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Summary table of the estimated cash flow, select programs,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U17" totalsRowCount="1" headerRowDxfId="310" dataDxfId="308" totalsRowDxfId="306" headerRowBorderDxfId="309" tableBorderDxfId="307" totalsRowCellStyle="Total">
  <autoFilter ref="A5:U1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100-000001000000}" name="PCA" totalsRowLabel="Total Principal Apportionment Payments" dataDxfId="305" totalsRowDxfId="304" totalsRowCellStyle="Total"/>
    <tableColumn id="2" xr3:uid="{00000000-0010-0000-0100-000002000000}" name="Budget Item Number or Authority" dataDxfId="303" totalsRowDxfId="302" totalsRowCellStyle="Total"/>
    <tableColumn id="3" xr3:uid="{00000000-0010-0000-0100-000003000000}" name="State Budget Authority" dataDxfId="301" totalsRowCellStyle="Total"/>
    <tableColumn id="9" xr3:uid="{D8DBD0F6-C8D5-4276-B397-4E484DCA82DF}" name="Fiscal_x000a_Year" dataDxfId="300" totalsRowDxfId="299" totalsRowCellStyle="Total"/>
    <tableColumn id="4" xr3:uid="{00000000-0010-0000-0100-000004000000}" name="Apportionment Title" dataDxfId="298" totalsRowDxfId="297" totalsRowCellStyle="Total"/>
    <tableColumn id="5" xr3:uid="{00000000-0010-0000-0100-000005000000}" name="SACS _x000a_Res. _x000a_Codes" dataDxfId="296" totalsRowCellStyle="Total"/>
    <tableColumn id="7" xr3:uid="{00000000-0010-0000-0100-000007000000}" name="Fiscal Contact_x000a_ Email" dataDxfId="295" totalsRowDxfId="294" dataCellStyle="Hyperlink" totalsRowCellStyle="Total"/>
    <tableColumn id="11" xr3:uid="{00000000-0010-0000-0100-00000B000000}" name="Payment Schedule_x000a_(percent)" dataDxfId="293" totalsRowCellStyle="Total"/>
    <tableColumn id="12" xr3:uid="{00000000-0010-0000-0100-00000C000000}" name="July 2025" totalsRowFunction="sum" dataDxfId="292" totalsRowDxfId="291" totalsRowCellStyle="Total"/>
    <tableColumn id="13" xr3:uid="{00000000-0010-0000-0100-00000D000000}" name="Aug 2025" totalsRowFunction="sum" dataDxfId="290" totalsRowDxfId="289" totalsRowCellStyle="Total"/>
    <tableColumn id="14" xr3:uid="{00000000-0010-0000-0100-00000E000000}" name="Sept 2025" totalsRowFunction="sum" dataDxfId="288" totalsRowDxfId="287" totalsRowCellStyle="Total"/>
    <tableColumn id="15" xr3:uid="{00000000-0010-0000-0100-00000F000000}" name="Oct 2025" totalsRowFunction="sum" dataDxfId="286" totalsRowDxfId="285" totalsRowCellStyle="Total"/>
    <tableColumn id="16" xr3:uid="{00000000-0010-0000-0100-000010000000}" name="Nov 2025" totalsRowFunction="sum" dataDxfId="284" totalsRowDxfId="283" totalsRowCellStyle="Total"/>
    <tableColumn id="17" xr3:uid="{00000000-0010-0000-0100-000011000000}" name="Dec 2025" totalsRowFunction="sum" dataDxfId="282" totalsRowDxfId="281" totalsRowCellStyle="Total"/>
    <tableColumn id="18" xr3:uid="{00000000-0010-0000-0100-000012000000}" name="Jan 2026" totalsRowFunction="sum" dataDxfId="280" totalsRowDxfId="279" totalsRowCellStyle="Total"/>
    <tableColumn id="19" xr3:uid="{00000000-0010-0000-0100-000013000000}" name="Feb 2026" totalsRowFunction="sum" dataDxfId="278" totalsRowDxfId="277" totalsRowCellStyle="Total"/>
    <tableColumn id="20" xr3:uid="{00000000-0010-0000-0100-000014000000}" name="Mar 2026" totalsRowFunction="sum" dataDxfId="276" totalsRowDxfId="275" totalsRowCellStyle="Total"/>
    <tableColumn id="21" xr3:uid="{00000000-0010-0000-0100-000015000000}" name="April 2026" totalsRowFunction="sum" dataDxfId="274" totalsRowDxfId="273" totalsRowCellStyle="Total"/>
    <tableColumn id="22" xr3:uid="{00000000-0010-0000-0100-000016000000}" name="May 2026" totalsRowFunction="sum" dataDxfId="272" totalsRowDxfId="271" totalsRowCellStyle="Total"/>
    <tableColumn id="23" xr3:uid="{00000000-0010-0000-0100-000017000000}" name="June 2026" totalsRowFunction="sum" dataDxfId="270" totalsRowDxfId="269" totalsRowCellStyle="Total"/>
    <tableColumn id="26" xr3:uid="{00000000-0010-0000-0100-00001A000000}" name="Total" totalsRowFunction="sum" dataDxfId="268" totalsRowDxfId="267" totalsRowCellStyle="Total">
      <calculatedColumnFormula>SUM(I6:T6)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Principal apportionment and Education Protection Account for fiscal year 2025-26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A5:V30" totalsRowCount="1" headerRowDxfId="266" dataDxfId="264" totalsRowDxfId="262" headerRowBorderDxfId="265" tableBorderDxfId="263" totalsRowCellStyle="Total">
  <autoFilter ref="A5:V29" xr:uid="{00000000-000C-0000-FFFF-FFFF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00000000-0010-0000-0200-000001000000}" name="PCA" totalsRowLabel="Total State Apportionments" dataDxfId="261" totalsRowDxfId="260" totalsRowCellStyle="Total"/>
    <tableColumn id="2" xr3:uid="{00000000-0010-0000-0200-000002000000}" name="Budget Item Number or Authority" dataDxfId="259" totalsRowDxfId="258" totalsRowCellStyle="Total"/>
    <tableColumn id="3" xr3:uid="{00000000-0010-0000-0200-000003000000}" name="State Budget Appropriation" dataDxfId="257" totalsRowDxfId="256" totalsRowCellStyle="Total"/>
    <tableColumn id="6" xr3:uid="{75781396-283C-4E3B-A0C7-4BA2389974E7}" name="Remaining Balance Available_x000a_As of July 1, 2025" dataDxfId="255" totalsRowDxfId="254" totalsRowCellStyle="Total"/>
    <tableColumn id="9" xr3:uid="{5AD06674-BA60-46F9-87BA-58829B013A93}" name="Fiscal_x000a_Year" dataDxfId="253" totalsRowDxfId="252" totalsRowCellStyle="Total"/>
    <tableColumn id="4" xr3:uid="{00000000-0010-0000-0200-000004000000}" name="Apportionment Title" dataDxfId="251" totalsRowDxfId="250" totalsRowCellStyle="Total"/>
    <tableColumn id="5" xr3:uid="{00000000-0010-0000-0200-000005000000}" name="SACS _x000a_Res. _x000a_Codes" dataDxfId="249" totalsRowCellStyle="Total"/>
    <tableColumn id="7" xr3:uid="{00000000-0010-0000-0200-000007000000}" name="Fiscal Contact_x000a_ E-mail" dataDxfId="248" totalsRowDxfId="247" dataCellStyle="Hyperlink" totalsRowCellStyle="Total"/>
    <tableColumn id="11" xr3:uid="{00000000-0010-0000-0200-00000B000000}" name="Payment Schedule" dataDxfId="246" totalsRowDxfId="245" totalsRowCellStyle="Total"/>
    <tableColumn id="12" xr3:uid="{00000000-0010-0000-0200-00000C000000}" name="July 2025" totalsRowFunction="sum" dataDxfId="244" totalsRowDxfId="243" totalsRowCellStyle="Total"/>
    <tableColumn id="13" xr3:uid="{00000000-0010-0000-0200-00000D000000}" name="Aug 2025" totalsRowFunction="sum" dataDxfId="242" totalsRowDxfId="241" totalsRowCellStyle="Total"/>
    <tableColumn id="14" xr3:uid="{00000000-0010-0000-0200-00000E000000}" name="Sept 2025" totalsRowFunction="sum" dataDxfId="240" totalsRowDxfId="239" totalsRowCellStyle="Total"/>
    <tableColumn id="15" xr3:uid="{00000000-0010-0000-0200-00000F000000}" name="Oct 2025" totalsRowFunction="sum" dataDxfId="238" totalsRowDxfId="237" totalsRowCellStyle="Total"/>
    <tableColumn id="16" xr3:uid="{00000000-0010-0000-0200-000010000000}" name="Nov 2025" totalsRowFunction="sum" dataDxfId="236" totalsRowDxfId="235" totalsRowCellStyle="Total"/>
    <tableColumn id="17" xr3:uid="{00000000-0010-0000-0200-000011000000}" name="Dec 2025" totalsRowFunction="sum" dataDxfId="234" totalsRowDxfId="233" totalsRowCellStyle="Total"/>
    <tableColumn id="18" xr3:uid="{00000000-0010-0000-0200-000012000000}" name="Jan 2026" totalsRowFunction="sum" dataDxfId="232" totalsRowDxfId="231" totalsRowCellStyle="Total"/>
    <tableColumn id="19" xr3:uid="{00000000-0010-0000-0200-000013000000}" name="Feb 2026" totalsRowFunction="sum" dataDxfId="230" totalsRowDxfId="229" totalsRowCellStyle="Total"/>
    <tableColumn id="20" xr3:uid="{00000000-0010-0000-0200-000014000000}" name="Mar 2026" totalsRowFunction="sum" dataDxfId="228" totalsRowDxfId="227" totalsRowCellStyle="Total"/>
    <tableColumn id="21" xr3:uid="{00000000-0010-0000-0200-000015000000}" name="April 2026" totalsRowFunction="sum" dataDxfId="226" totalsRowDxfId="225" totalsRowCellStyle="Total"/>
    <tableColumn id="22" xr3:uid="{00000000-0010-0000-0200-000016000000}" name="May 2026" totalsRowFunction="sum" dataDxfId="224" totalsRowDxfId="223" totalsRowCellStyle="Total"/>
    <tableColumn id="23" xr3:uid="{00000000-0010-0000-0200-000017000000}" name="June 2026" totalsRowFunction="sum" dataDxfId="222" totalsRowDxfId="221" totalsRowCellStyle="Total"/>
    <tableColumn id="26" xr3:uid="{00000000-0010-0000-0200-00001A000000}" name="Total" totalsRowFunction="sum" dataDxfId="220" totalsRowDxfId="219" totalsRowCellStyle="Total">
      <calculatedColumnFormula>SUM(Table1[[#This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State Categorical Apportionments for fiscal year 2025-26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4:U7" totalsRowCount="1" headerRowDxfId="218" dataDxfId="216" headerRowBorderDxfId="217" tableBorderDxfId="215" totalsRowCellStyle="Total">
  <autoFilter ref="A4:U6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300-000001000000}" name="PCA" totalsRowLabel="Total Lottery Payments" dataDxfId="214" totalsRowDxfId="213" totalsRowCellStyle="Total"/>
    <tableColumn id="2" xr3:uid="{00000000-0010-0000-0300-000002000000}" name="Budget Item Number or Authority" dataDxfId="212" totalsRowDxfId="211" totalsRowCellStyle="Total"/>
    <tableColumn id="3" xr3:uid="{00000000-0010-0000-0300-000003000000}" name="State Budget Authority" dataDxfId="210" totalsRowDxfId="209" totalsRowCellStyle="Total"/>
    <tableColumn id="8" xr3:uid="{177DAC6F-A246-4F00-852D-0DF9416C6E0D}" name="Fiscal_x000a_Year" dataDxfId="208" totalsRowDxfId="207" totalsRowCellStyle="Total"/>
    <tableColumn id="4" xr3:uid="{00000000-0010-0000-0300-000004000000}" name="Apportionment Title" dataDxfId="206" totalsRowDxfId="205" totalsRowCellStyle="Total"/>
    <tableColumn id="5" xr3:uid="{00000000-0010-0000-0300-000005000000}" name="SACS _x000a_Res. _x000a_Codes" dataDxfId="204" totalsRowDxfId="203" totalsRowCellStyle="Total"/>
    <tableColumn id="7" xr3:uid="{00000000-0010-0000-0300-000007000000}" name="Fiscal Contact_x000a_ E-mail" dataDxfId="202" totalsRowDxfId="201" totalsRowCellStyle="Total"/>
    <tableColumn id="11" xr3:uid="{00000000-0010-0000-0300-00000B000000}" name="Payment Schedule" dataDxfId="200" totalsRowDxfId="199" totalsRowCellStyle="Total"/>
    <tableColumn id="12" xr3:uid="{00000000-0010-0000-0300-00000C000000}" name="July 2025" totalsRowFunction="sum" dataDxfId="198" totalsRowDxfId="197" totalsRowCellStyle="Total"/>
    <tableColumn id="13" xr3:uid="{00000000-0010-0000-0300-00000D000000}" name="Aug 2025" totalsRowFunction="sum" dataDxfId="196" totalsRowDxfId="195" totalsRowCellStyle="Total"/>
    <tableColumn id="14" xr3:uid="{00000000-0010-0000-0300-00000E000000}" name="Sept 2025" totalsRowFunction="sum" dataDxfId="194" totalsRowDxfId="193" totalsRowCellStyle="Total"/>
    <tableColumn id="15" xr3:uid="{00000000-0010-0000-0300-00000F000000}" name="Oct 2025" totalsRowFunction="sum" dataDxfId="192" totalsRowDxfId="191" totalsRowCellStyle="Total"/>
    <tableColumn id="16" xr3:uid="{00000000-0010-0000-0300-000010000000}" name="Nov 2025" totalsRowFunction="sum" dataDxfId="190" totalsRowDxfId="189" totalsRowCellStyle="Total"/>
    <tableColumn id="17" xr3:uid="{00000000-0010-0000-0300-000011000000}" name="Dec 2025" totalsRowFunction="sum" dataDxfId="188" totalsRowDxfId="187" totalsRowCellStyle="Total"/>
    <tableColumn id="18" xr3:uid="{00000000-0010-0000-0300-000012000000}" name="Jan 2026" totalsRowFunction="sum" dataDxfId="186" totalsRowDxfId="185" totalsRowCellStyle="Total"/>
    <tableColumn id="19" xr3:uid="{00000000-0010-0000-0300-000013000000}" name="Feb 2026" totalsRowFunction="sum" dataDxfId="184" totalsRowDxfId="183" totalsRowCellStyle="Total"/>
    <tableColumn id="20" xr3:uid="{00000000-0010-0000-0300-000014000000}" name="Mar 2026" totalsRowFunction="sum" dataDxfId="182" totalsRowDxfId="181" totalsRowCellStyle="Total"/>
    <tableColumn id="21" xr3:uid="{00000000-0010-0000-0300-000015000000}" name="April 2026" totalsRowFunction="sum" dataDxfId="180" totalsRowDxfId="179" totalsRowCellStyle="Total"/>
    <tableColumn id="22" xr3:uid="{00000000-0010-0000-0300-000016000000}" name="May 2026" totalsRowFunction="sum" dataDxfId="178" totalsRowDxfId="177" totalsRowCellStyle="Total"/>
    <tableColumn id="23" xr3:uid="{00000000-0010-0000-0300-000017000000}" name="June 2026" totalsRowFunction="sum" dataDxfId="176" totalsRowDxfId="175" totalsRowCellStyle="Total"/>
    <tableColumn id="26" xr3:uid="{00000000-0010-0000-0300-00001A000000}" name="Total" totalsRowFunction="sum" dataDxfId="174" totalsRowDxfId="173" totalsRowCellStyle="Total">
      <calculatedColumnFormula>SUM(Table4[[#This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Lottery Apportionments for fiscal year 2025-26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6:V29" totalsRowCount="1" headerRowDxfId="172" dataDxfId="170" totalsRowDxfId="168" headerRowBorderDxfId="171" tableBorderDxfId="169" totalsRowCellStyle="Total">
  <autoFilter ref="A6:V28" xr:uid="{00000000-000C-0000-FFFF-FFFF04000000}">
    <filterColumn colId="0" hiddenButton="1"/>
  </autoFilter>
  <tableColumns count="22">
    <tableColumn id="1" xr3:uid="{00000000-0010-0000-0400-000001000000}" name="PCA" totalsRowLabel="Total Federal Payments" dataDxfId="167" totalsRowDxfId="166" totalsRowCellStyle="Total"/>
    <tableColumn id="2" xr3:uid="{00000000-0010-0000-0400-000002000000}" name="Budget Item Number or Authority" dataDxfId="165" totalsRowCellStyle="Total"/>
    <tableColumn id="3" xr3:uid="{00000000-0010-0000-0400-000003000000}" name="State Budget Appropriation" dataDxfId="164" totalsRowDxfId="163" totalsRowCellStyle="Total"/>
    <tableColumn id="6" xr3:uid="{E666FAA2-AC17-4799-B76B-3F41861ACAEE}" name="Remaining Balance Available_x000a_As of July 1, 2025" dataDxfId="162" totalsRowDxfId="161" totalsRowCellStyle="Total"/>
    <tableColumn id="8" xr3:uid="{A41403E9-3E6C-4B19-BB27-71446CAC80B9}" name="Fiscal_x000a_Year" dataDxfId="160" totalsRowDxfId="159" totalsRowCellStyle="Total"/>
    <tableColumn id="4" xr3:uid="{00000000-0010-0000-0400-000004000000}" name="Apportionment Title" dataDxfId="158" totalsRowDxfId="157" totalsRowCellStyle="Total"/>
    <tableColumn id="5" xr3:uid="{00000000-0010-0000-0400-000005000000}" name="SACS _x000a_Res. _x000a_Codes" dataDxfId="156" totalsRowDxfId="155" totalsRowCellStyle="Total"/>
    <tableColumn id="7" xr3:uid="{00000000-0010-0000-0400-000007000000}" name="Fiscal Contact_x000a_ E-mail" dataDxfId="154" totalsRowDxfId="153" dataCellStyle="Hyperlink" totalsRowCellStyle="Total"/>
    <tableColumn id="11" xr3:uid="{00000000-0010-0000-0400-00000B000000}" name="Payment Schedule" dataDxfId="152" totalsRowDxfId="151" totalsRowCellStyle="Total"/>
    <tableColumn id="12" xr3:uid="{00000000-0010-0000-0400-00000C000000}" name="July 2025" totalsRowFunction="sum" dataDxfId="150" totalsRowDxfId="149" totalsRowCellStyle="Total"/>
    <tableColumn id="13" xr3:uid="{00000000-0010-0000-0400-00000D000000}" name="Aug 2025" totalsRowFunction="sum" dataDxfId="148" totalsRowDxfId="147" totalsRowCellStyle="Total"/>
    <tableColumn id="14" xr3:uid="{00000000-0010-0000-0400-00000E000000}" name="Sept 2025" totalsRowFunction="sum" dataDxfId="146" totalsRowDxfId="145" totalsRowCellStyle="Total"/>
    <tableColumn id="15" xr3:uid="{00000000-0010-0000-0400-00000F000000}" name="Oct 2025" totalsRowFunction="sum" dataDxfId="144" totalsRowDxfId="143" totalsRowCellStyle="Total"/>
    <tableColumn id="16" xr3:uid="{00000000-0010-0000-0400-000010000000}" name="Nov 2025" totalsRowFunction="sum" dataDxfId="142" totalsRowDxfId="141" totalsRowCellStyle="Total"/>
    <tableColumn id="17" xr3:uid="{00000000-0010-0000-0400-000011000000}" name="Dec 2025" totalsRowFunction="sum" dataDxfId="140" totalsRowDxfId="139" totalsRowCellStyle="Total"/>
    <tableColumn id="18" xr3:uid="{00000000-0010-0000-0400-000012000000}" name="Jan 2026" totalsRowFunction="sum" dataDxfId="138" totalsRowDxfId="137" totalsRowCellStyle="Total"/>
    <tableColumn id="19" xr3:uid="{00000000-0010-0000-0400-000013000000}" name="Feb 2026" totalsRowFunction="sum" dataDxfId="136" totalsRowDxfId="135" totalsRowCellStyle="Total"/>
    <tableColumn id="20" xr3:uid="{00000000-0010-0000-0400-000014000000}" name="Mar 2026" totalsRowFunction="sum" dataDxfId="134" totalsRowDxfId="133" totalsRowCellStyle="Total"/>
    <tableColumn id="21" xr3:uid="{00000000-0010-0000-0400-000015000000}" name="April 2026" totalsRowFunction="sum" dataDxfId="132" totalsRowDxfId="131" totalsRowCellStyle="Total"/>
    <tableColumn id="22" xr3:uid="{00000000-0010-0000-0400-000016000000}" name="May 2026" totalsRowFunction="sum" dataDxfId="130" totalsRowDxfId="129" totalsRowCellStyle="Total"/>
    <tableColumn id="23" xr3:uid="{00000000-0010-0000-0400-000017000000}" name="June 2026" totalsRowFunction="sum" dataDxfId="128" totalsRowDxfId="127" totalsRowCellStyle="Total"/>
    <tableColumn id="26" xr3:uid="{00000000-0010-0000-0400-00001A000000}" name="Total" totalsRowFunction="sum" dataDxfId="126" totalsRowDxfId="125" totalsRowCellStyle="Total">
      <calculatedColumnFormula>SUM(Table5[[#This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Federal Categorical Apportionments for fiscal year 2025-26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AR@cde.c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PASE@cde.ca.gov" TargetMode="External"/><Relationship Id="rId7" Type="http://schemas.openxmlformats.org/officeDocument/2006/relationships/hyperlink" Target="mailto:PASE@cde.ca.gov" TargetMode="External"/><Relationship Id="rId2" Type="http://schemas.openxmlformats.org/officeDocument/2006/relationships/hyperlink" Target="mailto:PASE@cde.ca.gov" TargetMode="External"/><Relationship Id="rId1" Type="http://schemas.openxmlformats.org/officeDocument/2006/relationships/hyperlink" Target="mailto:PASE@cde.ca.gov" TargetMode="External"/><Relationship Id="rId6" Type="http://schemas.openxmlformats.org/officeDocument/2006/relationships/hyperlink" Target="mailto:PASE@cde.ca.gov" TargetMode="External"/><Relationship Id="rId5" Type="http://schemas.openxmlformats.org/officeDocument/2006/relationships/hyperlink" Target="mailto:PASE@cde.ca.gov" TargetMode="External"/><Relationship Id="rId4" Type="http://schemas.openxmlformats.org/officeDocument/2006/relationships/hyperlink" Target="mailto:PASE@cde.ca.gov" TargetMode="External"/><Relationship Id="rId9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Mandate@cde.ca.gov" TargetMode="External"/><Relationship Id="rId6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4" Type="http://schemas.openxmlformats.org/officeDocument/2006/relationships/hyperlink" Target="mailto:CAAR@cde.ca.gov" TargetMode="External"/><Relationship Id="rId9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finley@cde.ca.gov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AAR@cde.ca.gov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12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CAAR@cde.ca.gov" TargetMode="External"/><Relationship Id="rId6" Type="http://schemas.openxmlformats.org/officeDocument/2006/relationships/hyperlink" Target="mailto:CAAR@cde.ca.gov" TargetMode="External"/><Relationship Id="rId11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10" Type="http://schemas.openxmlformats.org/officeDocument/2006/relationships/hyperlink" Target="mailto:CAAR@cde.ca.gov" TargetMode="External"/><Relationship Id="rId4" Type="http://schemas.openxmlformats.org/officeDocument/2006/relationships/hyperlink" Target="mailto:CAAR@cde.ca.gov" TargetMode="External"/><Relationship Id="rId9" Type="http://schemas.openxmlformats.org/officeDocument/2006/relationships/hyperlink" Target="mailto:CAAR@cde.ca.gov" TargetMode="External"/><Relationship Id="rId1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showGridLines="0" tabSelected="1" zoomScaleNormal="100" workbookViewId="0"/>
  </sheetViews>
  <sheetFormatPr defaultColWidth="9.23046875" defaultRowHeight="15.5" x14ac:dyDescent="0.35"/>
  <cols>
    <col min="1" max="1" width="16.07421875" style="1" customWidth="1"/>
    <col min="2" max="2" width="64" customWidth="1"/>
    <col min="3" max="3" width="10.69140625" customWidth="1"/>
    <col min="4" max="4" width="11.23046875" bestFit="1" customWidth="1"/>
    <col min="5" max="6" width="10.23046875" customWidth="1"/>
    <col min="7" max="7" width="10.69140625" customWidth="1"/>
    <col min="8" max="8" width="10.53515625" customWidth="1"/>
    <col min="9" max="11" width="10.23046875" customWidth="1"/>
    <col min="12" max="12" width="11.07421875" customWidth="1"/>
    <col min="13" max="13" width="10.69140625" customWidth="1"/>
    <col min="14" max="14" width="11.4609375" customWidth="1"/>
    <col min="15" max="15" width="14.53515625" customWidth="1"/>
    <col min="17" max="17" width="10.3046875" bestFit="1" customWidth="1"/>
  </cols>
  <sheetData>
    <row r="1" spans="1:17" s="69" customFormat="1" ht="18" x14ac:dyDescent="0.4">
      <c r="A1" s="68" t="s">
        <v>166</v>
      </c>
      <c r="B1" s="2"/>
    </row>
    <row r="2" spans="1:17" x14ac:dyDescent="0.35">
      <c r="A2" t="s">
        <v>0</v>
      </c>
      <c r="B2" s="2"/>
    </row>
    <row r="3" spans="1:17" x14ac:dyDescent="0.35">
      <c r="A3" t="s">
        <v>1</v>
      </c>
      <c r="B3" s="2"/>
    </row>
    <row r="4" spans="1:17" x14ac:dyDescent="0.35">
      <c r="A4" s="67" t="s">
        <v>2</v>
      </c>
      <c r="B4" s="2"/>
    </row>
    <row r="5" spans="1:17" x14ac:dyDescent="0.35">
      <c r="A5" s="65" t="s">
        <v>3</v>
      </c>
      <c r="B5" s="64"/>
    </row>
    <row r="6" spans="1:17" x14ac:dyDescent="0.35">
      <c r="A6" s="30" t="s">
        <v>4</v>
      </c>
      <c r="B6" s="31" t="s">
        <v>5</v>
      </c>
      <c r="C6" s="32" t="s">
        <v>6</v>
      </c>
      <c r="D6" s="32" t="s">
        <v>7</v>
      </c>
      <c r="E6" s="32" t="s">
        <v>8</v>
      </c>
      <c r="F6" s="32" t="s">
        <v>9</v>
      </c>
      <c r="G6" s="32" t="s">
        <v>10</v>
      </c>
      <c r="H6" s="32" t="s">
        <v>11</v>
      </c>
      <c r="I6" s="32" t="s">
        <v>12</v>
      </c>
      <c r="J6" s="32" t="s">
        <v>13</v>
      </c>
      <c r="K6" s="32" t="s">
        <v>14</v>
      </c>
      <c r="L6" s="32" t="s">
        <v>15</v>
      </c>
      <c r="M6" s="32" t="s">
        <v>16</v>
      </c>
      <c r="N6" s="32" t="s">
        <v>17</v>
      </c>
      <c r="O6" s="33" t="s">
        <v>18</v>
      </c>
    </row>
    <row r="7" spans="1:17" s="2" customFormat="1" ht="40" customHeight="1" x14ac:dyDescent="0.35">
      <c r="A7" s="11">
        <v>1</v>
      </c>
      <c r="B7" s="6" t="s">
        <v>19</v>
      </c>
      <c r="C7" s="34">
        <f>'1. PA and EPA'!I6</f>
        <v>3050.1</v>
      </c>
      <c r="D7" s="34">
        <f>'1. PA and EPA'!J6</f>
        <v>3052.4</v>
      </c>
      <c r="E7" s="34">
        <f>'1. PA and EPA'!K6</f>
        <v>5227.6000000000004</v>
      </c>
      <c r="F7" s="34">
        <f>'1. PA and EPA'!L6</f>
        <v>5225.3</v>
      </c>
      <c r="G7" s="34">
        <f>'1. PA and EPA'!M6</f>
        <v>4894.2</v>
      </c>
      <c r="H7" s="34">
        <f>'1. PA and EPA'!N6</f>
        <v>4894.2</v>
      </c>
      <c r="I7" s="34">
        <f>'1. PA and EPA'!O6</f>
        <v>5026.6000000000004</v>
      </c>
      <c r="J7" s="34" t="str">
        <f>'1. PA and EPA'!P6</f>
        <v>TBD</v>
      </c>
      <c r="K7" s="34" t="str">
        <f>'1. PA and EPA'!Q6</f>
        <v>TBD</v>
      </c>
      <c r="L7" s="34" t="str">
        <f>'1. PA and EPA'!R6</f>
        <v>TBD</v>
      </c>
      <c r="M7" s="34" t="str">
        <f>'1. PA and EPA'!S6</f>
        <v>TBD</v>
      </c>
      <c r="N7" s="34" t="str">
        <f>'1. PA and EPA'!T6</f>
        <v>TBD</v>
      </c>
      <c r="O7" s="21">
        <f t="shared" ref="O7:O11" si="0">SUM(C7:N7)</f>
        <v>31370.400000000001</v>
      </c>
      <c r="Q7" s="88"/>
    </row>
    <row r="8" spans="1:17" s="2" customFormat="1" ht="40" customHeight="1" x14ac:dyDescent="0.35">
      <c r="A8" s="11">
        <v>1</v>
      </c>
      <c r="B8" s="6" t="s">
        <v>20</v>
      </c>
      <c r="C8" s="34">
        <f>'1. PA and EPA'!I8</f>
        <v>0</v>
      </c>
      <c r="D8" s="34">
        <f>'1. PA and EPA'!J8</f>
        <v>0</v>
      </c>
      <c r="E8" s="34">
        <f>'1. PA and EPA'!K8</f>
        <v>2634.3</v>
      </c>
      <c r="F8" s="34">
        <f>'1. PA and EPA'!L8</f>
        <v>0</v>
      </c>
      <c r="G8" s="34">
        <f>'1. PA and EPA'!M8</f>
        <v>0</v>
      </c>
      <c r="H8" s="34" t="str">
        <f>'1. PA and EPA'!N8</f>
        <v>TBD</v>
      </c>
      <c r="I8" s="34">
        <f>'1. PA and EPA'!O8</f>
        <v>0</v>
      </c>
      <c r="J8" s="34">
        <f>'1. PA and EPA'!P8</f>
        <v>0</v>
      </c>
      <c r="K8" s="34" t="str">
        <f>'1. PA and EPA'!Q8</f>
        <v>TBD</v>
      </c>
      <c r="L8" s="34">
        <f>'1. PA and EPA'!R8</f>
        <v>0</v>
      </c>
      <c r="M8" s="34">
        <f>'1. PA and EPA'!S8</f>
        <v>0</v>
      </c>
      <c r="N8" s="34" t="str">
        <f>'1. PA and EPA'!T8</f>
        <v>TBD</v>
      </c>
      <c r="O8" s="38">
        <f t="shared" si="0"/>
        <v>2634.3</v>
      </c>
      <c r="Q8" s="88"/>
    </row>
    <row r="9" spans="1:17" s="2" customFormat="1" ht="40" customHeight="1" x14ac:dyDescent="0.35">
      <c r="A9" s="11">
        <v>1</v>
      </c>
      <c r="B9" s="6" t="s">
        <v>21</v>
      </c>
      <c r="C9" s="34">
        <f>'1. PA and EPA'!I11</f>
        <v>0</v>
      </c>
      <c r="D9" s="34">
        <f>'1. PA and EPA'!J11</f>
        <v>0</v>
      </c>
      <c r="E9" s="34">
        <f>'1. PA and EPA'!K11</f>
        <v>17.8</v>
      </c>
      <c r="F9" s="34">
        <f>'1. PA and EPA'!L11</f>
        <v>0</v>
      </c>
      <c r="G9" s="34">
        <f>'1. PA and EPA'!M11</f>
        <v>0</v>
      </c>
      <c r="H9" s="34" t="str">
        <f>'1. PA and EPA'!N11</f>
        <v>TBD</v>
      </c>
      <c r="I9" s="34">
        <f>'1. PA and EPA'!O11</f>
        <v>0</v>
      </c>
      <c r="J9" s="34">
        <f>'1. PA and EPA'!P11</f>
        <v>0</v>
      </c>
      <c r="K9" s="34">
        <f>'1. PA and EPA'!Q11</f>
        <v>0</v>
      </c>
      <c r="L9" s="34">
        <f>'1. PA and EPA'!R11</f>
        <v>0</v>
      </c>
      <c r="M9" s="34">
        <f>'1. PA and EPA'!S11</f>
        <v>0</v>
      </c>
      <c r="N9" s="34">
        <f>'1. PA and EPA'!T11</f>
        <v>0</v>
      </c>
      <c r="O9" s="38">
        <f t="shared" si="0"/>
        <v>17.8</v>
      </c>
      <c r="Q9" s="88"/>
    </row>
    <row r="10" spans="1:17" s="2" customFormat="1" ht="40" customHeight="1" x14ac:dyDescent="0.35">
      <c r="A10" s="11">
        <v>2</v>
      </c>
      <c r="B10" s="6" t="s">
        <v>22</v>
      </c>
      <c r="C10" s="34">
        <f>Table1[[#Totals],[July 2025]]</f>
        <v>0</v>
      </c>
      <c r="D10" s="34">
        <f>Table1[[#Totals],[Aug 2025]]</f>
        <v>20.2</v>
      </c>
      <c r="E10" s="34">
        <f>Table1[[#Totals],[Sept 2025]]</f>
        <v>127</v>
      </c>
      <c r="F10" s="34">
        <f>Table1[[#Totals],[Oct 2025]]</f>
        <v>1308</v>
      </c>
      <c r="G10" s="34">
        <f>Table1[[#Totals],[Nov 2025]]</f>
        <v>680</v>
      </c>
      <c r="H10" s="34">
        <f>Table1[[#Totals],[Dec 2025]]</f>
        <v>201.5</v>
      </c>
      <c r="I10" s="34">
        <f>Table1[[#Totals],[Jan 2026]]</f>
        <v>50</v>
      </c>
      <c r="J10" s="92">
        <f>Table1[[#Totals],[Feb 2026]]</f>
        <v>425.1</v>
      </c>
      <c r="K10" s="92">
        <f>Table1[[#Totals],[Mar 2026]]</f>
        <v>3.5</v>
      </c>
      <c r="L10" s="34">
        <f>Table1[[#Totals],[April 2026]]</f>
        <v>0</v>
      </c>
      <c r="M10" s="34">
        <f>Table1[[#Totals],[May 2026]]</f>
        <v>0</v>
      </c>
      <c r="N10" s="92">
        <f>Table1[[#Totals],[June 2026]]</f>
        <v>200</v>
      </c>
      <c r="O10" s="38">
        <f t="shared" si="0"/>
        <v>3015.2999999999997</v>
      </c>
      <c r="Q10" s="88"/>
    </row>
    <row r="11" spans="1:17" s="2" customFormat="1" ht="40" customHeight="1" x14ac:dyDescent="0.35">
      <c r="A11" s="11">
        <v>3</v>
      </c>
      <c r="B11" s="6" t="s">
        <v>23</v>
      </c>
      <c r="C11" s="93">
        <f>Table4[[#Totals],[July 2025]]</f>
        <v>0</v>
      </c>
      <c r="D11" s="93">
        <f>Table4[[#Totals],[Aug 2025]]</f>
        <v>0</v>
      </c>
      <c r="E11" s="34">
        <f>Table4[[#Totals],[Sept 2025]]</f>
        <v>319.7</v>
      </c>
      <c r="F11" s="93">
        <f>Table4[[#Totals],[Oct 2025]]</f>
        <v>0</v>
      </c>
      <c r="G11" s="93">
        <f>Table4[[#Totals],[Nov 2025]]</f>
        <v>0</v>
      </c>
      <c r="H11" s="34">
        <f>Table4[[#Totals],[Dec 2025]]</f>
        <v>0</v>
      </c>
      <c r="I11" s="93">
        <f>Table4[[#Totals],[Jan 2026]]</f>
        <v>0</v>
      </c>
      <c r="J11" s="93">
        <f>Table4[[#Totals],[Feb 2026]]</f>
        <v>0</v>
      </c>
      <c r="K11" s="93">
        <f>Table4[[#Totals],[Mar 2026]]</f>
        <v>0</v>
      </c>
      <c r="L11" s="93">
        <f>Table4[[#Totals],[April 2026]]</f>
        <v>0</v>
      </c>
      <c r="M11" s="93">
        <f>Table4[[#Totals],[May 2026]]</f>
        <v>0</v>
      </c>
      <c r="N11" s="93">
        <f>Table4[[#Totals],[June 2026]]</f>
        <v>0</v>
      </c>
      <c r="O11" s="38">
        <f t="shared" si="0"/>
        <v>319.7</v>
      </c>
      <c r="Q11" s="88"/>
    </row>
    <row r="12" spans="1:17" s="2" customFormat="1" ht="40" customHeight="1" x14ac:dyDescent="0.35">
      <c r="A12" s="12">
        <v>4</v>
      </c>
      <c r="B12" s="13" t="s">
        <v>24</v>
      </c>
      <c r="C12" s="94">
        <f>Table5[[#Totals],[July 2025]]</f>
        <v>0</v>
      </c>
      <c r="D12" s="94">
        <f>Table5[[#Totals],[Aug 2025]]</f>
        <v>0</v>
      </c>
      <c r="E12" s="94">
        <f>Table5[[#Totals],[Sept 2025]]</f>
        <v>574.71499999999992</v>
      </c>
      <c r="F12" s="95">
        <f>Table5[[#Totals],[Oct 2025]]</f>
        <v>34.299999999999997</v>
      </c>
      <c r="G12" s="95">
        <f>Table5[[#Totals],[Nov 2025]]</f>
        <v>0</v>
      </c>
      <c r="H12" s="95">
        <f>Table5[[#Totals],[Dec 2025]]</f>
        <v>0</v>
      </c>
      <c r="I12" s="95">
        <f>Table5[[#Totals],[Jan 2026]]</f>
        <v>0</v>
      </c>
      <c r="J12" s="95">
        <f>Table5[[#Totals],[Feb 2026]]</f>
        <v>0</v>
      </c>
      <c r="K12" s="95">
        <f>Table5[[#Totals],[Mar 2026]]</f>
        <v>0</v>
      </c>
      <c r="L12" s="95">
        <f>Table5[[#Totals],[April 2026]]</f>
        <v>0</v>
      </c>
      <c r="M12" s="95">
        <f>Table5[[#Totals],[May 2026]]</f>
        <v>0</v>
      </c>
      <c r="N12" s="95">
        <f>Table5[[#Totals],[June 2026]]</f>
        <v>0</v>
      </c>
      <c r="O12" s="39">
        <f>SUM(C12:N12)</f>
        <v>609.01499999999987</v>
      </c>
      <c r="Q12" s="88"/>
    </row>
    <row r="13" spans="1:17" x14ac:dyDescent="0.35">
      <c r="A13" s="122" t="s">
        <v>25</v>
      </c>
      <c r="B13" s="123"/>
      <c r="C13" s="124">
        <f>SUBTOTAL(109,Table3[July 2025])</f>
        <v>3050.1</v>
      </c>
      <c r="D13" s="124">
        <f>SUBTOTAL(109,Table3[Aug 2025])</f>
        <v>3072.6</v>
      </c>
      <c r="E13" s="124">
        <f>SUBTOTAL(109,Table3[Sept 2025])</f>
        <v>8901.1150000000016</v>
      </c>
      <c r="F13" s="124">
        <f>SUBTOTAL(109,Table3[Oct 2025])</f>
        <v>6567.6</v>
      </c>
      <c r="G13" s="124">
        <f>SUBTOTAL(109,Table3[Nov 2025])</f>
        <v>5574.2</v>
      </c>
      <c r="H13" s="124">
        <f>SUBTOTAL(109,Table3[Dec 2025])</f>
        <v>5095.7</v>
      </c>
      <c r="I13" s="124">
        <f>SUBTOTAL(109,Table3[Jan 2026])</f>
        <v>5076.6000000000004</v>
      </c>
      <c r="J13" s="124">
        <f>SUBTOTAL(109,Table3[Feb 2026])</f>
        <v>425.1</v>
      </c>
      <c r="K13" s="124">
        <f>SUBTOTAL(109,Table3[Mar 2026])</f>
        <v>3.5</v>
      </c>
      <c r="L13" s="124">
        <f>SUBTOTAL(109,Table3[April 2026])</f>
        <v>0</v>
      </c>
      <c r="M13" s="124">
        <f>SUBTOTAL(109,Table3[May 2026])</f>
        <v>0</v>
      </c>
      <c r="N13" s="124">
        <f>SUBTOTAL(109,Table3[June 2026])</f>
        <v>200</v>
      </c>
      <c r="O13" s="124">
        <f>SUBTOTAL(109,Table3[Total])</f>
        <v>37966.515000000007</v>
      </c>
      <c r="Q13" s="88"/>
    </row>
    <row r="14" spans="1:17" x14ac:dyDescent="0.35">
      <c r="A14" t="s">
        <v>26</v>
      </c>
      <c r="B14" s="1"/>
    </row>
    <row r="15" spans="1:17" x14ac:dyDescent="0.35">
      <c r="A15" t="s">
        <v>27</v>
      </c>
      <c r="B15" s="3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</row>
    <row r="16" spans="1:17" x14ac:dyDescent="0.35">
      <c r="A16" t="s">
        <v>28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</row>
    <row r="17" spans="1:3" x14ac:dyDescent="0.35">
      <c r="A17" s="90" t="s">
        <v>29</v>
      </c>
    </row>
    <row r="21" spans="1:3" x14ac:dyDescent="0.35">
      <c r="C21" s="15"/>
    </row>
  </sheetData>
  <phoneticPr fontId="20" type="noConversion"/>
  <conditionalFormatting sqref="C7:O12">
    <cfRule type="cellIs" dxfId="124" priority="1" stopIfTrue="1" operator="equal">
      <formula>"TBD"</formula>
    </cfRule>
    <cfRule type="cellIs" dxfId="123" priority="4" stopIfTrue="1" operator="equal">
      <formula>0</formula>
    </cfRule>
  </conditionalFormatting>
  <hyperlinks>
    <hyperlink ref="A4" r:id="rId1" xr:uid="{84231E91-C51B-4027-8805-72B990C358C0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1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3046875" defaultRowHeight="15" customHeight="1" x14ac:dyDescent="0.35"/>
  <cols>
    <col min="1" max="1" width="16.84375" customWidth="1"/>
    <col min="2" max="2" width="30.84375" customWidth="1"/>
    <col min="3" max="3" width="19.53515625" customWidth="1"/>
    <col min="4" max="4" width="11.23046875" customWidth="1"/>
    <col min="5" max="5" width="59.23046875" customWidth="1"/>
    <col min="6" max="6" width="10.69140625" customWidth="1"/>
    <col min="7" max="7" width="16.53515625" bestFit="1" customWidth="1"/>
    <col min="8" max="9" width="10.69140625" customWidth="1"/>
    <col min="10" max="10" width="11.07421875" customWidth="1"/>
    <col min="11" max="11" width="10.07421875" customWidth="1"/>
    <col min="12" max="12" width="10.69140625" customWidth="1"/>
    <col min="13" max="13" width="10.53515625" customWidth="1"/>
    <col min="14" max="16" width="10.23046875" customWidth="1"/>
    <col min="17" max="17" width="11.07421875" customWidth="1"/>
    <col min="18" max="18" width="10.69140625" customWidth="1"/>
    <col min="19" max="19" width="11.4609375" customWidth="1"/>
    <col min="20" max="20" width="11.23046875" customWidth="1"/>
    <col min="21" max="21" width="10.23046875" bestFit="1" customWidth="1"/>
    <col min="22" max="22" width="10.3046875" bestFit="1" customWidth="1"/>
  </cols>
  <sheetData>
    <row r="1" spans="1:22" ht="18" x14ac:dyDescent="0.4">
      <c r="A1" s="116" t="s">
        <v>30</v>
      </c>
    </row>
    <row r="2" spans="1:22" ht="15.5" x14ac:dyDescent="0.35">
      <c r="A2" t="s">
        <v>0</v>
      </c>
      <c r="H2" s="5"/>
    </row>
    <row r="3" spans="1:22" ht="18.5" x14ac:dyDescent="0.35">
      <c r="A3" s="84" t="s">
        <v>31</v>
      </c>
      <c r="B3" s="2"/>
    </row>
    <row r="4" spans="1:22" ht="15.5" x14ac:dyDescent="0.35">
      <c r="A4" s="36" t="s">
        <v>32</v>
      </c>
      <c r="H4" s="5"/>
    </row>
    <row r="5" spans="1:22" ht="66.650000000000006" customHeight="1" x14ac:dyDescent="0.35">
      <c r="A5" s="30" t="s">
        <v>33</v>
      </c>
      <c r="B5" s="31" t="s">
        <v>34</v>
      </c>
      <c r="C5" s="31" t="s">
        <v>35</v>
      </c>
      <c r="D5" s="31" t="s">
        <v>36</v>
      </c>
      <c r="E5" s="31" t="s">
        <v>37</v>
      </c>
      <c r="F5" s="31" t="s">
        <v>38</v>
      </c>
      <c r="G5" s="31" t="s">
        <v>39</v>
      </c>
      <c r="H5" s="31" t="s">
        <v>40</v>
      </c>
      <c r="I5" s="32" t="s">
        <v>6</v>
      </c>
      <c r="J5" s="32" t="s">
        <v>7</v>
      </c>
      <c r="K5" s="32" t="s">
        <v>8</v>
      </c>
      <c r="L5" s="32" t="s">
        <v>9</v>
      </c>
      <c r="M5" s="32" t="s">
        <v>10</v>
      </c>
      <c r="N5" s="32" t="s">
        <v>11</v>
      </c>
      <c r="O5" s="32" t="s">
        <v>12</v>
      </c>
      <c r="P5" s="32" t="s">
        <v>13</v>
      </c>
      <c r="Q5" s="32" t="s">
        <v>14</v>
      </c>
      <c r="R5" s="32" t="s">
        <v>15</v>
      </c>
      <c r="S5" s="32" t="s">
        <v>16</v>
      </c>
      <c r="T5" s="32" t="s">
        <v>17</v>
      </c>
      <c r="U5" s="33" t="s">
        <v>18</v>
      </c>
    </row>
    <row r="6" spans="1:22" s="15" customFormat="1" ht="45" customHeight="1" x14ac:dyDescent="0.35">
      <c r="A6" s="40" t="s">
        <v>41</v>
      </c>
      <c r="B6" s="16" t="s">
        <v>42</v>
      </c>
      <c r="C6" s="41" t="s">
        <v>42</v>
      </c>
      <c r="D6" s="43" t="s">
        <v>43</v>
      </c>
      <c r="E6" s="42" t="s">
        <v>19</v>
      </c>
      <c r="F6" s="16" t="s">
        <v>44</v>
      </c>
      <c r="G6" s="18" t="s">
        <v>45</v>
      </c>
      <c r="H6" s="22" t="s">
        <v>46</v>
      </c>
      <c r="I6" s="111">
        <v>3050.1</v>
      </c>
      <c r="J6" s="111">
        <v>3052.4</v>
      </c>
      <c r="K6" s="111">
        <v>5227.6000000000004</v>
      </c>
      <c r="L6" s="111">
        <v>5225.3</v>
      </c>
      <c r="M6" s="111">
        <v>4894.2</v>
      </c>
      <c r="N6" s="111">
        <v>4894.2</v>
      </c>
      <c r="O6" s="111">
        <v>5026.6000000000004</v>
      </c>
      <c r="P6" s="44" t="s">
        <v>47</v>
      </c>
      <c r="Q6" s="44" t="s">
        <v>47</v>
      </c>
      <c r="R6" s="44" t="s">
        <v>47</v>
      </c>
      <c r="S6" s="44" t="s">
        <v>47</v>
      </c>
      <c r="T6" s="44" t="s">
        <v>47</v>
      </c>
      <c r="U6" s="45">
        <f t="shared" ref="U6:U16" si="0">SUM(I6:T6)</f>
        <v>31370.400000000001</v>
      </c>
      <c r="V6" s="89"/>
    </row>
    <row r="7" spans="1:22" s="15" customFormat="1" ht="45" customHeight="1" x14ac:dyDescent="0.35">
      <c r="A7" s="40" t="s">
        <v>41</v>
      </c>
      <c r="B7" s="16" t="s">
        <v>42</v>
      </c>
      <c r="C7" s="41" t="s">
        <v>42</v>
      </c>
      <c r="D7" s="43" t="s">
        <v>48</v>
      </c>
      <c r="E7" s="19" t="s">
        <v>49</v>
      </c>
      <c r="F7" s="16" t="s">
        <v>44</v>
      </c>
      <c r="G7" s="18" t="s">
        <v>45</v>
      </c>
      <c r="H7" s="51" t="s">
        <v>50</v>
      </c>
      <c r="I7" s="29">
        <v>222.8</v>
      </c>
      <c r="J7" s="29">
        <v>0</v>
      </c>
      <c r="K7" s="111">
        <v>0</v>
      </c>
      <c r="L7" s="29">
        <v>0</v>
      </c>
      <c r="M7" s="29">
        <v>0</v>
      </c>
      <c r="N7" s="111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45">
        <f t="shared" si="0"/>
        <v>222.8</v>
      </c>
      <c r="V7" s="89"/>
    </row>
    <row r="8" spans="1:22" s="15" customFormat="1" ht="45" customHeight="1" x14ac:dyDescent="0.35">
      <c r="A8" s="40">
        <v>25226</v>
      </c>
      <c r="B8" s="16" t="s">
        <v>42</v>
      </c>
      <c r="C8" s="41" t="s">
        <v>42</v>
      </c>
      <c r="D8" s="43" t="s">
        <v>43</v>
      </c>
      <c r="E8" s="19" t="s">
        <v>20</v>
      </c>
      <c r="F8" s="16" t="s">
        <v>51</v>
      </c>
      <c r="G8" s="18" t="s">
        <v>45</v>
      </c>
      <c r="H8" s="22" t="s">
        <v>52</v>
      </c>
      <c r="I8" s="46">
        <v>0</v>
      </c>
      <c r="J8" s="46">
        <v>0</v>
      </c>
      <c r="K8" s="110">
        <v>2634.3</v>
      </c>
      <c r="L8" s="47">
        <v>0</v>
      </c>
      <c r="M8" s="47">
        <v>0</v>
      </c>
      <c r="N8" s="110" t="s">
        <v>47</v>
      </c>
      <c r="O8" s="47">
        <v>0</v>
      </c>
      <c r="P8" s="48">
        <v>0</v>
      </c>
      <c r="Q8" s="110" t="s">
        <v>47</v>
      </c>
      <c r="R8" s="47">
        <v>0</v>
      </c>
      <c r="S8" s="47">
        <v>0</v>
      </c>
      <c r="T8" s="103" t="s">
        <v>47</v>
      </c>
      <c r="U8" s="45">
        <f t="shared" si="0"/>
        <v>2634.3</v>
      </c>
    </row>
    <row r="9" spans="1:22" s="15" customFormat="1" ht="45" customHeight="1" x14ac:dyDescent="0.35">
      <c r="A9" s="49" t="s">
        <v>53</v>
      </c>
      <c r="B9" s="16" t="s">
        <v>54</v>
      </c>
      <c r="C9" s="108">
        <v>5479243000</v>
      </c>
      <c r="D9" s="43" t="s">
        <v>43</v>
      </c>
      <c r="E9" s="50" t="s">
        <v>55</v>
      </c>
      <c r="F9" s="17" t="s">
        <v>56</v>
      </c>
      <c r="G9" s="18" t="s">
        <v>45</v>
      </c>
      <c r="H9" s="22" t="s">
        <v>46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5">
        <f t="shared" si="0"/>
        <v>0</v>
      </c>
    </row>
    <row r="10" spans="1:22" s="15" customFormat="1" ht="45" customHeight="1" x14ac:dyDescent="0.35">
      <c r="A10" s="40">
        <v>23766</v>
      </c>
      <c r="B10" s="16" t="s">
        <v>57</v>
      </c>
      <c r="C10" s="108">
        <v>9483000</v>
      </c>
      <c r="D10" s="43" t="s">
        <v>43</v>
      </c>
      <c r="E10" s="50" t="s">
        <v>58</v>
      </c>
      <c r="F10" s="16" t="s">
        <v>59</v>
      </c>
      <c r="G10" s="18" t="s">
        <v>45</v>
      </c>
      <c r="H10" s="22" t="s">
        <v>46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5">
        <f t="shared" si="0"/>
        <v>0</v>
      </c>
    </row>
    <row r="11" spans="1:22" s="15" customFormat="1" ht="45" customHeight="1" x14ac:dyDescent="0.35">
      <c r="A11" s="40">
        <v>23751</v>
      </c>
      <c r="B11" s="16" t="s">
        <v>42</v>
      </c>
      <c r="C11" s="41" t="s">
        <v>42</v>
      </c>
      <c r="D11" s="43" t="s">
        <v>43</v>
      </c>
      <c r="E11" s="19" t="s">
        <v>21</v>
      </c>
      <c r="F11" s="22" t="s">
        <v>44</v>
      </c>
      <c r="G11" s="18" t="s">
        <v>45</v>
      </c>
      <c r="H11" s="51" t="s">
        <v>60</v>
      </c>
      <c r="I11" s="47">
        <v>0</v>
      </c>
      <c r="J11" s="47">
        <v>0</v>
      </c>
      <c r="K11" s="71">
        <v>17.8</v>
      </c>
      <c r="L11" s="47">
        <v>0</v>
      </c>
      <c r="M11" s="47">
        <v>0</v>
      </c>
      <c r="N11" s="109" t="s">
        <v>47</v>
      </c>
      <c r="O11" s="29">
        <v>0</v>
      </c>
      <c r="P11" s="47">
        <v>0</v>
      </c>
      <c r="Q11" s="71">
        <v>0</v>
      </c>
      <c r="R11" s="47">
        <v>0</v>
      </c>
      <c r="S11" s="47">
        <v>0</v>
      </c>
      <c r="T11" s="47">
        <v>0</v>
      </c>
      <c r="U11" s="45">
        <f t="shared" si="0"/>
        <v>17.8</v>
      </c>
    </row>
    <row r="12" spans="1:22" s="15" customFormat="1" ht="45" customHeight="1" x14ac:dyDescent="0.35">
      <c r="A12" s="40">
        <v>25709</v>
      </c>
      <c r="B12" s="16" t="s">
        <v>42</v>
      </c>
      <c r="C12" s="41" t="s">
        <v>42</v>
      </c>
      <c r="D12" s="43" t="s">
        <v>43</v>
      </c>
      <c r="E12" s="52" t="s">
        <v>61</v>
      </c>
      <c r="F12" s="22" t="s">
        <v>44</v>
      </c>
      <c r="G12" s="18" t="s">
        <v>45</v>
      </c>
      <c r="H12" s="51" t="s">
        <v>46</v>
      </c>
      <c r="I12" s="35">
        <v>0</v>
      </c>
      <c r="J12" s="35">
        <v>0</v>
      </c>
      <c r="K12" s="53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5">
        <f t="shared" si="0"/>
        <v>0</v>
      </c>
    </row>
    <row r="13" spans="1:22" s="15" customFormat="1" ht="45" customHeight="1" x14ac:dyDescent="0.35">
      <c r="A13" s="40">
        <v>25631</v>
      </c>
      <c r="B13" s="54" t="s">
        <v>62</v>
      </c>
      <c r="C13" s="41">
        <v>4606827000</v>
      </c>
      <c r="D13" s="43" t="s">
        <v>43</v>
      </c>
      <c r="E13" s="52" t="s">
        <v>63</v>
      </c>
      <c r="F13" s="16">
        <v>2600</v>
      </c>
      <c r="G13" s="18" t="s">
        <v>45</v>
      </c>
      <c r="H13" s="22" t="s">
        <v>46</v>
      </c>
      <c r="I13" s="47">
        <v>0</v>
      </c>
      <c r="J13" s="47">
        <v>0</v>
      </c>
      <c r="K13" s="55">
        <v>0</v>
      </c>
      <c r="L13" s="47">
        <v>0</v>
      </c>
      <c r="M13" s="47">
        <v>0</v>
      </c>
      <c r="N13" s="56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5">
        <f t="shared" si="0"/>
        <v>0</v>
      </c>
    </row>
    <row r="14" spans="1:22" s="15" customFormat="1" ht="45" customHeight="1" x14ac:dyDescent="0.35">
      <c r="A14" s="40">
        <v>25739</v>
      </c>
      <c r="B14" s="57" t="s">
        <v>64</v>
      </c>
      <c r="C14" s="108">
        <v>1044990000</v>
      </c>
      <c r="D14" s="43" t="s">
        <v>43</v>
      </c>
      <c r="E14" s="70" t="s">
        <v>65</v>
      </c>
      <c r="F14" s="58">
        <v>6770</v>
      </c>
      <c r="G14" s="18" t="s">
        <v>45</v>
      </c>
      <c r="H14" s="59" t="s">
        <v>46</v>
      </c>
      <c r="I14" s="47">
        <v>0</v>
      </c>
      <c r="J14" s="47">
        <v>0</v>
      </c>
      <c r="K14" s="55">
        <v>0</v>
      </c>
      <c r="L14" s="47">
        <v>0</v>
      </c>
      <c r="M14" s="47">
        <v>0</v>
      </c>
      <c r="N14" s="56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60">
        <f t="shared" si="0"/>
        <v>0</v>
      </c>
    </row>
    <row r="15" spans="1:22" s="15" customFormat="1" ht="45" customHeight="1" x14ac:dyDescent="0.35">
      <c r="A15" s="40">
        <v>25717</v>
      </c>
      <c r="B15" s="57" t="s">
        <v>66</v>
      </c>
      <c r="C15" s="41">
        <v>310184000</v>
      </c>
      <c r="D15" s="43" t="s">
        <v>43</v>
      </c>
      <c r="E15" s="52" t="s">
        <v>67</v>
      </c>
      <c r="F15" s="58">
        <v>7399</v>
      </c>
      <c r="G15" s="18" t="s">
        <v>45</v>
      </c>
      <c r="H15" s="59" t="s">
        <v>46</v>
      </c>
      <c r="I15" s="47">
        <v>0</v>
      </c>
      <c r="J15" s="47">
        <v>0</v>
      </c>
      <c r="K15" s="55">
        <v>0</v>
      </c>
      <c r="L15" s="47">
        <v>0</v>
      </c>
      <c r="M15" s="47">
        <v>0</v>
      </c>
      <c r="N15" s="56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60">
        <f t="shared" si="0"/>
        <v>0</v>
      </c>
    </row>
    <row r="16" spans="1:22" s="15" customFormat="1" ht="45" customHeight="1" x14ac:dyDescent="0.35">
      <c r="A16" s="125">
        <v>25751</v>
      </c>
      <c r="B16" s="126" t="s">
        <v>68</v>
      </c>
      <c r="C16" s="127" t="s">
        <v>42</v>
      </c>
      <c r="D16" s="128" t="s">
        <v>43</v>
      </c>
      <c r="E16" s="129" t="s">
        <v>69</v>
      </c>
      <c r="F16" s="58">
        <v>6018</v>
      </c>
      <c r="G16" s="20" t="s">
        <v>45</v>
      </c>
      <c r="H16" s="59" t="s">
        <v>46</v>
      </c>
      <c r="I16" s="130">
        <v>0</v>
      </c>
      <c r="J16" s="130">
        <v>0</v>
      </c>
      <c r="K16" s="55">
        <v>0</v>
      </c>
      <c r="L16" s="130">
        <v>0</v>
      </c>
      <c r="M16" s="130">
        <v>0</v>
      </c>
      <c r="N16" s="56">
        <v>0</v>
      </c>
      <c r="O16" s="130">
        <v>0</v>
      </c>
      <c r="P16" s="130">
        <v>0</v>
      </c>
      <c r="Q16" s="130">
        <v>0</v>
      </c>
      <c r="R16" s="130">
        <v>0</v>
      </c>
      <c r="S16" s="130">
        <v>0</v>
      </c>
      <c r="T16" s="130">
        <v>0</v>
      </c>
      <c r="U16" s="60">
        <f t="shared" si="0"/>
        <v>0</v>
      </c>
    </row>
    <row r="17" spans="1:21" ht="15.5" x14ac:dyDescent="0.35">
      <c r="A17" s="131" t="s">
        <v>70</v>
      </c>
      <c r="B17" s="132"/>
      <c r="C17" s="133"/>
      <c r="D17" s="134"/>
      <c r="E17" s="135"/>
      <c r="F17" s="133"/>
      <c r="G17" s="132"/>
      <c r="H17" s="133"/>
      <c r="I17" s="136">
        <f>SUBTOTAL(109,Table2[July 2025])</f>
        <v>3272.9</v>
      </c>
      <c r="J17" s="136">
        <f>SUBTOTAL(109,Table2[Aug 2025])</f>
        <v>3052.4</v>
      </c>
      <c r="K17" s="136">
        <f>SUBTOTAL(109,Table2[Sept 2025])</f>
        <v>7879.7000000000007</v>
      </c>
      <c r="L17" s="136">
        <f>SUBTOTAL(109,Table2[Oct 2025])</f>
        <v>5225.3</v>
      </c>
      <c r="M17" s="136">
        <f>SUBTOTAL(109,Table2[Nov 2025])</f>
        <v>4894.2</v>
      </c>
      <c r="N17" s="136">
        <f>SUBTOTAL(109,Table2[Dec 2025])</f>
        <v>4894.2</v>
      </c>
      <c r="O17" s="136">
        <f>SUBTOTAL(109,Table2[Jan 2026])</f>
        <v>5026.6000000000004</v>
      </c>
      <c r="P17" s="136">
        <f>SUBTOTAL(109,Table2[Feb 2026])</f>
        <v>0</v>
      </c>
      <c r="Q17" s="136">
        <f>SUBTOTAL(109,Table2[Mar 2026])</f>
        <v>0</v>
      </c>
      <c r="R17" s="136">
        <f>SUBTOTAL(109,Table2[April 2026])</f>
        <v>0</v>
      </c>
      <c r="S17" s="136">
        <f>SUBTOTAL(109,Table2[May 2026])</f>
        <v>0</v>
      </c>
      <c r="T17" s="136">
        <f>SUBTOTAL(109,Table2[June 2026])</f>
        <v>0</v>
      </c>
      <c r="U17" s="136">
        <f>SUBTOTAL(109,Table2[Total])</f>
        <v>34245.300000000003</v>
      </c>
    </row>
    <row r="18" spans="1:21" ht="15.5" x14ac:dyDescent="0.35">
      <c r="A18" t="s">
        <v>26</v>
      </c>
      <c r="B18" s="1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1" ht="15.5" x14ac:dyDescent="0.35">
      <c r="A19" t="s">
        <v>27</v>
      </c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</row>
    <row r="20" spans="1:21" ht="15.5" x14ac:dyDescent="0.35">
      <c r="A20" t="s">
        <v>28</v>
      </c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</row>
    <row r="21" spans="1:21" ht="15.5" x14ac:dyDescent="0.35">
      <c r="A21" s="14" t="str">
        <f>Summary!A17</f>
        <v>November 2025</v>
      </c>
    </row>
  </sheetData>
  <phoneticPr fontId="20" type="noConversion"/>
  <conditionalFormatting sqref="B13:B15 B16:C16">
    <cfRule type="cellIs" dxfId="122" priority="4" stopIfTrue="1" operator="equal">
      <formula>"TBD"</formula>
    </cfRule>
    <cfRule type="cellIs" dxfId="121" priority="5" stopIfTrue="1" operator="notEqual">
      <formula>0</formula>
    </cfRule>
    <cfRule type="cellIs" dxfId="120" priority="6" stopIfTrue="1" operator="equal">
      <formula>0</formula>
    </cfRule>
  </conditionalFormatting>
  <conditionalFormatting sqref="E9:E10">
    <cfRule type="cellIs" priority="7" operator="greaterThan">
      <formula>0</formula>
    </cfRule>
  </conditionalFormatting>
  <conditionalFormatting sqref="I6:T16">
    <cfRule type="cellIs" dxfId="119" priority="13" stopIfTrue="1" operator="equal">
      <formula>"TBD"</formula>
    </cfRule>
    <cfRule type="cellIs" dxfId="118" priority="14" stopIfTrue="1" operator="notEqual">
      <formula>0</formula>
    </cfRule>
    <cfRule type="cellIs" dxfId="117" priority="15" stopIfTrue="1" operator="equal">
      <formula>0</formula>
    </cfRule>
  </conditionalFormatting>
  <conditionalFormatting sqref="U6:U16">
    <cfRule type="cellIs" dxfId="116" priority="10" stopIfTrue="1" operator="equal">
      <formula>0</formula>
    </cfRule>
  </conditionalFormatting>
  <hyperlinks>
    <hyperlink ref="G6" r:id="rId1" xr:uid="{07196F4D-0FE2-41C2-BAF9-3362854185BC}"/>
    <hyperlink ref="G8" r:id="rId2" xr:uid="{17485287-F45E-4706-92D9-5BEEB1E4F846}"/>
    <hyperlink ref="G9" r:id="rId3" xr:uid="{C6EE7349-C46D-4172-961A-CCDE648D8381}"/>
    <hyperlink ref="G13" r:id="rId4" xr:uid="{817DA814-25F4-4362-92A8-121F2361DEF9}"/>
    <hyperlink ref="G14" r:id="rId5" xr:uid="{27C5EA5E-B821-46F2-A175-EB439B990246}"/>
    <hyperlink ref="G15" r:id="rId6" xr:uid="{EA82DC83-44EE-49F4-8F79-8890FE3E9BF4}"/>
    <hyperlink ref="G16" r:id="rId7" xr:uid="{CD79834F-FBB5-4F0E-8424-0C815EDD1AF7}"/>
  </hyperlinks>
  <pageMargins left="0.7" right="0.7" top="0.75" bottom="0.75" header="0.3" footer="0.3"/>
  <pageSetup scale="31" orientation="landscape" r:id="rId8"/>
  <ignoredErrors>
    <ignoredError sqref="F8 F10:F11 F6" numberStoredAsText="1"/>
  </ignoredErrors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4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3046875" defaultRowHeight="15.5" x14ac:dyDescent="0.35"/>
  <cols>
    <col min="1" max="1" width="18.69140625" customWidth="1"/>
    <col min="2" max="2" width="30.84375" customWidth="1"/>
    <col min="3" max="4" width="19.4609375" customWidth="1"/>
    <col min="5" max="5" width="11.23046875" customWidth="1"/>
    <col min="6" max="6" width="59" customWidth="1"/>
    <col min="7" max="7" width="9.53515625" bestFit="1" customWidth="1"/>
    <col min="8" max="8" width="20.84375" customWidth="1"/>
    <col min="9" max="9" width="11.69140625" customWidth="1"/>
    <col min="10" max="11" width="10.69140625" customWidth="1"/>
    <col min="12" max="12" width="11.23046875" customWidth="1"/>
    <col min="13" max="13" width="10.23046875" customWidth="1"/>
    <col min="14" max="14" width="10.53515625" customWidth="1"/>
    <col min="15" max="15" width="10.69140625" customWidth="1"/>
    <col min="16" max="16" width="10.53515625" customWidth="1"/>
    <col min="17" max="17" width="10.23046875" customWidth="1"/>
    <col min="18" max="18" width="10.69140625" customWidth="1"/>
    <col min="19" max="19" width="11.23046875" customWidth="1"/>
    <col min="20" max="20" width="10.69140625" customWidth="1"/>
    <col min="21" max="21" width="11.53515625" customWidth="1"/>
    <col min="22" max="22" width="10.69140625" customWidth="1"/>
  </cols>
  <sheetData>
    <row r="1" spans="1:23" ht="18" x14ac:dyDescent="0.4">
      <c r="A1" s="10" t="s">
        <v>71</v>
      </c>
    </row>
    <row r="2" spans="1:23" x14ac:dyDescent="0.35">
      <c r="A2" t="s">
        <v>72</v>
      </c>
    </row>
    <row r="3" spans="1:23" x14ac:dyDescent="0.35">
      <c r="A3" t="s">
        <v>0</v>
      </c>
    </row>
    <row r="4" spans="1:23" x14ac:dyDescent="0.35">
      <c r="A4" t="s">
        <v>73</v>
      </c>
    </row>
    <row r="5" spans="1:23" ht="66" customHeight="1" x14ac:dyDescent="0.35">
      <c r="A5" s="30" t="s">
        <v>33</v>
      </c>
      <c r="B5" s="31" t="s">
        <v>34</v>
      </c>
      <c r="C5" s="31" t="s">
        <v>74</v>
      </c>
      <c r="D5" s="31" t="s">
        <v>75</v>
      </c>
      <c r="E5" s="31" t="s">
        <v>36</v>
      </c>
      <c r="F5" s="31" t="s">
        <v>37</v>
      </c>
      <c r="G5" s="31" t="s">
        <v>38</v>
      </c>
      <c r="H5" s="31" t="s">
        <v>76</v>
      </c>
      <c r="I5" s="31" t="s">
        <v>77</v>
      </c>
      <c r="J5" s="32" t="s">
        <v>6</v>
      </c>
      <c r="K5" s="32" t="s">
        <v>7</v>
      </c>
      <c r="L5" s="32" t="s">
        <v>8</v>
      </c>
      <c r="M5" s="32" t="s">
        <v>9</v>
      </c>
      <c r="N5" s="32" t="s">
        <v>10</v>
      </c>
      <c r="O5" s="32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32" t="s">
        <v>17</v>
      </c>
      <c r="V5" s="31" t="s">
        <v>18</v>
      </c>
    </row>
    <row r="6" spans="1:23" s="15" customFormat="1" ht="45" customHeight="1" x14ac:dyDescent="0.35">
      <c r="A6" s="40" t="s">
        <v>78</v>
      </c>
      <c r="B6" s="17" t="s">
        <v>79</v>
      </c>
      <c r="C6" s="41">
        <v>12470000</v>
      </c>
      <c r="D6" s="41">
        <v>12470000</v>
      </c>
      <c r="E6" s="76" t="s">
        <v>43</v>
      </c>
      <c r="F6" s="19" t="s">
        <v>80</v>
      </c>
      <c r="G6" s="16">
        <v>7810</v>
      </c>
      <c r="H6" s="18" t="s">
        <v>2</v>
      </c>
      <c r="I6" s="22" t="s">
        <v>81</v>
      </c>
      <c r="J6" s="96">
        <v>0</v>
      </c>
      <c r="K6" s="96">
        <v>12.5</v>
      </c>
      <c r="L6" s="96">
        <v>0</v>
      </c>
      <c r="M6" s="96">
        <v>0</v>
      </c>
      <c r="N6" s="96">
        <v>0</v>
      </c>
      <c r="O6" s="96">
        <v>0</v>
      </c>
      <c r="P6" s="96">
        <v>0</v>
      </c>
      <c r="Q6" s="96">
        <v>0</v>
      </c>
      <c r="R6" s="96">
        <v>0</v>
      </c>
      <c r="S6" s="96">
        <v>0</v>
      </c>
      <c r="T6" s="96">
        <v>0</v>
      </c>
      <c r="U6" s="96">
        <v>0</v>
      </c>
      <c r="V6" s="62">
        <f>SUM(Table1[[#This Row],[July 2025]:[June 2026]])</f>
        <v>12.5</v>
      </c>
      <c r="W6" s="91"/>
    </row>
    <row r="7" spans="1:23" s="15" customFormat="1" ht="45" customHeight="1" x14ac:dyDescent="0.35">
      <c r="A7" s="40">
        <v>23434</v>
      </c>
      <c r="B7" s="77" t="s">
        <v>82</v>
      </c>
      <c r="C7" s="41">
        <v>8739000</v>
      </c>
      <c r="D7" s="41">
        <v>8739000</v>
      </c>
      <c r="E7" s="76" t="s">
        <v>43</v>
      </c>
      <c r="F7" s="19" t="s">
        <v>83</v>
      </c>
      <c r="G7" s="16">
        <v>6731</v>
      </c>
      <c r="H7" s="18" t="s">
        <v>2</v>
      </c>
      <c r="I7" s="22" t="s">
        <v>81</v>
      </c>
      <c r="J7" s="96">
        <v>0</v>
      </c>
      <c r="K7" s="96">
        <v>0</v>
      </c>
      <c r="L7" s="96">
        <v>0</v>
      </c>
      <c r="M7" s="96">
        <v>0</v>
      </c>
      <c r="N7" s="96">
        <v>0</v>
      </c>
      <c r="O7" s="96">
        <v>0</v>
      </c>
      <c r="P7" s="96">
        <v>0</v>
      </c>
      <c r="Q7" s="96">
        <v>0</v>
      </c>
      <c r="R7" s="96">
        <v>0</v>
      </c>
      <c r="S7" s="105" t="s">
        <v>47</v>
      </c>
      <c r="T7" s="29">
        <v>0</v>
      </c>
      <c r="U7" s="96">
        <v>0</v>
      </c>
      <c r="V7" s="61">
        <f>SUM(Table1[[#This Row],[July 2025]:[June 2026]])</f>
        <v>0</v>
      </c>
      <c r="W7" s="91"/>
    </row>
    <row r="8" spans="1:23" s="15" customFormat="1" ht="45" customHeight="1" x14ac:dyDescent="0.35">
      <c r="A8" s="78" t="s">
        <v>84</v>
      </c>
      <c r="B8" s="17" t="s">
        <v>85</v>
      </c>
      <c r="C8" s="41">
        <v>1161000</v>
      </c>
      <c r="D8" s="41">
        <v>1161000</v>
      </c>
      <c r="E8" s="76" t="s">
        <v>43</v>
      </c>
      <c r="F8" s="19" t="s">
        <v>86</v>
      </c>
      <c r="G8" s="22" t="s">
        <v>87</v>
      </c>
      <c r="H8" s="18" t="s">
        <v>2</v>
      </c>
      <c r="I8" s="22" t="s">
        <v>81</v>
      </c>
      <c r="J8" s="96">
        <v>0</v>
      </c>
      <c r="K8" s="96">
        <v>0</v>
      </c>
      <c r="L8" s="96">
        <v>0</v>
      </c>
      <c r="M8" s="96">
        <v>0</v>
      </c>
      <c r="N8" s="96">
        <v>0</v>
      </c>
      <c r="O8" s="96">
        <v>0</v>
      </c>
      <c r="P8" s="96">
        <v>0</v>
      </c>
      <c r="Q8" s="96">
        <v>0</v>
      </c>
      <c r="R8" s="96">
        <v>0</v>
      </c>
      <c r="S8" s="105" t="s">
        <v>47</v>
      </c>
      <c r="T8" s="29">
        <v>0</v>
      </c>
      <c r="U8" s="96">
        <v>0</v>
      </c>
      <c r="V8" s="61">
        <f>SUM(Table1[[#This Row],[July 2025]:[June 2026]])</f>
        <v>0</v>
      </c>
      <c r="W8" s="91"/>
    </row>
    <row r="9" spans="1:23" s="15" customFormat="1" ht="45" customHeight="1" x14ac:dyDescent="0.35">
      <c r="A9" s="40">
        <v>25660</v>
      </c>
      <c r="B9" s="17" t="s">
        <v>88</v>
      </c>
      <c r="C9" s="41">
        <v>35000000</v>
      </c>
      <c r="D9" s="41">
        <v>2413071</v>
      </c>
      <c r="E9" s="76" t="s">
        <v>89</v>
      </c>
      <c r="F9" s="19" t="s">
        <v>90</v>
      </c>
      <c r="G9" s="63">
        <v>7415</v>
      </c>
      <c r="H9" s="18" t="s">
        <v>91</v>
      </c>
      <c r="I9" s="22" t="s">
        <v>81</v>
      </c>
      <c r="J9" s="29">
        <v>0</v>
      </c>
      <c r="K9" s="29">
        <v>0</v>
      </c>
      <c r="L9" s="29">
        <v>2.4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102">
        <f>SUM(Table1[[#This Row],[July 2025]:[June 2026]])</f>
        <v>2.4</v>
      </c>
      <c r="W9" s="91"/>
    </row>
    <row r="10" spans="1:23" s="15" customFormat="1" ht="65.5" customHeight="1" x14ac:dyDescent="0.35">
      <c r="A10" s="40">
        <v>25691</v>
      </c>
      <c r="B10" s="17" t="s">
        <v>92</v>
      </c>
      <c r="C10" s="41">
        <v>90000000</v>
      </c>
      <c r="D10" s="41">
        <v>5593745</v>
      </c>
      <c r="E10" s="76" t="s">
        <v>89</v>
      </c>
      <c r="F10" s="19" t="s">
        <v>90</v>
      </c>
      <c r="G10" s="63">
        <v>7415</v>
      </c>
      <c r="H10" s="18" t="s">
        <v>91</v>
      </c>
      <c r="I10" s="22" t="s">
        <v>81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102">
        <f>SUM(Table1[[#This Row],[July 2025]:[June 2026]])</f>
        <v>0</v>
      </c>
      <c r="W10" s="91"/>
    </row>
    <row r="11" spans="1:23" s="15" customFormat="1" ht="45" customHeight="1" x14ac:dyDescent="0.35">
      <c r="A11" s="40">
        <v>25499</v>
      </c>
      <c r="B11" s="17" t="s">
        <v>93</v>
      </c>
      <c r="C11" s="41">
        <v>90000000</v>
      </c>
      <c r="D11" s="41">
        <v>90000000</v>
      </c>
      <c r="E11" s="76" t="s">
        <v>94</v>
      </c>
      <c r="F11" s="19" t="s">
        <v>90</v>
      </c>
      <c r="G11" s="63">
        <v>7415</v>
      </c>
      <c r="H11" s="18" t="s">
        <v>91</v>
      </c>
      <c r="I11" s="22" t="s">
        <v>81</v>
      </c>
      <c r="J11" s="29">
        <v>0</v>
      </c>
      <c r="K11" s="29">
        <v>0</v>
      </c>
      <c r="L11" s="96">
        <v>90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62">
        <f>SUM(Table1[[#This Row],[July 2025]:[June 2026]])</f>
        <v>90</v>
      </c>
      <c r="W11" s="91"/>
    </row>
    <row r="12" spans="1:23" s="15" customFormat="1" ht="67" customHeight="1" x14ac:dyDescent="0.35">
      <c r="A12" s="40">
        <v>25691</v>
      </c>
      <c r="B12" s="17" t="s">
        <v>95</v>
      </c>
      <c r="C12" s="41">
        <v>99000000</v>
      </c>
      <c r="D12" s="41">
        <v>99000000</v>
      </c>
      <c r="E12" s="76" t="s">
        <v>48</v>
      </c>
      <c r="F12" s="19" t="s">
        <v>90</v>
      </c>
      <c r="G12" s="63">
        <v>7415</v>
      </c>
      <c r="H12" s="18" t="s">
        <v>91</v>
      </c>
      <c r="I12" s="22" t="s">
        <v>96</v>
      </c>
      <c r="J12" s="29">
        <v>0</v>
      </c>
      <c r="K12" s="29">
        <v>0</v>
      </c>
      <c r="L12" s="29">
        <v>14.6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102">
        <f>SUM(Table1[[#This Row],[July 2025]:[June 2026]])</f>
        <v>14.6</v>
      </c>
      <c r="W12" s="91"/>
    </row>
    <row r="13" spans="1:23" s="15" customFormat="1" ht="45" customHeight="1" x14ac:dyDescent="0.35">
      <c r="A13" s="40" t="s">
        <v>97</v>
      </c>
      <c r="B13" s="17" t="s">
        <v>98</v>
      </c>
      <c r="C13" s="41">
        <v>8221000</v>
      </c>
      <c r="D13" s="41">
        <v>8221000</v>
      </c>
      <c r="E13" s="43" t="s">
        <v>43</v>
      </c>
      <c r="F13" s="19" t="s">
        <v>99</v>
      </c>
      <c r="G13" s="63">
        <v>7810</v>
      </c>
      <c r="H13" s="18" t="s">
        <v>2</v>
      </c>
      <c r="I13" s="86" t="s">
        <v>81</v>
      </c>
      <c r="J13" s="29">
        <v>0</v>
      </c>
      <c r="K13" s="29">
        <v>7.7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62">
        <f>SUM(Table1[[#This Row],[July 2025]:[June 2026]])</f>
        <v>7.7</v>
      </c>
      <c r="W13" s="91"/>
    </row>
    <row r="14" spans="1:23" s="15" customFormat="1" ht="45" customHeight="1" x14ac:dyDescent="0.35">
      <c r="A14" s="40">
        <v>25186</v>
      </c>
      <c r="B14" s="79" t="s">
        <v>100</v>
      </c>
      <c r="C14" s="104">
        <v>272954000</v>
      </c>
      <c r="D14" s="104">
        <v>272954000</v>
      </c>
      <c r="E14" s="43" t="s">
        <v>43</v>
      </c>
      <c r="F14" s="19" t="s">
        <v>101</v>
      </c>
      <c r="G14" s="16" t="s">
        <v>44</v>
      </c>
      <c r="H14" s="18" t="s">
        <v>102</v>
      </c>
      <c r="I14" s="22" t="s">
        <v>81</v>
      </c>
      <c r="J14" s="96">
        <v>0</v>
      </c>
      <c r="K14" s="96">
        <v>0</v>
      </c>
      <c r="L14" s="96">
        <v>0</v>
      </c>
      <c r="M14" s="96">
        <v>0</v>
      </c>
      <c r="N14" s="96">
        <v>271.39999999999998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96">
        <v>0</v>
      </c>
      <c r="V14" s="61">
        <f>SUM(Table1[[#This Row],[July 2025]:[June 2026]])</f>
        <v>271.39999999999998</v>
      </c>
      <c r="W14" s="91"/>
    </row>
    <row r="15" spans="1:23" s="15" customFormat="1" ht="45" customHeight="1" x14ac:dyDescent="0.35">
      <c r="A15" s="40">
        <v>25718</v>
      </c>
      <c r="B15" s="17" t="s">
        <v>103</v>
      </c>
      <c r="C15" s="41">
        <v>3500000</v>
      </c>
      <c r="D15" s="41">
        <v>3500000</v>
      </c>
      <c r="E15" s="76" t="s">
        <v>43</v>
      </c>
      <c r="F15" s="19" t="s">
        <v>104</v>
      </c>
      <c r="G15" s="16">
        <v>6620</v>
      </c>
      <c r="H15" s="20" t="s">
        <v>2</v>
      </c>
      <c r="I15" s="22" t="s">
        <v>81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96">
        <v>0</v>
      </c>
      <c r="Q15" s="96">
        <v>0</v>
      </c>
      <c r="R15" s="29">
        <v>3.5</v>
      </c>
      <c r="S15" s="96">
        <v>0</v>
      </c>
      <c r="T15" s="29">
        <v>0</v>
      </c>
      <c r="U15" s="29">
        <v>0</v>
      </c>
      <c r="V15" s="62">
        <f>SUM(Table1[[#This Row],[July 2025]:[June 2026]])</f>
        <v>3.5</v>
      </c>
      <c r="W15" s="91"/>
    </row>
    <row r="16" spans="1:23" s="15" customFormat="1" ht="45" customHeight="1" x14ac:dyDescent="0.35">
      <c r="A16" s="40">
        <v>25592</v>
      </c>
      <c r="B16" s="17" t="s">
        <v>105</v>
      </c>
      <c r="C16" s="41">
        <v>3920000</v>
      </c>
      <c r="D16" s="41">
        <v>3920000</v>
      </c>
      <c r="E16" s="43" t="s">
        <v>43</v>
      </c>
      <c r="F16" s="19" t="s">
        <v>106</v>
      </c>
      <c r="G16" s="16">
        <v>7810</v>
      </c>
      <c r="H16" s="18" t="s">
        <v>2</v>
      </c>
      <c r="I16" s="86" t="s">
        <v>81</v>
      </c>
      <c r="J16" s="29">
        <v>0</v>
      </c>
      <c r="K16" s="29">
        <v>0</v>
      </c>
      <c r="L16" s="96">
        <v>0</v>
      </c>
      <c r="M16" s="96">
        <v>3.9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62">
        <f>SUM(Table1[[#This Row],[July 2025]:[June 2026]])</f>
        <v>3.9</v>
      </c>
      <c r="W16" s="91"/>
    </row>
    <row r="17" spans="1:23" s="15" customFormat="1" ht="45" customHeight="1" x14ac:dyDescent="0.35">
      <c r="A17" s="40" t="s">
        <v>107</v>
      </c>
      <c r="B17" s="80" t="s">
        <v>108</v>
      </c>
      <c r="C17" s="41">
        <v>29184000</v>
      </c>
      <c r="D17" s="41">
        <v>29184000</v>
      </c>
      <c r="E17" s="17" t="s">
        <v>43</v>
      </c>
      <c r="F17" s="19" t="s">
        <v>109</v>
      </c>
      <c r="G17" s="66" t="s">
        <v>110</v>
      </c>
      <c r="H17" s="20" t="s">
        <v>2</v>
      </c>
      <c r="I17" s="22" t="s">
        <v>81</v>
      </c>
      <c r="J17" s="96">
        <v>0</v>
      </c>
      <c r="K17" s="96">
        <v>0</v>
      </c>
      <c r="L17" s="96">
        <v>0</v>
      </c>
      <c r="M17" s="96">
        <v>29.2</v>
      </c>
      <c r="N17" s="96">
        <v>0</v>
      </c>
      <c r="O17" s="96">
        <v>0</v>
      </c>
      <c r="P17" s="96">
        <v>0</v>
      </c>
      <c r="Q17" s="96">
        <v>0</v>
      </c>
      <c r="R17" s="96">
        <v>0</v>
      </c>
      <c r="S17" s="96">
        <v>0</v>
      </c>
      <c r="T17" s="96">
        <v>0</v>
      </c>
      <c r="U17" s="96">
        <v>0</v>
      </c>
      <c r="V17" s="61">
        <f>SUM(Table1[[#This Row],[July 2025]:[June 2026]])</f>
        <v>29.2</v>
      </c>
      <c r="W17" s="91"/>
    </row>
    <row r="18" spans="1:23" s="15" customFormat="1" ht="45" customHeight="1" x14ac:dyDescent="0.35">
      <c r="A18" s="40">
        <v>23318</v>
      </c>
      <c r="B18" s="17" t="s">
        <v>111</v>
      </c>
      <c r="C18" s="41" t="s">
        <v>47</v>
      </c>
      <c r="D18" s="41" t="s">
        <v>47</v>
      </c>
      <c r="E18" s="43" t="s">
        <v>43</v>
      </c>
      <c r="F18" s="19" t="s">
        <v>112</v>
      </c>
      <c r="G18" s="16" t="s">
        <v>44</v>
      </c>
      <c r="H18" s="18" t="s">
        <v>2</v>
      </c>
      <c r="I18" s="22" t="s">
        <v>81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96">
        <v>0</v>
      </c>
      <c r="P18" s="106" t="s">
        <v>47</v>
      </c>
      <c r="Q18" s="96">
        <v>0</v>
      </c>
      <c r="R18" s="96">
        <v>0</v>
      </c>
      <c r="S18" s="96">
        <v>0</v>
      </c>
      <c r="T18" s="96">
        <v>0</v>
      </c>
      <c r="U18" s="96">
        <v>0</v>
      </c>
      <c r="V18" s="61">
        <f>SUM(Table1[[#This Row],[July 2025]:[June 2026]])</f>
        <v>0</v>
      </c>
      <c r="W18" s="91"/>
    </row>
    <row r="19" spans="1:23" s="15" customFormat="1" ht="45" customHeight="1" x14ac:dyDescent="0.35">
      <c r="A19" s="40">
        <v>25784</v>
      </c>
      <c r="B19" s="17" t="s">
        <v>113</v>
      </c>
      <c r="C19" s="41">
        <v>378650000</v>
      </c>
      <c r="D19" s="41">
        <v>378650000</v>
      </c>
      <c r="E19" s="76" t="s">
        <v>43</v>
      </c>
      <c r="F19" s="19" t="s">
        <v>114</v>
      </c>
      <c r="G19" s="40">
        <v>7435</v>
      </c>
      <c r="H19" s="18" t="s">
        <v>2</v>
      </c>
      <c r="I19" s="22" t="s">
        <v>81</v>
      </c>
      <c r="J19" s="96">
        <v>0</v>
      </c>
      <c r="K19" s="96">
        <v>0</v>
      </c>
      <c r="L19" s="96">
        <v>0</v>
      </c>
      <c r="M19" s="96">
        <v>0</v>
      </c>
      <c r="N19" s="96">
        <v>378.6</v>
      </c>
      <c r="O19" s="96">
        <v>0</v>
      </c>
      <c r="P19" s="96">
        <v>0</v>
      </c>
      <c r="Q19" s="96">
        <v>0</v>
      </c>
      <c r="R19" s="96">
        <v>0</v>
      </c>
      <c r="S19" s="96">
        <v>0</v>
      </c>
      <c r="T19" s="96">
        <v>0</v>
      </c>
      <c r="U19" s="96">
        <v>0</v>
      </c>
      <c r="V19" s="102">
        <f>SUM(Table1[[#This Row],[July 2025]:[June 2026]])</f>
        <v>378.6</v>
      </c>
      <c r="W19" s="91"/>
    </row>
    <row r="20" spans="1:23" s="15" customFormat="1" ht="45" customHeight="1" x14ac:dyDescent="0.35">
      <c r="A20" s="40">
        <v>25793</v>
      </c>
      <c r="B20" s="17" t="s">
        <v>115</v>
      </c>
      <c r="C20" s="41">
        <v>200000000</v>
      </c>
      <c r="D20" s="41">
        <v>200000000</v>
      </c>
      <c r="E20" s="76" t="s">
        <v>43</v>
      </c>
      <c r="F20" s="19" t="s">
        <v>116</v>
      </c>
      <c r="G20" s="40">
        <v>6212</v>
      </c>
      <c r="H20" s="18" t="s">
        <v>2</v>
      </c>
      <c r="I20" s="22" t="s">
        <v>81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200</v>
      </c>
      <c r="V20" s="102">
        <f>SUM(Table1[[#This Row],[July 2025]:[June 2026]])</f>
        <v>200</v>
      </c>
      <c r="W20" s="91"/>
    </row>
    <row r="21" spans="1:23" s="15" customFormat="1" ht="45" customHeight="1" x14ac:dyDescent="0.35">
      <c r="A21" s="40">
        <v>25786</v>
      </c>
      <c r="B21" s="17" t="s">
        <v>117</v>
      </c>
      <c r="C21" s="41">
        <v>200000000</v>
      </c>
      <c r="D21" s="41">
        <v>200000000</v>
      </c>
      <c r="E21" s="76" t="s">
        <v>43</v>
      </c>
      <c r="F21" s="19" t="s">
        <v>118</v>
      </c>
      <c r="G21" s="40">
        <v>6211</v>
      </c>
      <c r="H21" s="18" t="s">
        <v>2</v>
      </c>
      <c r="I21" s="22" t="s">
        <v>81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200</v>
      </c>
      <c r="P21" s="29"/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102">
        <f>SUM(Table1[[#This Row],[July 2025]:[June 2026]])</f>
        <v>200</v>
      </c>
      <c r="W21" s="91"/>
    </row>
    <row r="22" spans="1:23" s="15" customFormat="1" ht="45" customHeight="1" x14ac:dyDescent="0.35">
      <c r="A22" s="40" t="s">
        <v>119</v>
      </c>
      <c r="B22" s="17" t="s">
        <v>120</v>
      </c>
      <c r="C22" s="41">
        <v>1700000000</v>
      </c>
      <c r="D22" s="41">
        <v>1700000000</v>
      </c>
      <c r="E22" s="76" t="s">
        <v>43</v>
      </c>
      <c r="F22" s="19" t="s">
        <v>121</v>
      </c>
      <c r="G22" s="40">
        <v>6019</v>
      </c>
      <c r="H22" s="18" t="s">
        <v>2</v>
      </c>
      <c r="I22" s="22" t="s">
        <v>122</v>
      </c>
      <c r="J22" s="29">
        <v>0</v>
      </c>
      <c r="K22" s="29">
        <v>0</v>
      </c>
      <c r="L22" s="29">
        <v>0</v>
      </c>
      <c r="M22" s="29">
        <v>1274.9000000000001</v>
      </c>
      <c r="N22" s="29">
        <v>0</v>
      </c>
      <c r="O22" s="29">
        <v>0</v>
      </c>
      <c r="P22" s="29">
        <v>0</v>
      </c>
      <c r="Q22" s="29">
        <v>425.1</v>
      </c>
      <c r="R22" s="29">
        <v>0</v>
      </c>
      <c r="S22" s="29"/>
      <c r="T22" s="29">
        <v>0</v>
      </c>
      <c r="U22" s="29">
        <v>0</v>
      </c>
      <c r="V22" s="102">
        <f>SUM(Table1[[#This Row],[July 2025]:[June 2026]])</f>
        <v>1700</v>
      </c>
      <c r="W22" s="91"/>
    </row>
    <row r="23" spans="1:23" s="15" customFormat="1" ht="45" customHeight="1" x14ac:dyDescent="0.35">
      <c r="A23" s="40">
        <v>25794</v>
      </c>
      <c r="B23" s="17" t="s">
        <v>123</v>
      </c>
      <c r="C23" s="41">
        <v>10000000</v>
      </c>
      <c r="D23" s="41">
        <v>10000000</v>
      </c>
      <c r="E23" s="76" t="s">
        <v>43</v>
      </c>
      <c r="F23" s="19" t="s">
        <v>124</v>
      </c>
      <c r="G23" s="58">
        <v>7810</v>
      </c>
      <c r="H23" s="18" t="s">
        <v>2</v>
      </c>
      <c r="I23" s="22" t="s">
        <v>81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10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102">
        <f>SUM(Table1[[#This Row],[July 2025]:[June 2026]])</f>
        <v>10</v>
      </c>
      <c r="W23" s="91"/>
    </row>
    <row r="24" spans="1:23" s="15" customFormat="1" ht="45" customHeight="1" x14ac:dyDescent="0.35">
      <c r="A24" s="40">
        <v>25795</v>
      </c>
      <c r="B24" s="17" t="s">
        <v>125</v>
      </c>
      <c r="C24" s="41">
        <v>30000000</v>
      </c>
      <c r="D24" s="41">
        <v>30000000</v>
      </c>
      <c r="E24" s="76" t="s">
        <v>43</v>
      </c>
      <c r="F24" s="19" t="s">
        <v>126</v>
      </c>
      <c r="G24" s="40">
        <v>7810</v>
      </c>
      <c r="H24" s="18" t="s">
        <v>2</v>
      </c>
      <c r="I24" s="22" t="s">
        <v>81</v>
      </c>
      <c r="J24" s="29">
        <v>0</v>
      </c>
      <c r="K24" s="29">
        <v>0</v>
      </c>
      <c r="L24" s="29">
        <v>0</v>
      </c>
      <c r="M24" s="29">
        <v>0</v>
      </c>
      <c r="N24" s="29">
        <v>30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102">
        <f>SUM(Table1[[#This Row],[July 2025]:[June 2026]])</f>
        <v>30</v>
      </c>
      <c r="W24" s="91"/>
    </row>
    <row r="25" spans="1:23" s="15" customFormat="1" ht="45" customHeight="1" x14ac:dyDescent="0.35">
      <c r="A25" s="40">
        <v>25796</v>
      </c>
      <c r="B25" s="17" t="s">
        <v>127</v>
      </c>
      <c r="C25" s="41">
        <v>40000000</v>
      </c>
      <c r="D25" s="41">
        <v>40000000</v>
      </c>
      <c r="E25" s="76" t="s">
        <v>43</v>
      </c>
      <c r="F25" s="19" t="s">
        <v>128</v>
      </c>
      <c r="G25" s="63">
        <v>7810</v>
      </c>
      <c r="H25" s="18" t="s">
        <v>2</v>
      </c>
      <c r="I25" s="22" t="s">
        <v>81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40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62">
        <f>SUM(Table1[[#This Row],[July 2025]:[June 2026]])</f>
        <v>40</v>
      </c>
      <c r="W25" s="91"/>
    </row>
    <row r="26" spans="1:23" s="15" customFormat="1" ht="45" customHeight="1" x14ac:dyDescent="0.35">
      <c r="A26" s="40">
        <v>25803</v>
      </c>
      <c r="B26" s="17" t="s">
        <v>129</v>
      </c>
      <c r="C26" s="41">
        <v>20000000</v>
      </c>
      <c r="D26" s="41">
        <v>20000000</v>
      </c>
      <c r="E26" s="76" t="s">
        <v>43</v>
      </c>
      <c r="F26" s="19" t="s">
        <v>130</v>
      </c>
      <c r="G26" s="58">
        <v>7810</v>
      </c>
      <c r="H26" s="18" t="s">
        <v>2</v>
      </c>
      <c r="I26" s="22" t="s">
        <v>81</v>
      </c>
      <c r="J26" s="29">
        <v>0</v>
      </c>
      <c r="K26" s="29">
        <v>0</v>
      </c>
      <c r="L26" s="29">
        <v>20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102">
        <f>SUM(Table1[[#This Row],[July 2025]:[June 2026]])</f>
        <v>20</v>
      </c>
      <c r="W26" s="91"/>
    </row>
    <row r="27" spans="1:23" s="15" customFormat="1" ht="44.5" customHeight="1" x14ac:dyDescent="0.35">
      <c r="A27" s="40">
        <v>24171</v>
      </c>
      <c r="B27" s="17" t="s">
        <v>131</v>
      </c>
      <c r="C27" s="41">
        <v>1500000</v>
      </c>
      <c r="D27" s="41">
        <v>1500000</v>
      </c>
      <c r="E27" s="76" t="s">
        <v>43</v>
      </c>
      <c r="F27" s="19" t="s">
        <v>132</v>
      </c>
      <c r="G27" s="58">
        <v>7370</v>
      </c>
      <c r="H27" s="18" t="s">
        <v>2</v>
      </c>
      <c r="I27" s="22" t="s">
        <v>81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1.5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102">
        <f>SUM(Table1[[#This Row],[July 2025]:[June 2026]])</f>
        <v>1.5</v>
      </c>
      <c r="W27" s="91"/>
    </row>
    <row r="28" spans="1:23" s="15" customFormat="1" ht="42" customHeight="1" x14ac:dyDescent="0.35">
      <c r="A28" s="40">
        <v>23751</v>
      </c>
      <c r="B28" s="17" t="s">
        <v>133</v>
      </c>
      <c r="C28" s="41">
        <v>121536</v>
      </c>
      <c r="D28" s="41">
        <v>121536</v>
      </c>
      <c r="E28" s="76" t="s">
        <v>43</v>
      </c>
      <c r="F28" s="19" t="s">
        <v>134</v>
      </c>
      <c r="G28" s="58" t="s">
        <v>135</v>
      </c>
      <c r="H28" s="18" t="s">
        <v>2</v>
      </c>
      <c r="I28" s="22" t="s">
        <v>81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106" t="s">
        <v>47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102">
        <f>SUM(Table1[[#This Row],[July 2025]:[June 2026]])</f>
        <v>0</v>
      </c>
      <c r="W28" s="91"/>
    </row>
    <row r="29" spans="1:23" s="15" customFormat="1" ht="48" customHeight="1" x14ac:dyDescent="0.35">
      <c r="A29" s="125">
        <v>25739</v>
      </c>
      <c r="B29" s="137" t="s">
        <v>136</v>
      </c>
      <c r="C29" s="138" t="s">
        <v>47</v>
      </c>
      <c r="D29" s="138" t="s">
        <v>47</v>
      </c>
      <c r="E29" s="139" t="s">
        <v>43</v>
      </c>
      <c r="F29" s="140" t="s">
        <v>137</v>
      </c>
      <c r="G29" s="58">
        <v>6770</v>
      </c>
      <c r="H29" s="20" t="s">
        <v>2</v>
      </c>
      <c r="I29" s="141" t="s">
        <v>81</v>
      </c>
      <c r="J29" s="142">
        <v>0</v>
      </c>
      <c r="K29" s="142">
        <v>0</v>
      </c>
      <c r="L29" s="142">
        <v>0</v>
      </c>
      <c r="M29" s="142">
        <v>0</v>
      </c>
      <c r="N29" s="142">
        <v>0</v>
      </c>
      <c r="O29" s="142">
        <v>0</v>
      </c>
      <c r="P29" s="142">
        <v>0</v>
      </c>
      <c r="Q29" s="142">
        <v>0</v>
      </c>
      <c r="R29" s="142">
        <v>0</v>
      </c>
      <c r="S29" s="143" t="s">
        <v>47</v>
      </c>
      <c r="T29" s="142">
        <v>0</v>
      </c>
      <c r="U29" s="142">
        <v>0</v>
      </c>
      <c r="V29" s="144">
        <f>SUM(Table1[[#This Row],[July 2025]:[June 2026]])</f>
        <v>0</v>
      </c>
      <c r="W29" s="91"/>
    </row>
    <row r="30" spans="1:23" x14ac:dyDescent="0.35">
      <c r="A30" s="131" t="s">
        <v>138</v>
      </c>
      <c r="B30" s="134"/>
      <c r="C30" s="145"/>
      <c r="D30" s="145"/>
      <c r="E30" s="134"/>
      <c r="F30" s="135"/>
      <c r="G30" s="133"/>
      <c r="H30" s="132"/>
      <c r="I30" s="132"/>
      <c r="J30" s="136">
        <f>SUBTOTAL(109,Table1[July 2025])</f>
        <v>0</v>
      </c>
      <c r="K30" s="136">
        <f>SUBTOTAL(109,Table1[Aug 2025])</f>
        <v>20.2</v>
      </c>
      <c r="L30" s="136">
        <f>SUBTOTAL(109,Table1[Sept 2025])</f>
        <v>127</v>
      </c>
      <c r="M30" s="136">
        <f>SUBTOTAL(109,Table1[Oct 2025])</f>
        <v>1308</v>
      </c>
      <c r="N30" s="136">
        <f>SUBTOTAL(109,Table1[Nov 2025])</f>
        <v>680</v>
      </c>
      <c r="O30" s="136">
        <f>SUBTOTAL(109,Table1[Dec 2025])</f>
        <v>201.5</v>
      </c>
      <c r="P30" s="136">
        <f>SUBTOTAL(109,Table1[Jan 2026])</f>
        <v>50</v>
      </c>
      <c r="Q30" s="146">
        <f>SUBTOTAL(109,Table1[Feb 2026])</f>
        <v>425.1</v>
      </c>
      <c r="R30" s="136">
        <f>SUBTOTAL(109,Table1[Mar 2026])</f>
        <v>3.5</v>
      </c>
      <c r="S30" s="136">
        <f>SUBTOTAL(109,Table1[April 2026])</f>
        <v>0</v>
      </c>
      <c r="T30" s="136">
        <f>SUBTOTAL(109,Table1[May 2026])</f>
        <v>0</v>
      </c>
      <c r="U30" s="136">
        <f>SUBTOTAL(109,Table1[June 2026])</f>
        <v>200</v>
      </c>
      <c r="V30" s="136">
        <f>SUBTOTAL(109,Table1[Total])</f>
        <v>3015.3</v>
      </c>
      <c r="W30" s="91"/>
    </row>
    <row r="31" spans="1:23" x14ac:dyDescent="0.35">
      <c r="A31" t="s">
        <v>26</v>
      </c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</row>
    <row r="32" spans="1:23" x14ac:dyDescent="0.35">
      <c r="A32" t="s">
        <v>27</v>
      </c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</row>
    <row r="33" spans="1:22" x14ac:dyDescent="0.35">
      <c r="A33" t="s">
        <v>28</v>
      </c>
      <c r="C33" s="7"/>
      <c r="D33" s="7"/>
      <c r="E33" s="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35">
      <c r="A34" s="14" t="str">
        <f>Summary!A17</f>
        <v>November 2025</v>
      </c>
    </row>
  </sheetData>
  <sheetProtection selectLockedCells="1" selectUnlockedCells="1"/>
  <phoneticPr fontId="20" type="noConversion"/>
  <conditionalFormatting sqref="J19:L20 N20:U20 O19:U19">
    <cfRule type="containsText" dxfId="115" priority="91" stopIfTrue="1" operator="containsText" text="TBD">
      <formula>NOT(ISERROR(SEARCH("TBD",J19)))</formula>
    </cfRule>
  </conditionalFormatting>
  <conditionalFormatting sqref="J28:O28">
    <cfRule type="containsText" dxfId="114" priority="31" stopIfTrue="1" operator="containsText" text="TBD">
      <formula>NOT(ISERROR(SEARCH("TBD",J28)))</formula>
    </cfRule>
    <cfRule type="cellIs" dxfId="113" priority="32" stopIfTrue="1" operator="notEqual">
      <formula>0</formula>
    </cfRule>
    <cfRule type="cellIs" dxfId="112" priority="33" stopIfTrue="1" operator="equal">
      <formula>0</formula>
    </cfRule>
  </conditionalFormatting>
  <conditionalFormatting sqref="J29:R29">
    <cfRule type="containsText" dxfId="111" priority="37" stopIfTrue="1" operator="containsText" text="TBD">
      <formula>NOT(ISERROR(SEARCH("TBD",J29)))</formula>
    </cfRule>
    <cfRule type="cellIs" dxfId="110" priority="38" stopIfTrue="1" operator="notEqual">
      <formula>0</formula>
    </cfRule>
    <cfRule type="cellIs" dxfId="109" priority="39" stopIfTrue="1" operator="equal">
      <formula>0</formula>
    </cfRule>
  </conditionalFormatting>
  <conditionalFormatting sqref="J9:U18">
    <cfRule type="cellIs" dxfId="108" priority="9" stopIfTrue="1" operator="equal">
      <formula>0</formula>
    </cfRule>
    <cfRule type="containsText" dxfId="107" priority="7" stopIfTrue="1" operator="containsText" text="TBD">
      <formula>NOT(ISERROR(SEARCH("TBD",J9)))</formula>
    </cfRule>
    <cfRule type="cellIs" dxfId="106" priority="8" stopIfTrue="1" operator="notEqual">
      <formula>0</formula>
    </cfRule>
  </conditionalFormatting>
  <conditionalFormatting sqref="J20:U26 J27:M27">
    <cfRule type="cellIs" dxfId="105" priority="26" stopIfTrue="1" operator="notEqual">
      <formula>0</formula>
    </cfRule>
    <cfRule type="containsText" dxfId="104" priority="25" stopIfTrue="1" operator="containsText" text="TBD">
      <formula>NOT(ISERROR(SEARCH("TBD",J20)))</formula>
    </cfRule>
    <cfRule type="cellIs" dxfId="103" priority="27" stopIfTrue="1" operator="equal">
      <formula>0</formula>
    </cfRule>
  </conditionalFormatting>
  <conditionalFormatting sqref="J6:V6 J7:S10 U7:U10">
    <cfRule type="cellIs" dxfId="102" priority="100" stopIfTrue="1" operator="notEqual">
      <formula>0</formula>
    </cfRule>
    <cfRule type="containsText" dxfId="101" priority="97" stopIfTrue="1" operator="containsText" text="TBD">
      <formula>NOT(ISERROR(SEARCH("TBD",J6)))</formula>
    </cfRule>
    <cfRule type="cellIs" dxfId="100" priority="101" stopIfTrue="1" operator="equal">
      <formula>0</formula>
    </cfRule>
  </conditionalFormatting>
  <conditionalFormatting sqref="L26">
    <cfRule type="cellIs" dxfId="99" priority="53" stopIfTrue="1" operator="notEqual">
      <formula>0</formula>
    </cfRule>
    <cfRule type="containsText" dxfId="98" priority="52" stopIfTrue="1" operator="containsText" text="TBD">
      <formula>NOT(ISERROR(SEARCH("TBD",L26)))</formula>
    </cfRule>
    <cfRule type="cellIs" dxfId="97" priority="54" stopIfTrue="1" operator="equal">
      <formula>0</formula>
    </cfRule>
  </conditionalFormatting>
  <conditionalFormatting sqref="M19:M20">
    <cfRule type="cellIs" dxfId="96" priority="90" stopIfTrue="1" operator="equal">
      <formula>0</formula>
    </cfRule>
    <cfRule type="containsText" dxfId="95" priority="88" stopIfTrue="1" operator="containsText" text="TBD">
      <formula>NOT(ISERROR(SEARCH("TBD",M19)))</formula>
    </cfRule>
    <cfRule type="cellIs" dxfId="94" priority="89" stopIfTrue="1" operator="notEqual">
      <formula>0</formula>
    </cfRule>
  </conditionalFormatting>
  <conditionalFormatting sqref="N19">
    <cfRule type="cellIs" dxfId="93" priority="2" stopIfTrue="1" operator="notEqual">
      <formula>0</formula>
    </cfRule>
    <cfRule type="cellIs" dxfId="92" priority="3" stopIfTrue="1" operator="equal">
      <formula>0</formula>
    </cfRule>
    <cfRule type="containsText" dxfId="91" priority="1" stopIfTrue="1" operator="containsText" text="TBD">
      <formula>NOT(ISERROR(SEARCH("TBD",N19)))</formula>
    </cfRule>
  </conditionalFormatting>
  <conditionalFormatting sqref="N27:O27">
    <cfRule type="containsText" dxfId="90" priority="79" stopIfTrue="1" operator="containsText" text="TBD">
      <formula>NOT(ISERROR(SEARCH("TBD",N27)))</formula>
    </cfRule>
    <cfRule type="cellIs" dxfId="89" priority="80" stopIfTrue="1" operator="notEqual">
      <formula>0</formula>
    </cfRule>
    <cfRule type="cellIs" dxfId="88" priority="81" stopIfTrue="1" operator="equal">
      <formula>0</formula>
    </cfRule>
  </conditionalFormatting>
  <conditionalFormatting sqref="O19:U19 J19:L20 N20:U20">
    <cfRule type="cellIs" dxfId="87" priority="92" stopIfTrue="1" operator="notEqual">
      <formula>0</formula>
    </cfRule>
    <cfRule type="cellIs" dxfId="86" priority="93" stopIfTrue="1" operator="equal">
      <formula>0</formula>
    </cfRule>
  </conditionalFormatting>
  <conditionalFormatting sqref="P28">
    <cfRule type="cellIs" dxfId="85" priority="42" stopIfTrue="1" operator="equal">
      <formula>0</formula>
    </cfRule>
    <cfRule type="containsText" dxfId="84" priority="40" stopIfTrue="1" operator="containsText" text="TBD">
      <formula>NOT(ISERROR(SEARCH("TBD",P28)))</formula>
    </cfRule>
    <cfRule type="cellIs" dxfId="83" priority="41" stopIfTrue="1" operator="notEqual">
      <formula>0</formula>
    </cfRule>
  </conditionalFormatting>
  <conditionalFormatting sqref="P27:U27">
    <cfRule type="containsText" dxfId="82" priority="22" stopIfTrue="1" operator="containsText" text="TBD">
      <formula>NOT(ISERROR(SEARCH("TBD",P27)))</formula>
    </cfRule>
    <cfRule type="cellIs" dxfId="81" priority="23" stopIfTrue="1" operator="notEqual">
      <formula>0</formula>
    </cfRule>
    <cfRule type="cellIs" dxfId="80" priority="24" stopIfTrue="1" operator="equal">
      <formula>0</formula>
    </cfRule>
  </conditionalFormatting>
  <conditionalFormatting sqref="Q28:U28">
    <cfRule type="cellIs" dxfId="79" priority="30" stopIfTrue="1" operator="equal">
      <formula>0</formula>
    </cfRule>
    <cfRule type="cellIs" dxfId="78" priority="29" stopIfTrue="1" operator="notEqual">
      <formula>0</formula>
    </cfRule>
    <cfRule type="containsText" dxfId="77" priority="28" stopIfTrue="1" operator="containsText" text="TBD">
      <formula>NOT(ISERROR(SEARCH("TBD",Q28)))</formula>
    </cfRule>
  </conditionalFormatting>
  <conditionalFormatting sqref="S29">
    <cfRule type="containsText" dxfId="76" priority="49" stopIfTrue="1" operator="containsText" text="TBD">
      <formula>NOT(ISERROR(SEARCH("TBD",S29)))</formula>
    </cfRule>
    <cfRule type="cellIs" dxfId="75" priority="51" stopIfTrue="1" operator="equal">
      <formula>0</formula>
    </cfRule>
    <cfRule type="cellIs" dxfId="74" priority="50" stopIfTrue="1" operator="notEqual">
      <formula>0</formula>
    </cfRule>
  </conditionalFormatting>
  <conditionalFormatting sqref="T29:U29">
    <cfRule type="containsText" dxfId="73" priority="34" stopIfTrue="1" operator="containsText" text="TBD">
      <formula>NOT(ISERROR(SEARCH("TBD",T29)))</formula>
    </cfRule>
    <cfRule type="cellIs" dxfId="72" priority="36" stopIfTrue="1" operator="equal">
      <formula>0</formula>
    </cfRule>
    <cfRule type="cellIs" dxfId="71" priority="35" stopIfTrue="1" operator="notEqual">
      <formula>0</formula>
    </cfRule>
  </conditionalFormatting>
  <conditionalFormatting sqref="V6:V29">
    <cfRule type="cellIs" dxfId="70" priority="95" stopIfTrue="1" operator="notEqual">
      <formula>0</formula>
    </cfRule>
    <cfRule type="cellIs" dxfId="69" priority="96" stopIfTrue="1" operator="equal">
      <formula>0</formula>
    </cfRule>
  </conditionalFormatting>
  <hyperlinks>
    <hyperlink ref="H14" r:id="rId1" xr:uid="{6F87F8A2-6995-4E45-8D01-868267A2C7F1}"/>
    <hyperlink ref="H25" r:id="rId2" xr:uid="{3C1D8C7C-5AA4-404C-9832-B4B33EED6A48}"/>
    <hyperlink ref="H27" r:id="rId3" xr:uid="{FF776FB9-8957-46C7-A260-018CFB50988F}"/>
    <hyperlink ref="H28" r:id="rId4" xr:uid="{8F3214D5-7274-4141-ACB8-BDE8783B9844}"/>
    <hyperlink ref="H23" r:id="rId5" xr:uid="{ECCC33CA-2DFB-429B-8846-E4D7DBF46EE7}"/>
    <hyperlink ref="H26" r:id="rId6" xr:uid="{26F45764-593E-4326-9970-7B798FCBA51D}"/>
    <hyperlink ref="H29" r:id="rId7" xr:uid="{A9B6F771-EFC7-4EFA-B5A6-4FA3B17F7185}"/>
  </hyperlinks>
  <pageMargins left="0.7" right="0.7" top="0.75" bottom="0.75" header="0.3" footer="0.3"/>
  <pageSetup scale="31" orientation="landscape" r:id="rId8"/>
  <ignoredErrors>
    <ignoredError sqref="G8 G18 A8" numberStoredAsText="1"/>
  </ignoredErrors>
  <tableParts count="1"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23046875" defaultRowHeight="15.5" x14ac:dyDescent="0.35"/>
  <cols>
    <col min="1" max="1" width="18.69140625" customWidth="1"/>
    <col min="2" max="2" width="30.84375" customWidth="1"/>
    <col min="3" max="3" width="19.53515625" customWidth="1"/>
    <col min="4" max="4" width="11.07421875" customWidth="1"/>
    <col min="5" max="5" width="59" customWidth="1"/>
    <col min="6" max="6" width="9.23046875" bestFit="1" customWidth="1"/>
    <col min="7" max="7" width="19" customWidth="1"/>
    <col min="8" max="8" width="18.84375" customWidth="1"/>
    <col min="9" max="10" width="10.69140625" customWidth="1"/>
    <col min="11" max="11" width="11.07421875" customWidth="1"/>
    <col min="12" max="12" width="10.07421875" customWidth="1"/>
    <col min="13" max="13" width="10.69140625" customWidth="1"/>
    <col min="14" max="14" width="10.53515625" customWidth="1"/>
    <col min="15" max="17" width="10.23046875" customWidth="1"/>
    <col min="18" max="18" width="11.07421875" customWidth="1"/>
    <col min="19" max="19" width="10.69140625" customWidth="1"/>
    <col min="20" max="20" width="11.4609375" customWidth="1"/>
    <col min="21" max="21" width="10.84375" customWidth="1"/>
  </cols>
  <sheetData>
    <row r="1" spans="1:21" ht="18" x14ac:dyDescent="0.4">
      <c r="A1" s="10" t="s">
        <v>139</v>
      </c>
    </row>
    <row r="2" spans="1:21" x14ac:dyDescent="0.35">
      <c r="A2" t="s">
        <v>0</v>
      </c>
    </row>
    <row r="3" spans="1:21" x14ac:dyDescent="0.35">
      <c r="A3" s="36" t="s">
        <v>140</v>
      </c>
      <c r="B3" s="2"/>
    </row>
    <row r="4" spans="1:21" ht="68.5" customHeight="1" x14ac:dyDescent="0.35">
      <c r="A4" s="30" t="s">
        <v>33</v>
      </c>
      <c r="B4" s="31" t="s">
        <v>34</v>
      </c>
      <c r="C4" s="31" t="s">
        <v>35</v>
      </c>
      <c r="D4" s="31" t="s">
        <v>36</v>
      </c>
      <c r="E4" s="31" t="s">
        <v>37</v>
      </c>
      <c r="F4" s="31" t="s">
        <v>38</v>
      </c>
      <c r="G4" s="31" t="s">
        <v>76</v>
      </c>
      <c r="H4" s="31" t="s">
        <v>77</v>
      </c>
      <c r="I4" s="32" t="s">
        <v>6</v>
      </c>
      <c r="J4" s="32" t="s">
        <v>7</v>
      </c>
      <c r="K4" s="32" t="s">
        <v>8</v>
      </c>
      <c r="L4" s="32" t="s">
        <v>9</v>
      </c>
      <c r="M4" s="32" t="s">
        <v>10</v>
      </c>
      <c r="N4" s="32" t="s">
        <v>11</v>
      </c>
      <c r="O4" s="32" t="s">
        <v>12</v>
      </c>
      <c r="P4" s="32" t="s">
        <v>13</v>
      </c>
      <c r="Q4" s="32" t="s">
        <v>14</v>
      </c>
      <c r="R4" s="32" t="s">
        <v>15</v>
      </c>
      <c r="S4" s="32" t="s">
        <v>16</v>
      </c>
      <c r="T4" s="32" t="s">
        <v>17</v>
      </c>
      <c r="U4" s="31" t="s">
        <v>18</v>
      </c>
    </row>
    <row r="5" spans="1:21" s="15" customFormat="1" ht="45" customHeight="1" x14ac:dyDescent="0.35">
      <c r="A5" s="85" t="s">
        <v>135</v>
      </c>
      <c r="B5" s="24" t="s">
        <v>141</v>
      </c>
      <c r="C5" s="37" t="s">
        <v>141</v>
      </c>
      <c r="D5" s="43" t="s">
        <v>48</v>
      </c>
      <c r="E5" s="28" t="s">
        <v>142</v>
      </c>
      <c r="F5" s="25" t="s">
        <v>143</v>
      </c>
      <c r="G5" s="26" t="s">
        <v>2</v>
      </c>
      <c r="H5" s="27" t="s">
        <v>52</v>
      </c>
      <c r="I5" s="29">
        <v>0</v>
      </c>
      <c r="J5" s="29">
        <v>0</v>
      </c>
      <c r="K5" s="29">
        <v>319.7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3">
        <f>SUM(Table4[[#This Row],[July 2025]:[June 2026]])</f>
        <v>319.7</v>
      </c>
    </row>
    <row r="6" spans="1:21" s="15" customFormat="1" ht="45" customHeight="1" x14ac:dyDescent="0.35">
      <c r="A6" s="125" t="s">
        <v>135</v>
      </c>
      <c r="B6" s="137" t="s">
        <v>141</v>
      </c>
      <c r="C6" s="147" t="s">
        <v>141</v>
      </c>
      <c r="D6" s="128" t="s">
        <v>43</v>
      </c>
      <c r="E6" s="140" t="s">
        <v>142</v>
      </c>
      <c r="F6" s="63" t="s">
        <v>143</v>
      </c>
      <c r="G6" s="20" t="s">
        <v>2</v>
      </c>
      <c r="H6" s="141" t="s">
        <v>52</v>
      </c>
      <c r="I6" s="142">
        <v>0</v>
      </c>
      <c r="J6" s="142">
        <v>0</v>
      </c>
      <c r="K6" s="148">
        <v>0</v>
      </c>
      <c r="L6" s="142">
        <v>0</v>
      </c>
      <c r="M6" s="142">
        <v>0</v>
      </c>
      <c r="N6" s="63" t="s">
        <v>47</v>
      </c>
      <c r="O6" s="142">
        <v>0</v>
      </c>
      <c r="P6" s="142">
        <v>0</v>
      </c>
      <c r="Q6" s="149" t="s">
        <v>47</v>
      </c>
      <c r="R6" s="142">
        <v>0</v>
      </c>
      <c r="S6" s="142">
        <v>0</v>
      </c>
      <c r="T6" s="63" t="s">
        <v>47</v>
      </c>
      <c r="U6" s="150">
        <f>SUM(Table4[[#This Row],[July 2025]:[June 2026]])</f>
        <v>0</v>
      </c>
    </row>
    <row r="7" spans="1:21" x14ac:dyDescent="0.35">
      <c r="A7" s="151" t="s">
        <v>144</v>
      </c>
      <c r="B7" s="151"/>
      <c r="C7" s="151"/>
      <c r="D7" s="151"/>
      <c r="E7" s="151"/>
      <c r="F7" s="152"/>
      <c r="G7" s="151"/>
      <c r="H7" s="151"/>
      <c r="I7" s="153">
        <f>SUBTOTAL(109,Table4[July 2025])</f>
        <v>0</v>
      </c>
      <c r="J7" s="153">
        <f>SUBTOTAL(109,Table4[Aug 2025])</f>
        <v>0</v>
      </c>
      <c r="K7" s="153">
        <f>SUBTOTAL(109,Table4[Sept 2025])</f>
        <v>319.7</v>
      </c>
      <c r="L7" s="153">
        <f>SUBTOTAL(109,Table4[Oct 2025])</f>
        <v>0</v>
      </c>
      <c r="M7" s="153">
        <f>SUBTOTAL(109,Table4[Nov 2025])</f>
        <v>0</v>
      </c>
      <c r="N7" s="153">
        <f>SUBTOTAL(109,Table4[Dec 2025])</f>
        <v>0</v>
      </c>
      <c r="O7" s="153">
        <f>SUBTOTAL(109,Table4[Jan 2026])</f>
        <v>0</v>
      </c>
      <c r="P7" s="153">
        <f>SUBTOTAL(109,Table4[Feb 2026])</f>
        <v>0</v>
      </c>
      <c r="Q7" s="153">
        <f>SUBTOTAL(109,Table4[Mar 2026])</f>
        <v>0</v>
      </c>
      <c r="R7" s="153">
        <f>SUBTOTAL(109,Table4[April 2026])</f>
        <v>0</v>
      </c>
      <c r="S7" s="153">
        <f>SUBTOTAL(109,Table4[May 2026])</f>
        <v>0</v>
      </c>
      <c r="T7" s="153">
        <f>SUBTOTAL(109,Table4[June 2026])</f>
        <v>0</v>
      </c>
      <c r="U7" s="154">
        <f>SUBTOTAL(109,Table4[Total])</f>
        <v>319.7</v>
      </c>
    </row>
    <row r="8" spans="1:21" x14ac:dyDescent="0.35">
      <c r="A8" t="s">
        <v>26</v>
      </c>
    </row>
    <row r="9" spans="1:21" x14ac:dyDescent="0.35">
      <c r="A9" t="s">
        <v>27</v>
      </c>
    </row>
    <row r="10" spans="1:21" x14ac:dyDescent="0.35">
      <c r="A10" t="s">
        <v>28</v>
      </c>
    </row>
    <row r="11" spans="1:21" x14ac:dyDescent="0.35">
      <c r="A11" s="14" t="str">
        <f>Summary!A17</f>
        <v>November 2025</v>
      </c>
      <c r="B11" s="8"/>
    </row>
  </sheetData>
  <conditionalFormatting sqref="I5:T6">
    <cfRule type="cellIs" dxfId="68" priority="5" stopIfTrue="1" operator="equal">
      <formula>"TBD"</formula>
    </cfRule>
    <cfRule type="cellIs" dxfId="67" priority="6" stopIfTrue="1" operator="notEqual">
      <formula>0</formula>
    </cfRule>
    <cfRule type="cellIs" dxfId="66" priority="7" stopIfTrue="1" operator="equal">
      <formula>0</formula>
    </cfRule>
  </conditionalFormatting>
  <conditionalFormatting sqref="U5:U6">
    <cfRule type="cellIs" dxfId="65" priority="1" stopIfTrue="1" operator="notEqual">
      <formula>0</formula>
    </cfRule>
    <cfRule type="cellIs" dxfId="64" priority="2" stopIfTrue="1" operator="equal">
      <formula>0</formula>
    </cfRule>
  </conditionalFormatting>
  <hyperlinks>
    <hyperlink ref="G5:G7" r:id="rId1" display="jfinley@cde.ca.gov" xr:uid="{00000000-0004-0000-0300-000000000000}"/>
  </hyperlinks>
  <pageMargins left="0.7" right="0.7" top="0.75" bottom="0.75" header="0.3" footer="0.3"/>
  <pageSetup orientation="portrait" horizontalDpi="200" verticalDpi="200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3"/>
  <sheetViews>
    <sheetView showGridLines="0" zoomScaleNormal="100" workbookViewId="0">
      <pane ySplit="6" topLeftCell="A27" activePane="bottomLeft" state="frozen"/>
      <selection pane="bottomLeft"/>
    </sheetView>
  </sheetViews>
  <sheetFormatPr defaultColWidth="9.23046875" defaultRowHeight="15.5" x14ac:dyDescent="0.35"/>
  <cols>
    <col min="1" max="1" width="14.84375" customWidth="1"/>
    <col min="2" max="2" width="44.23046875" customWidth="1"/>
    <col min="3" max="3" width="23.3046875" customWidth="1"/>
    <col min="4" max="4" width="19.53515625" customWidth="1"/>
    <col min="5" max="5" width="11.53515625" customWidth="1"/>
    <col min="6" max="6" width="59" customWidth="1"/>
    <col min="7" max="7" width="10.69140625" bestFit="1" customWidth="1"/>
    <col min="8" max="8" width="17.53515625" bestFit="1" customWidth="1"/>
    <col min="9" max="9" width="21.4609375" bestFit="1" customWidth="1"/>
    <col min="10" max="10" width="13.07421875" bestFit="1" customWidth="1"/>
    <col min="11" max="11" width="13" bestFit="1" customWidth="1"/>
    <col min="12" max="12" width="16.765625" customWidth="1"/>
    <col min="13" max="22" width="12.69140625" customWidth="1"/>
    <col min="26" max="26" width="26" customWidth="1"/>
  </cols>
  <sheetData>
    <row r="1" spans="1:22" ht="18" x14ac:dyDescent="0.4">
      <c r="A1" s="10" t="s">
        <v>145</v>
      </c>
      <c r="D1" s="121"/>
    </row>
    <row r="2" spans="1:22" x14ac:dyDescent="0.35">
      <c r="A2" t="s">
        <v>0</v>
      </c>
    </row>
    <row r="3" spans="1:22" ht="18.5" x14ac:dyDescent="0.35">
      <c r="A3" s="36" t="s">
        <v>146</v>
      </c>
    </row>
    <row r="4" spans="1:22" s="9" customFormat="1" ht="18.5" x14ac:dyDescent="0.35">
      <c r="A4" s="36" t="s">
        <v>147</v>
      </c>
    </row>
    <row r="5" spans="1:22" x14ac:dyDescent="0.35">
      <c r="A5" s="36" t="s">
        <v>148</v>
      </c>
    </row>
    <row r="6" spans="1:22" ht="63.65" customHeight="1" x14ac:dyDescent="0.35">
      <c r="A6" s="30" t="s">
        <v>33</v>
      </c>
      <c r="B6" s="31" t="s">
        <v>34</v>
      </c>
      <c r="C6" s="31" t="s">
        <v>74</v>
      </c>
      <c r="D6" s="31" t="s">
        <v>75</v>
      </c>
      <c r="E6" s="31" t="s">
        <v>36</v>
      </c>
      <c r="F6" s="31" t="s">
        <v>37</v>
      </c>
      <c r="G6" s="31" t="s">
        <v>38</v>
      </c>
      <c r="H6" s="31" t="s">
        <v>76</v>
      </c>
      <c r="I6" s="31" t="s">
        <v>77</v>
      </c>
      <c r="J6" s="32" t="s">
        <v>6</v>
      </c>
      <c r="K6" s="32" t="s">
        <v>7</v>
      </c>
      <c r="L6" s="32" t="s">
        <v>8</v>
      </c>
      <c r="M6" s="32" t="s">
        <v>9</v>
      </c>
      <c r="N6" s="32" t="s">
        <v>10</v>
      </c>
      <c r="O6" s="32" t="s">
        <v>11</v>
      </c>
      <c r="P6" s="32" t="s">
        <v>12</v>
      </c>
      <c r="Q6" s="32" t="s">
        <v>13</v>
      </c>
      <c r="R6" s="32" t="s">
        <v>14</v>
      </c>
      <c r="S6" s="32" t="s">
        <v>15</v>
      </c>
      <c r="T6" s="32" t="s">
        <v>16</v>
      </c>
      <c r="U6" s="32" t="s">
        <v>17</v>
      </c>
      <c r="V6" s="31" t="s">
        <v>18</v>
      </c>
    </row>
    <row r="7" spans="1:22" s="15" customFormat="1" ht="45" customHeight="1" x14ac:dyDescent="0.35">
      <c r="A7" s="40">
        <v>15438</v>
      </c>
      <c r="B7" s="17" t="s">
        <v>149</v>
      </c>
      <c r="C7" s="41">
        <v>135495000</v>
      </c>
      <c r="D7" s="81">
        <v>82929603</v>
      </c>
      <c r="E7" s="17" t="s">
        <v>94</v>
      </c>
      <c r="F7" s="19" t="s">
        <v>150</v>
      </c>
      <c r="G7" s="16">
        <v>3182</v>
      </c>
      <c r="H7" s="18" t="s">
        <v>2</v>
      </c>
      <c r="I7" s="22" t="s">
        <v>52</v>
      </c>
      <c r="J7" s="97">
        <v>0</v>
      </c>
      <c r="K7" s="97">
        <v>0</v>
      </c>
      <c r="L7" s="71">
        <v>45.66</v>
      </c>
      <c r="M7" s="98">
        <v>0</v>
      </c>
      <c r="N7" s="97">
        <v>0</v>
      </c>
      <c r="O7" s="98">
        <v>0</v>
      </c>
      <c r="P7" s="98">
        <v>0</v>
      </c>
      <c r="Q7" s="97">
        <v>0</v>
      </c>
      <c r="R7" s="103" t="s">
        <v>47</v>
      </c>
      <c r="S7" s="97">
        <v>0</v>
      </c>
      <c r="T7" s="97">
        <v>0</v>
      </c>
      <c r="U7" s="103" t="s">
        <v>47</v>
      </c>
      <c r="V7" s="72">
        <f>SUM(Table5[[#This Row],[July 2025]:[June 2026]])</f>
        <v>45.66</v>
      </c>
    </row>
    <row r="8" spans="1:22" s="15" customFormat="1" ht="45" customHeight="1" x14ac:dyDescent="0.35">
      <c r="A8" s="40">
        <v>15438</v>
      </c>
      <c r="B8" s="17" t="s">
        <v>149</v>
      </c>
      <c r="C8" s="41">
        <v>144468349</v>
      </c>
      <c r="D8" s="41">
        <v>108351225</v>
      </c>
      <c r="E8" s="73" t="s">
        <v>48</v>
      </c>
      <c r="F8" s="19" t="s">
        <v>150</v>
      </c>
      <c r="G8" s="16">
        <v>3182</v>
      </c>
      <c r="H8" s="18" t="s">
        <v>2</v>
      </c>
      <c r="I8" s="22" t="s">
        <v>52</v>
      </c>
      <c r="J8" s="99">
        <v>0</v>
      </c>
      <c r="K8" s="99">
        <v>0</v>
      </c>
      <c r="L8" s="71">
        <v>0.155</v>
      </c>
      <c r="M8" s="98">
        <v>0</v>
      </c>
      <c r="N8" s="99">
        <v>0</v>
      </c>
      <c r="O8" s="98">
        <v>0</v>
      </c>
      <c r="P8" s="98">
        <v>0</v>
      </c>
      <c r="Q8" s="99">
        <v>0</v>
      </c>
      <c r="R8" s="103" t="s">
        <v>47</v>
      </c>
      <c r="S8" s="98">
        <v>0</v>
      </c>
      <c r="T8" s="99">
        <v>0</v>
      </c>
      <c r="U8" s="103" t="s">
        <v>47</v>
      </c>
      <c r="V8" s="72">
        <f>SUM(Table5[[#This Row],[July 2025]:[June 2026]])</f>
        <v>0.155</v>
      </c>
    </row>
    <row r="9" spans="1:22" s="15" customFormat="1" ht="45" customHeight="1" x14ac:dyDescent="0.35">
      <c r="A9" s="40">
        <v>15438</v>
      </c>
      <c r="B9" s="17" t="s">
        <v>149</v>
      </c>
      <c r="C9" s="41" t="s">
        <v>47</v>
      </c>
      <c r="D9" s="41" t="s">
        <v>47</v>
      </c>
      <c r="E9" s="73" t="s">
        <v>43</v>
      </c>
      <c r="F9" s="19" t="s">
        <v>150</v>
      </c>
      <c r="G9" s="16">
        <v>3182</v>
      </c>
      <c r="H9" s="18" t="s">
        <v>2</v>
      </c>
      <c r="I9" s="22" t="s">
        <v>52</v>
      </c>
      <c r="J9" s="97">
        <v>0</v>
      </c>
      <c r="K9" s="97">
        <v>0</v>
      </c>
      <c r="L9" s="97">
        <v>0</v>
      </c>
      <c r="M9" s="97">
        <v>0</v>
      </c>
      <c r="N9" s="97">
        <v>0</v>
      </c>
      <c r="O9" s="97">
        <v>0</v>
      </c>
      <c r="P9" s="97">
        <v>0</v>
      </c>
      <c r="Q9" s="97">
        <v>0</v>
      </c>
      <c r="R9" s="103" t="s">
        <v>47</v>
      </c>
      <c r="S9" s="98">
        <v>0</v>
      </c>
      <c r="T9" s="97">
        <v>0</v>
      </c>
      <c r="U9" s="103" t="s">
        <v>47</v>
      </c>
      <c r="V9" s="72">
        <f>SUM(Table5[[#This Row],[July 2025]:[June 2026]])</f>
        <v>0</v>
      </c>
    </row>
    <row r="10" spans="1:22" s="15" customFormat="1" ht="45" customHeight="1" x14ac:dyDescent="0.35">
      <c r="A10" s="40">
        <v>14329</v>
      </c>
      <c r="B10" s="16" t="s">
        <v>151</v>
      </c>
      <c r="C10" s="41">
        <v>1927297387</v>
      </c>
      <c r="D10" s="41">
        <v>4518493</v>
      </c>
      <c r="E10" s="17" t="s">
        <v>94</v>
      </c>
      <c r="F10" s="74" t="s">
        <v>152</v>
      </c>
      <c r="G10" s="16">
        <v>3010</v>
      </c>
      <c r="H10" s="18" t="s">
        <v>2</v>
      </c>
      <c r="I10" s="22" t="s">
        <v>52</v>
      </c>
      <c r="J10" s="97">
        <v>0</v>
      </c>
      <c r="K10" s="97">
        <v>0</v>
      </c>
      <c r="L10" s="35">
        <v>1.7</v>
      </c>
      <c r="M10" s="100">
        <v>0</v>
      </c>
      <c r="N10" s="75">
        <v>0</v>
      </c>
      <c r="O10" s="103" t="s">
        <v>47</v>
      </c>
      <c r="P10" s="75">
        <v>0</v>
      </c>
      <c r="Q10" s="75">
        <v>0</v>
      </c>
      <c r="R10" s="115">
        <v>0</v>
      </c>
      <c r="S10" s="97">
        <v>0</v>
      </c>
      <c r="T10" s="75">
        <v>0</v>
      </c>
      <c r="U10" s="115">
        <v>0</v>
      </c>
      <c r="V10" s="72">
        <f>SUM(Table5[[#This Row],[July 2025]:[June 2026]])</f>
        <v>1.7</v>
      </c>
    </row>
    <row r="11" spans="1:22" s="15" customFormat="1" ht="45" customHeight="1" x14ac:dyDescent="0.35">
      <c r="A11" s="40">
        <v>14329</v>
      </c>
      <c r="B11" s="16" t="s">
        <v>151</v>
      </c>
      <c r="C11" s="41">
        <v>2114685484</v>
      </c>
      <c r="D11" s="41">
        <v>540788739</v>
      </c>
      <c r="E11" s="73" t="s">
        <v>48</v>
      </c>
      <c r="F11" s="74" t="s">
        <v>152</v>
      </c>
      <c r="G11" s="16">
        <v>3010</v>
      </c>
      <c r="H11" s="18" t="s">
        <v>2</v>
      </c>
      <c r="I11" s="22" t="s">
        <v>52</v>
      </c>
      <c r="J11" s="97">
        <v>0</v>
      </c>
      <c r="K11" s="97">
        <v>0</v>
      </c>
      <c r="L11" s="35">
        <v>352.9</v>
      </c>
      <c r="M11" s="100">
        <v>0</v>
      </c>
      <c r="N11" s="75">
        <v>0</v>
      </c>
      <c r="O11" s="103" t="s">
        <v>47</v>
      </c>
      <c r="P11" s="75">
        <v>0</v>
      </c>
      <c r="Q11" s="75">
        <v>0</v>
      </c>
      <c r="R11" s="103" t="s">
        <v>47</v>
      </c>
      <c r="S11" s="97">
        <v>0</v>
      </c>
      <c r="T11" s="75">
        <v>0</v>
      </c>
      <c r="U11" s="103" t="s">
        <v>47</v>
      </c>
      <c r="V11" s="72">
        <f>SUM(Table5[[#This Row],[July 2025]:[June 2026]])</f>
        <v>352.9</v>
      </c>
    </row>
    <row r="12" spans="1:22" s="15" customFormat="1" ht="45" customHeight="1" x14ac:dyDescent="0.35">
      <c r="A12" s="40">
        <v>14329</v>
      </c>
      <c r="B12" s="16" t="s">
        <v>151</v>
      </c>
      <c r="C12" s="41">
        <v>2093927850</v>
      </c>
      <c r="D12" s="41">
        <v>2093927850</v>
      </c>
      <c r="E12" s="73" t="s">
        <v>43</v>
      </c>
      <c r="F12" s="19" t="s">
        <v>153</v>
      </c>
      <c r="G12" s="16">
        <v>3010</v>
      </c>
      <c r="H12" s="18" t="s">
        <v>2</v>
      </c>
      <c r="I12" s="22" t="s">
        <v>52</v>
      </c>
      <c r="J12" s="97">
        <v>0</v>
      </c>
      <c r="K12" s="97">
        <v>0</v>
      </c>
      <c r="L12" s="35">
        <v>81.8</v>
      </c>
      <c r="M12" s="100">
        <v>0</v>
      </c>
      <c r="N12" s="75">
        <v>0</v>
      </c>
      <c r="O12" s="103" t="s">
        <v>47</v>
      </c>
      <c r="P12" s="75">
        <v>0</v>
      </c>
      <c r="Q12" s="75">
        <v>0</v>
      </c>
      <c r="R12" s="103" t="s">
        <v>47</v>
      </c>
      <c r="S12" s="97">
        <v>0</v>
      </c>
      <c r="T12" s="75">
        <v>0</v>
      </c>
      <c r="U12" s="103" t="s">
        <v>47</v>
      </c>
      <c r="V12" s="72">
        <f>SUM(Table5[[#This Row],[July 2025]:[June 2026]])</f>
        <v>81.8</v>
      </c>
    </row>
    <row r="13" spans="1:22" s="15" customFormat="1" ht="45" customHeight="1" x14ac:dyDescent="0.35">
      <c r="A13" s="40">
        <v>14357</v>
      </c>
      <c r="B13" s="16" t="s">
        <v>151</v>
      </c>
      <c r="C13" s="41">
        <v>17741559</v>
      </c>
      <c r="D13" s="82">
        <v>322778</v>
      </c>
      <c r="E13" s="73" t="s">
        <v>94</v>
      </c>
      <c r="F13" s="19" t="s">
        <v>154</v>
      </c>
      <c r="G13" s="16">
        <v>3025</v>
      </c>
      <c r="H13" s="18" t="s">
        <v>2</v>
      </c>
      <c r="I13" s="22" t="s">
        <v>52</v>
      </c>
      <c r="J13" s="97">
        <v>0</v>
      </c>
      <c r="K13" s="97">
        <v>0</v>
      </c>
      <c r="L13" s="118">
        <v>0.2</v>
      </c>
      <c r="M13" s="100">
        <v>0</v>
      </c>
      <c r="N13" s="75">
        <v>0</v>
      </c>
      <c r="O13" s="113" t="s">
        <v>47</v>
      </c>
      <c r="P13" s="97">
        <v>0</v>
      </c>
      <c r="Q13" s="75">
        <v>0</v>
      </c>
      <c r="R13" s="115">
        <v>0</v>
      </c>
      <c r="S13" s="97">
        <v>0</v>
      </c>
      <c r="T13" s="75">
        <v>0</v>
      </c>
      <c r="U13" s="115">
        <v>0</v>
      </c>
      <c r="V13" s="72">
        <f>SUM(Table5[[#This Row],[July 2025]:[June 2026]])</f>
        <v>0.2</v>
      </c>
    </row>
    <row r="14" spans="1:22" s="15" customFormat="1" ht="45" customHeight="1" x14ac:dyDescent="0.35">
      <c r="A14" s="40">
        <v>14357</v>
      </c>
      <c r="B14" s="16" t="s">
        <v>151</v>
      </c>
      <c r="C14" s="41">
        <v>16753449</v>
      </c>
      <c r="D14" s="41">
        <v>9055505</v>
      </c>
      <c r="E14" s="17" t="s">
        <v>48</v>
      </c>
      <c r="F14" s="19" t="s">
        <v>154</v>
      </c>
      <c r="G14" s="16">
        <v>3025</v>
      </c>
      <c r="H14" s="18" t="s">
        <v>2</v>
      </c>
      <c r="I14" s="22" t="s">
        <v>52</v>
      </c>
      <c r="J14" s="97">
        <v>0</v>
      </c>
      <c r="K14" s="97">
        <v>0</v>
      </c>
      <c r="L14" s="35">
        <v>2.5</v>
      </c>
      <c r="M14" s="100">
        <v>0</v>
      </c>
      <c r="N14" s="75">
        <v>0</v>
      </c>
      <c r="O14" s="103" t="s">
        <v>47</v>
      </c>
      <c r="P14" s="97">
        <v>0</v>
      </c>
      <c r="Q14" s="75">
        <v>0</v>
      </c>
      <c r="R14" s="103" t="s">
        <v>47</v>
      </c>
      <c r="S14" s="97">
        <v>0</v>
      </c>
      <c r="T14" s="75">
        <v>0</v>
      </c>
      <c r="U14" s="103" t="s">
        <v>47</v>
      </c>
      <c r="V14" s="72">
        <f>SUM(Table5[[#This Row],[July 2025]:[June 2026]])</f>
        <v>2.5</v>
      </c>
    </row>
    <row r="15" spans="1:22" s="15" customFormat="1" ht="45" customHeight="1" x14ac:dyDescent="0.35">
      <c r="A15" s="40">
        <v>14357</v>
      </c>
      <c r="B15" s="16" t="s">
        <v>151</v>
      </c>
      <c r="C15" s="41">
        <v>15345901</v>
      </c>
      <c r="D15" s="41">
        <v>15345901</v>
      </c>
      <c r="E15" s="17" t="s">
        <v>43</v>
      </c>
      <c r="F15" s="19" t="s">
        <v>154</v>
      </c>
      <c r="G15" s="16">
        <v>3025</v>
      </c>
      <c r="H15" s="18" t="s">
        <v>2</v>
      </c>
      <c r="I15" s="22" t="s">
        <v>52</v>
      </c>
      <c r="J15" s="99">
        <v>0</v>
      </c>
      <c r="K15" s="97">
        <v>0</v>
      </c>
      <c r="L15" s="35">
        <v>0.3</v>
      </c>
      <c r="M15" s="99">
        <v>0</v>
      </c>
      <c r="N15" s="75">
        <v>0</v>
      </c>
      <c r="O15" s="103" t="s">
        <v>47</v>
      </c>
      <c r="P15" s="97">
        <v>0</v>
      </c>
      <c r="Q15" s="75">
        <v>0</v>
      </c>
      <c r="R15" s="103" t="s">
        <v>47</v>
      </c>
      <c r="S15" s="97">
        <v>0</v>
      </c>
      <c r="T15" s="75">
        <v>0</v>
      </c>
      <c r="U15" s="103" t="s">
        <v>47</v>
      </c>
      <c r="V15" s="72">
        <f>SUM(Table5[[#This Row],[July 2025]:[June 2026]])</f>
        <v>0.3</v>
      </c>
    </row>
    <row r="16" spans="1:22" s="15" customFormat="1" ht="45" customHeight="1" x14ac:dyDescent="0.35">
      <c r="A16" s="40">
        <v>14341</v>
      </c>
      <c r="B16" s="16" t="s">
        <v>155</v>
      </c>
      <c r="C16" s="83">
        <v>218023742</v>
      </c>
      <c r="D16" s="41">
        <v>5184673</v>
      </c>
      <c r="E16" s="17" t="s">
        <v>94</v>
      </c>
      <c r="F16" s="19" t="s">
        <v>156</v>
      </c>
      <c r="G16" s="16">
        <v>4035</v>
      </c>
      <c r="H16" s="18" t="s">
        <v>2</v>
      </c>
      <c r="I16" s="22" t="s">
        <v>52</v>
      </c>
      <c r="J16" s="97">
        <v>0</v>
      </c>
      <c r="K16" s="97">
        <v>0</v>
      </c>
      <c r="L16" s="35">
        <v>2.7</v>
      </c>
      <c r="M16" s="99">
        <v>0</v>
      </c>
      <c r="N16" s="97">
        <v>0</v>
      </c>
      <c r="O16" s="103" t="s">
        <v>47</v>
      </c>
      <c r="P16" s="97">
        <v>0</v>
      </c>
      <c r="Q16" s="97">
        <v>0</v>
      </c>
      <c r="R16" s="35">
        <v>0</v>
      </c>
      <c r="S16" s="97">
        <v>0</v>
      </c>
      <c r="T16" s="97">
        <v>0</v>
      </c>
      <c r="U16" s="35">
        <v>0</v>
      </c>
      <c r="V16" s="72">
        <f>SUM(Table5[[#This Row],[July 2025]:[June 2026]])</f>
        <v>2.7</v>
      </c>
    </row>
    <row r="17" spans="1:22" s="15" customFormat="1" ht="45" customHeight="1" x14ac:dyDescent="0.35">
      <c r="A17" s="40">
        <v>14341</v>
      </c>
      <c r="B17" s="16" t="s">
        <v>155</v>
      </c>
      <c r="C17" s="83">
        <v>219904790</v>
      </c>
      <c r="D17" s="83">
        <v>88011457</v>
      </c>
      <c r="E17" s="17" t="s">
        <v>48</v>
      </c>
      <c r="F17" s="19" t="s">
        <v>156</v>
      </c>
      <c r="G17" s="16">
        <v>4035</v>
      </c>
      <c r="H17" s="18" t="s">
        <v>2</v>
      </c>
      <c r="I17" s="22" t="s">
        <v>52</v>
      </c>
      <c r="J17" s="99">
        <v>0</v>
      </c>
      <c r="K17" s="97">
        <v>0</v>
      </c>
      <c r="L17" s="35">
        <v>40.4</v>
      </c>
      <c r="M17" s="99">
        <v>0</v>
      </c>
      <c r="N17" s="99">
        <v>0</v>
      </c>
      <c r="O17" s="103" t="s">
        <v>47</v>
      </c>
      <c r="P17" s="97">
        <v>0</v>
      </c>
      <c r="Q17" s="99">
        <v>0</v>
      </c>
      <c r="R17" s="103" t="s">
        <v>47</v>
      </c>
      <c r="S17" s="97">
        <v>0</v>
      </c>
      <c r="T17" s="99">
        <v>0</v>
      </c>
      <c r="U17" s="103" t="s">
        <v>47</v>
      </c>
      <c r="V17" s="72">
        <f>SUM(Table5[[#This Row],[July 2025]:[June 2026]])</f>
        <v>40.4</v>
      </c>
    </row>
    <row r="18" spans="1:22" s="15" customFormat="1" ht="45" customHeight="1" x14ac:dyDescent="0.35">
      <c r="A18" s="40">
        <v>14341</v>
      </c>
      <c r="B18" s="16" t="s">
        <v>155</v>
      </c>
      <c r="C18" s="82">
        <v>212589723</v>
      </c>
      <c r="D18" s="82">
        <v>212589723</v>
      </c>
      <c r="E18" s="17" t="s">
        <v>43</v>
      </c>
      <c r="F18" s="19" t="s">
        <v>156</v>
      </c>
      <c r="G18" s="16">
        <v>4035</v>
      </c>
      <c r="H18" s="18" t="s">
        <v>2</v>
      </c>
      <c r="I18" s="22" t="s">
        <v>52</v>
      </c>
      <c r="J18" s="99">
        <v>0</v>
      </c>
      <c r="K18" s="99">
        <v>0</v>
      </c>
      <c r="L18" s="71">
        <v>13.2</v>
      </c>
      <c r="M18" s="99">
        <v>0</v>
      </c>
      <c r="N18" s="99">
        <v>0</v>
      </c>
      <c r="O18" s="103" t="s">
        <v>47</v>
      </c>
      <c r="P18" s="97">
        <v>0</v>
      </c>
      <c r="Q18" s="99">
        <v>0</v>
      </c>
      <c r="R18" s="103" t="s">
        <v>47</v>
      </c>
      <c r="S18" s="97">
        <v>0</v>
      </c>
      <c r="T18" s="99">
        <v>0</v>
      </c>
      <c r="U18" s="103" t="s">
        <v>47</v>
      </c>
      <c r="V18" s="72">
        <f>SUM(Table5[[#This Row],[July 2025]:[June 2026]])</f>
        <v>13.2</v>
      </c>
    </row>
    <row r="19" spans="1:22" s="15" customFormat="1" ht="45" customHeight="1" x14ac:dyDescent="0.35">
      <c r="A19" s="40">
        <v>15146</v>
      </c>
      <c r="B19" s="16" t="s">
        <v>157</v>
      </c>
      <c r="C19" s="41">
        <v>12324437</v>
      </c>
      <c r="D19" s="81">
        <v>1593546</v>
      </c>
      <c r="E19" s="17" t="s">
        <v>94</v>
      </c>
      <c r="F19" s="19" t="s">
        <v>158</v>
      </c>
      <c r="G19" s="16">
        <v>4201</v>
      </c>
      <c r="H19" s="18" t="s">
        <v>2</v>
      </c>
      <c r="I19" s="22" t="s">
        <v>52</v>
      </c>
      <c r="J19" s="97">
        <v>0</v>
      </c>
      <c r="K19" s="97">
        <v>0</v>
      </c>
      <c r="L19" s="119">
        <v>0.8</v>
      </c>
      <c r="M19" s="101">
        <v>0</v>
      </c>
      <c r="N19" s="97">
        <v>0</v>
      </c>
      <c r="O19" s="103" t="s">
        <v>47</v>
      </c>
      <c r="P19" s="97">
        <v>0</v>
      </c>
      <c r="Q19" s="97">
        <v>0</v>
      </c>
      <c r="R19" s="35">
        <v>0</v>
      </c>
      <c r="S19" s="97">
        <v>0</v>
      </c>
      <c r="T19" s="97">
        <v>0</v>
      </c>
      <c r="U19" s="35">
        <v>0</v>
      </c>
      <c r="V19" s="72">
        <f>SUM(Table5[[#This Row],[July 2025]:[June 2026]])</f>
        <v>0.8</v>
      </c>
    </row>
    <row r="20" spans="1:22" s="15" customFormat="1" ht="45" customHeight="1" x14ac:dyDescent="0.35">
      <c r="A20" s="40">
        <v>15146</v>
      </c>
      <c r="B20" s="16" t="s">
        <v>157</v>
      </c>
      <c r="C20" s="41">
        <v>17565157</v>
      </c>
      <c r="D20" s="41">
        <v>10108185</v>
      </c>
      <c r="E20" s="17" t="s">
        <v>48</v>
      </c>
      <c r="F20" s="19" t="s">
        <v>158</v>
      </c>
      <c r="G20" s="16">
        <v>4201</v>
      </c>
      <c r="H20" s="18" t="s">
        <v>2</v>
      </c>
      <c r="I20" s="22" t="s">
        <v>52</v>
      </c>
      <c r="J20" s="97">
        <v>0</v>
      </c>
      <c r="K20" s="97">
        <v>0</v>
      </c>
      <c r="L20" s="119">
        <v>1.6</v>
      </c>
      <c r="M20" s="101">
        <v>0</v>
      </c>
      <c r="N20" s="97">
        <v>0</v>
      </c>
      <c r="O20" s="103" t="s">
        <v>47</v>
      </c>
      <c r="P20" s="97">
        <v>0</v>
      </c>
      <c r="Q20" s="97">
        <v>0</v>
      </c>
      <c r="R20" s="103" t="s">
        <v>47</v>
      </c>
      <c r="S20" s="97">
        <v>0</v>
      </c>
      <c r="T20" s="97">
        <v>0</v>
      </c>
      <c r="U20" s="103" t="s">
        <v>47</v>
      </c>
      <c r="V20" s="72">
        <f>SUM(Table5[[#This Row],[July 2025]:[June 2026]])</f>
        <v>1.6</v>
      </c>
    </row>
    <row r="21" spans="1:22" s="15" customFormat="1" ht="45" customHeight="1" x14ac:dyDescent="0.35">
      <c r="A21" s="40">
        <v>15146</v>
      </c>
      <c r="B21" s="16" t="s">
        <v>157</v>
      </c>
      <c r="C21" s="41">
        <v>21516771</v>
      </c>
      <c r="D21" s="41">
        <v>21516771</v>
      </c>
      <c r="E21" s="17" t="s">
        <v>43</v>
      </c>
      <c r="F21" s="19" t="s">
        <v>158</v>
      </c>
      <c r="G21" s="16">
        <v>4201</v>
      </c>
      <c r="H21" s="18" t="s">
        <v>2</v>
      </c>
      <c r="I21" s="22" t="s">
        <v>52</v>
      </c>
      <c r="J21" s="97">
        <v>0</v>
      </c>
      <c r="K21" s="97">
        <v>0</v>
      </c>
      <c r="L21" s="71">
        <v>0.8</v>
      </c>
      <c r="M21" s="101">
        <v>0</v>
      </c>
      <c r="N21" s="97">
        <v>0</v>
      </c>
      <c r="O21" s="103" t="s">
        <v>47</v>
      </c>
      <c r="P21" s="97">
        <v>0</v>
      </c>
      <c r="Q21" s="97">
        <v>0</v>
      </c>
      <c r="R21" s="103" t="s">
        <v>47</v>
      </c>
      <c r="S21" s="97">
        <v>0</v>
      </c>
      <c r="T21" s="97">
        <v>0</v>
      </c>
      <c r="U21" s="103" t="s">
        <v>47</v>
      </c>
      <c r="V21" s="72">
        <f>SUM(Table5[[#This Row],[July 2025]:[June 2026]])</f>
        <v>0.8</v>
      </c>
    </row>
    <row r="22" spans="1:22" s="15" customFormat="1" ht="45" customHeight="1" x14ac:dyDescent="0.35">
      <c r="A22" s="40">
        <v>14346</v>
      </c>
      <c r="B22" s="16" t="s">
        <v>157</v>
      </c>
      <c r="C22" s="41">
        <v>140774160</v>
      </c>
      <c r="D22" s="41">
        <v>5283351</v>
      </c>
      <c r="E22" s="17" t="s">
        <v>94</v>
      </c>
      <c r="F22" s="19" t="s">
        <v>159</v>
      </c>
      <c r="G22" s="16">
        <v>4203</v>
      </c>
      <c r="H22" s="18" t="s">
        <v>2</v>
      </c>
      <c r="I22" s="22" t="s">
        <v>52</v>
      </c>
      <c r="J22" s="97">
        <v>0</v>
      </c>
      <c r="K22" s="97">
        <v>0</v>
      </c>
      <c r="L22" s="119">
        <v>2.1</v>
      </c>
      <c r="M22" s="101">
        <v>0</v>
      </c>
      <c r="N22" s="97">
        <v>0</v>
      </c>
      <c r="O22" s="103" t="s">
        <v>47</v>
      </c>
      <c r="P22" s="97">
        <v>0</v>
      </c>
      <c r="Q22" s="97">
        <v>0</v>
      </c>
      <c r="R22" s="35">
        <v>0</v>
      </c>
      <c r="S22" s="97">
        <v>0</v>
      </c>
      <c r="T22" s="97">
        <v>0</v>
      </c>
      <c r="U22" s="35">
        <v>0</v>
      </c>
      <c r="V22" s="72">
        <f>SUM(Table5[[#This Row],[July 2025]:[June 2026]])</f>
        <v>2.1</v>
      </c>
    </row>
    <row r="23" spans="1:22" s="15" customFormat="1" ht="45" customHeight="1" x14ac:dyDescent="0.35">
      <c r="A23" s="40">
        <v>14346</v>
      </c>
      <c r="B23" s="16" t="s">
        <v>157</v>
      </c>
      <c r="C23" s="41">
        <v>138431722</v>
      </c>
      <c r="D23" s="41">
        <v>56253272</v>
      </c>
      <c r="E23" s="17" t="s">
        <v>48</v>
      </c>
      <c r="F23" s="19" t="s">
        <v>159</v>
      </c>
      <c r="G23" s="16">
        <v>4203</v>
      </c>
      <c r="H23" s="18" t="s">
        <v>2</v>
      </c>
      <c r="I23" s="22" t="s">
        <v>52</v>
      </c>
      <c r="J23" s="97">
        <v>0</v>
      </c>
      <c r="K23" s="97">
        <v>0</v>
      </c>
      <c r="L23" s="119">
        <v>21.5</v>
      </c>
      <c r="M23" s="101">
        <v>0</v>
      </c>
      <c r="N23" s="97">
        <v>0</v>
      </c>
      <c r="O23" s="103" t="s">
        <v>47</v>
      </c>
      <c r="P23" s="97">
        <v>0</v>
      </c>
      <c r="Q23" s="97">
        <v>0</v>
      </c>
      <c r="R23" s="103" t="s">
        <v>47</v>
      </c>
      <c r="S23" s="97">
        <v>0</v>
      </c>
      <c r="T23" s="97">
        <v>0</v>
      </c>
      <c r="U23" s="103" t="s">
        <v>47</v>
      </c>
      <c r="V23" s="72">
        <f>SUM(Table5[[#This Row],[July 2025]:[June 2026]])</f>
        <v>21.5</v>
      </c>
    </row>
    <row r="24" spans="1:22" s="15" customFormat="1" ht="45" customHeight="1" x14ac:dyDescent="0.35">
      <c r="A24" s="40">
        <v>14346</v>
      </c>
      <c r="B24" s="16" t="s">
        <v>157</v>
      </c>
      <c r="C24" s="41">
        <v>128144161</v>
      </c>
      <c r="D24" s="41">
        <v>128144161</v>
      </c>
      <c r="E24" s="17" t="s">
        <v>43</v>
      </c>
      <c r="F24" s="19" t="s">
        <v>159</v>
      </c>
      <c r="G24" s="16">
        <v>4203</v>
      </c>
      <c r="H24" s="18" t="s">
        <v>2</v>
      </c>
      <c r="I24" s="22" t="s">
        <v>52</v>
      </c>
      <c r="J24" s="97">
        <v>0</v>
      </c>
      <c r="K24" s="97">
        <v>0</v>
      </c>
      <c r="L24" s="71">
        <v>6.4</v>
      </c>
      <c r="M24" s="101">
        <v>0</v>
      </c>
      <c r="N24" s="97">
        <v>0</v>
      </c>
      <c r="O24" s="103" t="s">
        <v>47</v>
      </c>
      <c r="P24" s="97">
        <v>0</v>
      </c>
      <c r="Q24" s="97">
        <v>0</v>
      </c>
      <c r="R24" s="103" t="s">
        <v>47</v>
      </c>
      <c r="S24" s="97">
        <v>0</v>
      </c>
      <c r="T24" s="97">
        <v>0</v>
      </c>
      <c r="U24" s="103" t="s">
        <v>47</v>
      </c>
      <c r="V24" s="72">
        <f>SUM(Table5[[#This Row],[July 2025]:[June 2026]])</f>
        <v>6.4</v>
      </c>
    </row>
    <row r="25" spans="1:22" s="15" customFormat="1" ht="45" customHeight="1" x14ac:dyDescent="0.35">
      <c r="A25" s="40">
        <v>15396</v>
      </c>
      <c r="B25" s="17" t="s">
        <v>160</v>
      </c>
      <c r="C25" s="83">
        <v>149867032</v>
      </c>
      <c r="D25" s="117">
        <v>11027300</v>
      </c>
      <c r="E25" s="17" t="s">
        <v>94</v>
      </c>
      <c r="F25" s="19" t="s">
        <v>161</v>
      </c>
      <c r="G25" s="16">
        <v>4127</v>
      </c>
      <c r="H25" s="18" t="s">
        <v>2</v>
      </c>
      <c r="I25" s="22" t="s">
        <v>52</v>
      </c>
      <c r="J25" s="97">
        <v>0</v>
      </c>
      <c r="K25" s="97">
        <v>0</v>
      </c>
      <c r="L25" s="119">
        <v>0</v>
      </c>
      <c r="M25" s="101">
        <v>4.0999999999999996</v>
      </c>
      <c r="N25" s="97">
        <v>0</v>
      </c>
      <c r="O25" s="103" t="s">
        <v>47</v>
      </c>
      <c r="P25" s="97">
        <v>0</v>
      </c>
      <c r="Q25" s="97">
        <v>0</v>
      </c>
      <c r="R25" s="35">
        <v>0</v>
      </c>
      <c r="S25" s="97">
        <v>0</v>
      </c>
      <c r="T25" s="97">
        <v>0</v>
      </c>
      <c r="U25" s="35">
        <v>0</v>
      </c>
      <c r="V25" s="72">
        <f>SUM(Table5[[#This Row],[July 2025]:[June 2026]])</f>
        <v>4.0999999999999996</v>
      </c>
    </row>
    <row r="26" spans="1:22" s="15" customFormat="1" ht="45" customHeight="1" x14ac:dyDescent="0.35">
      <c r="A26" s="40">
        <v>15396</v>
      </c>
      <c r="B26" s="17" t="s">
        <v>160</v>
      </c>
      <c r="C26" s="82">
        <v>145227534</v>
      </c>
      <c r="D26" s="82">
        <v>90727281</v>
      </c>
      <c r="E26" s="17" t="s">
        <v>48</v>
      </c>
      <c r="F26" s="19" t="s">
        <v>161</v>
      </c>
      <c r="G26" s="16">
        <v>4127</v>
      </c>
      <c r="H26" s="18" t="s">
        <v>2</v>
      </c>
      <c r="I26" s="22" t="s">
        <v>52</v>
      </c>
      <c r="J26" s="97">
        <v>0</v>
      </c>
      <c r="K26" s="97">
        <v>0</v>
      </c>
      <c r="L26" s="71">
        <v>0</v>
      </c>
      <c r="M26" s="101">
        <v>24.8</v>
      </c>
      <c r="N26" s="97">
        <v>0</v>
      </c>
      <c r="O26" s="103" t="s">
        <v>47</v>
      </c>
      <c r="P26" s="97">
        <v>0</v>
      </c>
      <c r="Q26" s="97">
        <v>0</v>
      </c>
      <c r="R26" s="103" t="s">
        <v>47</v>
      </c>
      <c r="S26" s="97">
        <v>0</v>
      </c>
      <c r="T26" s="97">
        <v>0</v>
      </c>
      <c r="U26" s="103" t="s">
        <v>47</v>
      </c>
      <c r="V26" s="72">
        <f>SUM(Table5[[#This Row],[July 2025]:[June 2026]])</f>
        <v>24.8</v>
      </c>
    </row>
    <row r="27" spans="1:22" s="15" customFormat="1" ht="45" customHeight="1" x14ac:dyDescent="0.35">
      <c r="A27" s="40">
        <v>15396</v>
      </c>
      <c r="B27" s="17" t="s">
        <v>160</v>
      </c>
      <c r="C27" s="82">
        <v>156348120</v>
      </c>
      <c r="D27" s="82">
        <v>156348120</v>
      </c>
      <c r="E27" s="17" t="s">
        <v>43</v>
      </c>
      <c r="F27" s="19" t="s">
        <v>161</v>
      </c>
      <c r="G27" s="16">
        <v>4127</v>
      </c>
      <c r="H27" s="18" t="s">
        <v>2</v>
      </c>
      <c r="I27" s="22" t="s">
        <v>52</v>
      </c>
      <c r="J27" s="97">
        <v>0</v>
      </c>
      <c r="K27" s="97">
        <v>0</v>
      </c>
      <c r="L27" s="71">
        <v>0</v>
      </c>
      <c r="M27" s="101">
        <v>5.4</v>
      </c>
      <c r="N27" s="97">
        <v>0</v>
      </c>
      <c r="O27" s="103" t="s">
        <v>47</v>
      </c>
      <c r="P27" s="97">
        <v>0</v>
      </c>
      <c r="Q27" s="97">
        <v>0</v>
      </c>
      <c r="R27" s="103" t="s">
        <v>47</v>
      </c>
      <c r="S27" s="97">
        <v>0</v>
      </c>
      <c r="T27" s="97">
        <v>0</v>
      </c>
      <c r="U27" s="103" t="s">
        <v>47</v>
      </c>
      <c r="V27" s="72">
        <f>SUM(Table5[[#This Row],[July 2025]:[June 2026]])</f>
        <v>5.4</v>
      </c>
    </row>
    <row r="28" spans="1:22" s="15" customFormat="1" ht="45" customHeight="1" x14ac:dyDescent="0.35">
      <c r="A28" s="125">
        <v>14356</v>
      </c>
      <c r="B28" s="63" t="s">
        <v>162</v>
      </c>
      <c r="C28" s="138">
        <v>5506502</v>
      </c>
      <c r="D28" s="138">
        <v>5506502</v>
      </c>
      <c r="E28" s="137" t="s">
        <v>43</v>
      </c>
      <c r="F28" s="140" t="s">
        <v>163</v>
      </c>
      <c r="G28" s="63">
        <v>4126</v>
      </c>
      <c r="H28" s="20" t="s">
        <v>2</v>
      </c>
      <c r="I28" s="141" t="s">
        <v>164</v>
      </c>
      <c r="J28" s="155">
        <v>0</v>
      </c>
      <c r="K28" s="155">
        <v>0</v>
      </c>
      <c r="L28" s="155">
        <v>0</v>
      </c>
      <c r="M28" s="156">
        <v>0</v>
      </c>
      <c r="N28" s="155">
        <v>0</v>
      </c>
      <c r="O28" s="157" t="s">
        <v>47</v>
      </c>
      <c r="P28" s="158">
        <v>0</v>
      </c>
      <c r="Q28" s="159">
        <v>0</v>
      </c>
      <c r="R28" s="157" t="s">
        <v>47</v>
      </c>
      <c r="S28" s="155">
        <v>0</v>
      </c>
      <c r="T28" s="155">
        <v>0</v>
      </c>
      <c r="U28" s="159">
        <v>0</v>
      </c>
      <c r="V28" s="160">
        <f>SUM(Table5[[#This Row],[July 2025]:[June 2026]])</f>
        <v>0</v>
      </c>
    </row>
    <row r="29" spans="1:22" ht="18.649999999999999" customHeight="1" x14ac:dyDescent="0.35">
      <c r="A29" s="131" t="s">
        <v>165</v>
      </c>
      <c r="B29" s="133"/>
      <c r="C29" s="145"/>
      <c r="D29" s="145"/>
      <c r="E29" s="134"/>
      <c r="F29" s="135"/>
      <c r="G29" s="132"/>
      <c r="H29" s="132"/>
      <c r="I29" s="132"/>
      <c r="J29" s="136">
        <f>SUBTOTAL(109,Table5[July 2025])</f>
        <v>0</v>
      </c>
      <c r="K29" s="136">
        <f>SUBTOTAL(109,Table5[Aug 2025])</f>
        <v>0</v>
      </c>
      <c r="L29" s="136">
        <f>SUBTOTAL(109,Table5[Sept 2025])</f>
        <v>574.71499999999992</v>
      </c>
      <c r="M29" s="136">
        <f>SUBTOTAL(109,Table5[Oct 2025])</f>
        <v>34.299999999999997</v>
      </c>
      <c r="N29" s="136">
        <f>SUBTOTAL(109,Table5[Nov 2025])</f>
        <v>0</v>
      </c>
      <c r="O29" s="136">
        <f>SUBTOTAL(109,Table5[Dec 2025])</f>
        <v>0</v>
      </c>
      <c r="P29" s="136">
        <f>SUBTOTAL(109,Table5[Jan 2026])</f>
        <v>0</v>
      </c>
      <c r="Q29" s="136">
        <f>SUBTOTAL(109,Table5[Feb 2026])</f>
        <v>0</v>
      </c>
      <c r="R29" s="136">
        <f>SUBTOTAL(109,Table5[Mar 2026])</f>
        <v>0</v>
      </c>
      <c r="S29" s="136">
        <f>SUBTOTAL(109,Table5[April 2026])</f>
        <v>0</v>
      </c>
      <c r="T29" s="136">
        <f>SUBTOTAL(109,Table5[May 2026])</f>
        <v>0</v>
      </c>
      <c r="U29" s="136">
        <f>SUBTOTAL(109,Table5[June 2026])</f>
        <v>0</v>
      </c>
      <c r="V29" s="136">
        <f>SUBTOTAL(109,Table5[Total])</f>
        <v>609.01499999999987</v>
      </c>
    </row>
    <row r="30" spans="1:22" x14ac:dyDescent="0.35">
      <c r="A30" t="s">
        <v>26</v>
      </c>
    </row>
    <row r="31" spans="1:22" x14ac:dyDescent="0.35">
      <c r="A31" t="s">
        <v>27</v>
      </c>
      <c r="C31" s="114"/>
    </row>
    <row r="32" spans="1:22" x14ac:dyDescent="0.35">
      <c r="A32" t="s">
        <v>28</v>
      </c>
    </row>
    <row r="33" spans="1:12" x14ac:dyDescent="0.35">
      <c r="A33" s="14" t="str">
        <f>Summary!A17</f>
        <v>November 2025</v>
      </c>
      <c r="L33" s="120"/>
    </row>
  </sheetData>
  <conditionalFormatting sqref="J7:K27 M15 J28:P28 R28:T28">
    <cfRule type="cellIs" dxfId="63" priority="347" operator="notEqual">
      <formula>0</formula>
    </cfRule>
    <cfRule type="cellIs" dxfId="62" priority="348" operator="equal">
      <formula>0</formula>
    </cfRule>
  </conditionalFormatting>
  <conditionalFormatting sqref="L10:L17">
    <cfRule type="cellIs" dxfId="61" priority="7" operator="notEqual">
      <formula>0</formula>
    </cfRule>
    <cfRule type="cellIs" dxfId="60" priority="8" operator="equal">
      <formula>0</formula>
    </cfRule>
  </conditionalFormatting>
  <conditionalFormatting sqref="L7:M8 O7:O8 O10:O27 L18:L27">
    <cfRule type="cellIs" dxfId="59" priority="421" stopIfTrue="1" operator="equal">
      <formula>"TBD"</formula>
    </cfRule>
    <cfRule type="cellIs" dxfId="58" priority="422" stopIfTrue="1" operator="notEqual">
      <formula>0</formula>
    </cfRule>
    <cfRule type="cellIs" dxfId="57" priority="423" stopIfTrue="1" operator="equal">
      <formula>0</formula>
    </cfRule>
  </conditionalFormatting>
  <conditionalFormatting sqref="N7:N8 P13:P15 R16 U16 S16:T21 M16:N27 P16:Q27 R19 U19 T22:U22 S23:T27 R25 U25">
    <cfRule type="cellIs" dxfId="56" priority="343" operator="equal">
      <formula>0</formula>
    </cfRule>
    <cfRule type="cellIs" dxfId="55" priority="342" operator="notEqual">
      <formula>0</formula>
    </cfRule>
  </conditionalFormatting>
  <conditionalFormatting sqref="P7:P8 U26:U28 Q28">
    <cfRule type="cellIs" dxfId="54" priority="287" stopIfTrue="1" operator="equal">
      <formula>0</formula>
    </cfRule>
    <cfRule type="cellIs" dxfId="53" priority="286" stopIfTrue="1" operator="notEqual">
      <formula>0</formula>
    </cfRule>
    <cfRule type="cellIs" dxfId="52" priority="285" stopIfTrue="1" operator="equal">
      <formula>"TBD"</formula>
    </cfRule>
  </conditionalFormatting>
  <conditionalFormatting sqref="Q7:Q8 T7:T9 L9:Q9">
    <cfRule type="cellIs" dxfId="51" priority="428" operator="equal">
      <formula>0</formula>
    </cfRule>
    <cfRule type="cellIs" dxfId="50" priority="427" operator="notEqual">
      <formula>0</formula>
    </cfRule>
  </conditionalFormatting>
  <conditionalFormatting sqref="R7:R9">
    <cfRule type="cellIs" dxfId="49" priority="4" stopIfTrue="1" operator="equal">
      <formula>"TBD"</formula>
    </cfRule>
    <cfRule type="cellIs" dxfId="48" priority="5" stopIfTrue="1" operator="notEqual">
      <formula>0</formula>
    </cfRule>
    <cfRule type="cellIs" dxfId="47" priority="6" stopIfTrue="1" operator="equal">
      <formula>0</formula>
    </cfRule>
  </conditionalFormatting>
  <conditionalFormatting sqref="R11:R12">
    <cfRule type="cellIs" dxfId="46" priority="174" stopIfTrue="1" operator="equal">
      <formula>0</formula>
    </cfRule>
    <cfRule type="cellIs" dxfId="45" priority="173" stopIfTrue="1" operator="notEqual">
      <formula>0</formula>
    </cfRule>
    <cfRule type="cellIs" dxfId="44" priority="172" stopIfTrue="1" operator="equal">
      <formula>"TBD"</formula>
    </cfRule>
  </conditionalFormatting>
  <conditionalFormatting sqref="R14:R15">
    <cfRule type="cellIs" dxfId="43" priority="41" stopIfTrue="1" operator="notEqual">
      <formula>0</formula>
    </cfRule>
    <cfRule type="cellIs" dxfId="42" priority="42" stopIfTrue="1" operator="equal">
      <formula>0</formula>
    </cfRule>
    <cfRule type="cellIs" dxfId="41" priority="40" stopIfTrue="1" operator="equal">
      <formula>"TBD"</formula>
    </cfRule>
  </conditionalFormatting>
  <conditionalFormatting sqref="R17:R18">
    <cfRule type="cellIs" dxfId="40" priority="160" stopIfTrue="1" operator="equal">
      <formula>"TBD"</formula>
    </cfRule>
    <cfRule type="cellIs" dxfId="39" priority="161" stopIfTrue="1" operator="notEqual">
      <formula>0</formula>
    </cfRule>
    <cfRule type="cellIs" dxfId="38" priority="162" stopIfTrue="1" operator="equal">
      <formula>0</formula>
    </cfRule>
  </conditionalFormatting>
  <conditionalFormatting sqref="R20:R21">
    <cfRule type="cellIs" dxfId="37" priority="157" stopIfTrue="1" operator="equal">
      <formula>"TBD"</formula>
    </cfRule>
    <cfRule type="cellIs" dxfId="36" priority="159" stopIfTrue="1" operator="equal">
      <formula>0</formula>
    </cfRule>
    <cfRule type="cellIs" dxfId="35" priority="158" stopIfTrue="1" operator="notEqual">
      <formula>0</formula>
    </cfRule>
  </conditionalFormatting>
  <conditionalFormatting sqref="R22">
    <cfRule type="cellIs" dxfId="34" priority="14" operator="equal">
      <formula>0</formula>
    </cfRule>
    <cfRule type="cellIs" dxfId="33" priority="13" operator="notEqual">
      <formula>0</formula>
    </cfRule>
  </conditionalFormatting>
  <conditionalFormatting sqref="R23:R24">
    <cfRule type="cellIs" dxfId="32" priority="137" stopIfTrue="1" operator="equal">
      <formula>0</formula>
    </cfRule>
    <cfRule type="cellIs" dxfId="31" priority="136" stopIfTrue="1" operator="notEqual">
      <formula>0</formula>
    </cfRule>
    <cfRule type="cellIs" dxfId="30" priority="135" stopIfTrue="1" operator="equal">
      <formula>"TBD"</formula>
    </cfRule>
  </conditionalFormatting>
  <conditionalFormatting sqref="R26:R27">
    <cfRule type="cellIs" dxfId="29" priority="131" stopIfTrue="1" operator="equal">
      <formula>0</formula>
    </cfRule>
    <cfRule type="cellIs" dxfId="28" priority="130" stopIfTrue="1" operator="notEqual">
      <formula>0</formula>
    </cfRule>
    <cfRule type="cellIs" dxfId="27" priority="129" stopIfTrue="1" operator="equal">
      <formula>"TBD"</formula>
    </cfRule>
  </conditionalFormatting>
  <conditionalFormatting sqref="S7">
    <cfRule type="cellIs" dxfId="26" priority="56" operator="notEqual">
      <formula>0</formula>
    </cfRule>
    <cfRule type="cellIs" dxfId="25" priority="57" operator="equal">
      <formula>0</formula>
    </cfRule>
  </conditionalFormatting>
  <conditionalFormatting sqref="S8:S9">
    <cfRule type="cellIs" dxfId="24" priority="51" stopIfTrue="1" operator="equal">
      <formula>0</formula>
    </cfRule>
    <cfRule type="cellIs" dxfId="23" priority="50" stopIfTrue="1" operator="notEqual">
      <formula>0</formula>
    </cfRule>
    <cfRule type="cellIs" dxfId="22" priority="49" stopIfTrue="1" operator="equal">
      <formula>"TBD"</formula>
    </cfRule>
  </conditionalFormatting>
  <conditionalFormatting sqref="S10:S15">
    <cfRule type="cellIs" dxfId="21" priority="38" operator="notEqual">
      <formula>0</formula>
    </cfRule>
    <cfRule type="cellIs" dxfId="20" priority="39" operator="equal">
      <formula>0</formula>
    </cfRule>
  </conditionalFormatting>
  <conditionalFormatting sqref="S22">
    <cfRule type="cellIs" dxfId="19" priority="16" operator="equal">
      <formula>0</formula>
    </cfRule>
    <cfRule type="cellIs" dxfId="18" priority="15" operator="notEqual">
      <formula>0</formula>
    </cfRule>
  </conditionalFormatting>
  <conditionalFormatting sqref="U7:U9">
    <cfRule type="cellIs" dxfId="17" priority="1" stopIfTrue="1" operator="equal">
      <formula>"TBD"</formula>
    </cfRule>
    <cfRule type="cellIs" dxfId="16" priority="3" stopIfTrue="1" operator="equal">
      <formula>0</formula>
    </cfRule>
    <cfRule type="cellIs" dxfId="15" priority="2" stopIfTrue="1" operator="notEqual">
      <formula>0</formula>
    </cfRule>
  </conditionalFormatting>
  <conditionalFormatting sqref="U11:U12">
    <cfRule type="cellIs" dxfId="14" priority="101" stopIfTrue="1" operator="equal">
      <formula>"TBD"</formula>
    </cfRule>
    <cfRule type="cellIs" dxfId="13" priority="102" stopIfTrue="1" operator="notEqual">
      <formula>0</formula>
    </cfRule>
    <cfRule type="cellIs" dxfId="12" priority="103" stopIfTrue="1" operator="equal">
      <formula>0</formula>
    </cfRule>
  </conditionalFormatting>
  <conditionalFormatting sqref="U14:U15">
    <cfRule type="cellIs" dxfId="11" priority="37" stopIfTrue="1" operator="equal">
      <formula>0</formula>
    </cfRule>
    <cfRule type="cellIs" dxfId="10" priority="36" stopIfTrue="1" operator="notEqual">
      <formula>0</formula>
    </cfRule>
    <cfRule type="cellIs" dxfId="9" priority="35" stopIfTrue="1" operator="equal">
      <formula>"TBD"</formula>
    </cfRule>
  </conditionalFormatting>
  <conditionalFormatting sqref="U17:U18">
    <cfRule type="cellIs" dxfId="8" priority="90" stopIfTrue="1" operator="notEqual">
      <formula>0</formula>
    </cfRule>
    <cfRule type="cellIs" dxfId="7" priority="91" stopIfTrue="1" operator="equal">
      <formula>0</formula>
    </cfRule>
    <cfRule type="cellIs" dxfId="6" priority="89" stopIfTrue="1" operator="equal">
      <formula>"TBD"</formula>
    </cfRule>
  </conditionalFormatting>
  <conditionalFormatting sqref="U20:U21">
    <cfRule type="cellIs" dxfId="5" priority="84" stopIfTrue="1" operator="notEqual">
      <formula>0</formula>
    </cfRule>
    <cfRule type="cellIs" dxfId="4" priority="83" stopIfTrue="1" operator="equal">
      <formula>"TBD"</formula>
    </cfRule>
    <cfRule type="cellIs" dxfId="3" priority="85" stopIfTrue="1" operator="equal">
      <formula>0</formula>
    </cfRule>
  </conditionalFormatting>
  <conditionalFormatting sqref="U23:U24">
    <cfRule type="cellIs" dxfId="2" priority="79" stopIfTrue="1" operator="equal">
      <formula>0</formula>
    </cfRule>
    <cfRule type="cellIs" dxfId="1" priority="78" stopIfTrue="1" operator="notEqual">
      <formula>0</formula>
    </cfRule>
    <cfRule type="cellIs" dxfId="0" priority="77" stopIfTrue="1" operator="equal">
      <formula>"TBD"</formula>
    </cfRule>
  </conditionalFormatting>
  <hyperlinks>
    <hyperlink ref="H8" r:id="rId1" xr:uid="{53042502-A34C-4561-AA36-70B4CD9D2B2A}"/>
    <hyperlink ref="H23" r:id="rId2" xr:uid="{6459A1DC-8829-4B84-B256-E5427076AE79}"/>
    <hyperlink ref="H11" r:id="rId3" xr:uid="{0548B860-A44B-4246-8B80-76BC674AD55F}"/>
    <hyperlink ref="H17" r:id="rId4" xr:uid="{533C0905-E41A-4BB0-8B8A-13286B6A4035}"/>
    <hyperlink ref="H20" r:id="rId5" xr:uid="{0D0A178B-2859-48D5-806C-E797EE8C3969}"/>
    <hyperlink ref="H26" r:id="rId6" xr:uid="{311166E0-5FA4-4A9B-B4C2-ACA5E35480A9}"/>
    <hyperlink ref="H21" r:id="rId7" xr:uid="{2F775FF8-1E3E-4D30-A3D5-FDD32EEE996B}"/>
    <hyperlink ref="H24" r:id="rId8" xr:uid="{2CD77FA6-C89F-495A-B2B8-0B7BE2A1C0C5}"/>
    <hyperlink ref="H27" r:id="rId9" xr:uid="{9E055B21-4590-4B86-928B-F73266348DA0}"/>
    <hyperlink ref="H28" r:id="rId10" xr:uid="{4A3B3DA3-94B4-4FFB-A051-E42E20070661}"/>
    <hyperlink ref="H12" r:id="rId11" xr:uid="{163EA155-2801-466A-8967-7F1A7627FFDD}"/>
    <hyperlink ref="H18" r:id="rId12" xr:uid="{8453AA58-CF62-48A9-9811-DC586F5F4C1F}"/>
  </hyperlinks>
  <pageMargins left="0.7" right="0.7" top="0.75" bottom="0.75" header="0.3" footer="0.3"/>
  <pageSetup scale="28" orientation="landscape" r:id="rId13"/>
  <tableParts count="1"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1. PA and EPA</vt:lpstr>
      <vt:lpstr>2. State Categorical</vt:lpstr>
      <vt:lpstr>3. Lottery</vt:lpstr>
      <vt:lpstr>4. Federal Programs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EstCashFlow4-25: Select Programs</dc:title>
  <dc:subject>Estimated Cash Flow for select programs for fiscal year 2025-26.</dc:subject>
  <dc:creator/>
  <cp:keywords/>
  <dc:description/>
  <cp:lastModifiedBy/>
  <cp:revision>1</cp:revision>
  <dcterms:created xsi:type="dcterms:W3CDTF">2025-10-29T17:49:51Z</dcterms:created>
  <dcterms:modified xsi:type="dcterms:W3CDTF">2025-10-31T00:34:39Z</dcterms:modified>
  <cp:category/>
  <cp:contentStatus/>
</cp:coreProperties>
</file>