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93C8DE46-4B69-4989-873B-A9AC0B2AD90C}" xr6:coauthVersionLast="47" xr6:coauthVersionMax="47" xr10:uidLastSave="{00000000-0000-0000-0000-000000000000}"/>
  <bookViews>
    <workbookView xWindow="28890" yWindow="2100" windowWidth="28515" windowHeight="11805" tabRatio="856" xr2:uid="{00000000-000D-0000-FFFF-FFFF00000000}"/>
  </bookViews>
  <sheets>
    <sheet name="County Totals" sheetId="65" r:id="rId1"/>
    <sheet name="Alameda" sheetId="13" r:id="rId2"/>
    <sheet name="Kern" sheetId="81" r:id="rId3"/>
    <sheet name="Los Angeles" sheetId="80" r:id="rId4"/>
    <sheet name="Riverside" sheetId="83" r:id="rId5"/>
    <sheet name="Sacramento" sheetId="71" r:id="rId6"/>
    <sheet name="San Diego" sheetId="74" r:id="rId7"/>
  </sheets>
  <definedNames>
    <definedName name="Alameda">Table2[]</definedName>
    <definedName name="Placer">#REF!</definedName>
    <definedName name="TableAlameda">Table2[]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71" l="1"/>
  <c r="T5" i="71"/>
  <c r="T7" i="65"/>
  <c r="F8" i="65"/>
  <c r="E8" i="65"/>
  <c r="E6" i="65"/>
  <c r="S5" i="83"/>
  <c r="S8" i="65" s="1"/>
  <c r="R5" i="83"/>
  <c r="R8" i="65" s="1"/>
  <c r="Q5" i="83"/>
  <c r="Q8" i="65" s="1"/>
  <c r="P5" i="83"/>
  <c r="P8" i="65" s="1"/>
  <c r="O5" i="83"/>
  <c r="O8" i="65" s="1"/>
  <c r="N5" i="83"/>
  <c r="N8" i="65" s="1"/>
  <c r="M5" i="83"/>
  <c r="M8" i="65" s="1"/>
  <c r="L5" i="83"/>
  <c r="L8" i="65" s="1"/>
  <c r="K5" i="83"/>
  <c r="K8" i="65" s="1"/>
  <c r="J5" i="83"/>
  <c r="J8" i="65" s="1"/>
  <c r="I5" i="83"/>
  <c r="I8" i="65" s="1"/>
  <c r="H5" i="83"/>
  <c r="H8" i="65" s="1"/>
  <c r="G5" i="83"/>
  <c r="G8" i="65" s="1"/>
  <c r="F5" i="83"/>
  <c r="E5" i="83"/>
  <c r="T4" i="83"/>
  <c r="T5" i="83" s="1"/>
  <c r="S5" i="81"/>
  <c r="S6" i="65" s="1"/>
  <c r="R5" i="81"/>
  <c r="R6" i="65" s="1"/>
  <c r="Q5" i="81"/>
  <c r="Q6" i="65" s="1"/>
  <c r="P5" i="81"/>
  <c r="P6" i="65" s="1"/>
  <c r="O5" i="81"/>
  <c r="O6" i="65" s="1"/>
  <c r="N5" i="81"/>
  <c r="N6" i="65" s="1"/>
  <c r="M5" i="81"/>
  <c r="M6" i="65" s="1"/>
  <c r="L5" i="81"/>
  <c r="L6" i="65" s="1"/>
  <c r="K5" i="81"/>
  <c r="K6" i="65" s="1"/>
  <c r="J5" i="81"/>
  <c r="J6" i="65" s="1"/>
  <c r="I5" i="81"/>
  <c r="I6" i="65" s="1"/>
  <c r="H5" i="81"/>
  <c r="H6" i="65" s="1"/>
  <c r="G5" i="81"/>
  <c r="G6" i="65" s="1"/>
  <c r="F5" i="81"/>
  <c r="F6" i="65" s="1"/>
  <c r="E5" i="81"/>
  <c r="T4" i="81"/>
  <c r="T5" i="81" s="1"/>
  <c r="T8" i="65" l="1"/>
  <c r="T6" i="65"/>
  <c r="B11" i="65"/>
  <c r="C11" i="65"/>
  <c r="T4" i="80" l="1"/>
  <c r="S5" i="80"/>
  <c r="R5" i="80"/>
  <c r="Q5" i="80"/>
  <c r="P5" i="80"/>
  <c r="O5" i="80"/>
  <c r="N5" i="80"/>
  <c r="M5" i="80"/>
  <c r="L5" i="80"/>
  <c r="K5" i="80"/>
  <c r="J5" i="80"/>
  <c r="I5" i="80"/>
  <c r="H5" i="80"/>
  <c r="G5" i="80"/>
  <c r="F5" i="80"/>
  <c r="E5" i="80"/>
  <c r="T5" i="80" l="1"/>
  <c r="S6" i="74" l="1"/>
  <c r="S10" i="65" s="1"/>
  <c r="R6" i="74"/>
  <c r="R10" i="65" s="1"/>
  <c r="Q6" i="74"/>
  <c r="Q10" i="65" s="1"/>
  <c r="P6" i="74"/>
  <c r="P10" i="65" s="1"/>
  <c r="O6" i="74"/>
  <c r="O10" i="65" s="1"/>
  <c r="N6" i="74"/>
  <c r="N10" i="65" s="1"/>
  <c r="M6" i="74"/>
  <c r="M10" i="65" s="1"/>
  <c r="L6" i="74"/>
  <c r="L10" i="65" s="1"/>
  <c r="K6" i="74"/>
  <c r="K10" i="65" s="1"/>
  <c r="J6" i="74"/>
  <c r="J10" i="65" s="1"/>
  <c r="I6" i="74"/>
  <c r="I10" i="65" s="1"/>
  <c r="H6" i="74"/>
  <c r="H10" i="65" s="1"/>
  <c r="G6" i="74"/>
  <c r="G10" i="65" s="1"/>
  <c r="F6" i="74"/>
  <c r="F10" i="65" s="1"/>
  <c r="E6" i="74"/>
  <c r="E10" i="65" s="1"/>
  <c r="T5" i="74"/>
  <c r="T4" i="74"/>
  <c r="S6" i="71"/>
  <c r="S9" i="65" s="1"/>
  <c r="R6" i="71"/>
  <c r="R9" i="65" s="1"/>
  <c r="Q6" i="71"/>
  <c r="Q9" i="65" s="1"/>
  <c r="P6" i="71"/>
  <c r="P9" i="65" s="1"/>
  <c r="O6" i="71"/>
  <c r="O9" i="65" s="1"/>
  <c r="N6" i="71"/>
  <c r="N9" i="65" s="1"/>
  <c r="M6" i="71"/>
  <c r="M9" i="65" s="1"/>
  <c r="L6" i="71"/>
  <c r="L9" i="65" s="1"/>
  <c r="K6" i="71"/>
  <c r="K9" i="65" s="1"/>
  <c r="J6" i="71"/>
  <c r="J9" i="65" s="1"/>
  <c r="I6" i="71"/>
  <c r="I9" i="65" s="1"/>
  <c r="H6" i="71"/>
  <c r="H9" i="65" s="1"/>
  <c r="G6" i="71"/>
  <c r="G9" i="65" s="1"/>
  <c r="F6" i="71"/>
  <c r="E6" i="71"/>
  <c r="E9" i="65" s="1"/>
  <c r="T10" i="65" l="1"/>
  <c r="F9" i="65"/>
  <c r="T9" i="65" s="1"/>
  <c r="T6" i="74"/>
  <c r="T6" i="71"/>
  <c r="T4" i="13" l="1"/>
  <c r="N5" i="13"/>
  <c r="N5" i="65" s="1"/>
  <c r="J5" i="13"/>
  <c r="J5" i="65" s="1"/>
  <c r="H5" i="13"/>
  <c r="H5" i="65" s="1"/>
  <c r="N11" i="65" l="1"/>
  <c r="H11" i="65"/>
  <c r="J11" i="65"/>
  <c r="T5" i="13" l="1"/>
  <c r="S5" i="13" l="1"/>
  <c r="S5" i="65" s="1"/>
  <c r="G5" i="13"/>
  <c r="G5" i="65" s="1"/>
  <c r="E5" i="13" l="1"/>
  <c r="E5" i="65" s="1"/>
  <c r="F5" i="13"/>
  <c r="F5" i="65" s="1"/>
  <c r="I5" i="13"/>
  <c r="I5" i="65" s="1"/>
  <c r="I11" i="65" s="1"/>
  <c r="K5" i="13"/>
  <c r="K5" i="65" s="1"/>
  <c r="L5" i="13"/>
  <c r="L5" i="65" s="1"/>
  <c r="M5" i="13"/>
  <c r="M5" i="65" s="1"/>
  <c r="M11" i="65" s="1"/>
  <c r="O5" i="13"/>
  <c r="O5" i="65" s="1"/>
  <c r="P5" i="13"/>
  <c r="P5" i="65" s="1"/>
  <c r="Q5" i="13"/>
  <c r="Q5" i="65" s="1"/>
  <c r="R5" i="13"/>
  <c r="R5" i="65" s="1"/>
  <c r="T5" i="65" l="1"/>
  <c r="T11" i="65" s="1"/>
  <c r="O11" i="65"/>
  <c r="P11" i="65"/>
  <c r="E11" i="65"/>
  <c r="L11" i="65"/>
  <c r="S11" i="65"/>
  <c r="G11" i="65"/>
  <c r="R11" i="65"/>
  <c r="F11" i="65"/>
  <c r="Q11" i="65"/>
  <c r="K11" i="65"/>
</calcChain>
</file>

<file path=xl/sharedStrings.xml><?xml version="1.0" encoding="utf-8"?>
<sst xmlns="http://schemas.openxmlformats.org/spreadsheetml/2006/main" count="212" uniqueCount="66">
  <si>
    <t>Alameda</t>
  </si>
  <si>
    <t>Sacramento</t>
  </si>
  <si>
    <t>San Diego</t>
  </si>
  <si>
    <t>California Department of Education</t>
  </si>
  <si>
    <t>Participating Counties</t>
  </si>
  <si>
    <t>Participating Schools Total</t>
  </si>
  <si>
    <t>Participating Districts Total</t>
  </si>
  <si>
    <t>Participating Districts</t>
  </si>
  <si>
    <t>Participating Schools</t>
  </si>
  <si>
    <t>Total: 1</t>
  </si>
  <si>
    <t>Total: 2</t>
  </si>
  <si>
    <t>Total Seals per LEA</t>
  </si>
  <si>
    <t>Participating School(s)</t>
  </si>
  <si>
    <t>1</t>
  </si>
  <si>
    <t>Fremont Unified School District</t>
  </si>
  <si>
    <t>Language(s) in Which Students Participated</t>
  </si>
  <si>
    <t>Preschool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</si>
  <si>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</si>
  <si>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</si>
  <si>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</si>
  <si>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</si>
  <si>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</si>
  <si>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</si>
  <si>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</si>
  <si>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</si>
  <si>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</si>
  <si>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</si>
  <si>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</si>
  <si>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</si>
  <si>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 xml:space="preserve">Grade 11 </t>
  </si>
  <si>
    <t>Grade 12</t>
  </si>
  <si>
    <t>Grade 11</t>
  </si>
  <si>
    <t>World language or Multilingual Programs in which Participanting Students  Are Enrolled</t>
  </si>
  <si>
    <t>Participant Total</t>
  </si>
  <si>
    <t>Spanish</t>
  </si>
  <si>
    <t>Kavod Charter School</t>
  </si>
  <si>
    <t>Hebrew</t>
  </si>
  <si>
    <t>Dual language immersion (two-way immersion)</t>
  </si>
  <si>
    <t>World language classes (including Foreign Language Elementary Experience [FLEX] or Foreign Language in Elementary Schools [FLES])</t>
  </si>
  <si>
    <t>World language classes (including Foreign Language Elementary Experience [FLEX] or Foreign Language in Elementary Schools [FLES]); Heritage language program</t>
  </si>
  <si>
    <t>Language(s)</t>
  </si>
  <si>
    <t>San Diego Unified School District</t>
  </si>
  <si>
    <t>Kern</t>
  </si>
  <si>
    <t>Riverside</t>
  </si>
  <si>
    <t>Lilia Bringhurst Elementary; John Blacow Elementary</t>
  </si>
  <si>
    <t>Chinese (Mandarin or Cantonese); Spanish</t>
  </si>
  <si>
    <t>French</t>
  </si>
  <si>
    <t>Hemet Unified School District</t>
  </si>
  <si>
    <t>Leonardo da Vinci Health Sciences Charter School</t>
  </si>
  <si>
    <t>2</t>
  </si>
  <si>
    <t>Hebrew; Spanish</t>
  </si>
  <si>
    <t>2024–25 World Language Reading Challenge: List of Participating Counties, Districts, and Schools</t>
  </si>
  <si>
    <t>Los Angeles</t>
  </si>
  <si>
    <t>EF Academy Pasadena</t>
  </si>
  <si>
    <t>Natomas Charter School</t>
  </si>
  <si>
    <t>San Juan Unified School District</t>
  </si>
  <si>
    <t>Encina High School</t>
  </si>
  <si>
    <t>Lamont Elementary School District</t>
  </si>
  <si>
    <t>Alicante Ave. Elementary School; Myrtle Ave. Elementary School; Lamont Elementary School; Mountain View Middle School</t>
  </si>
  <si>
    <t>4</t>
  </si>
  <si>
    <t>Total: 6</t>
  </si>
  <si>
    <t>Diamond Valley Middle School; Hemet Dual Language Academy; Rancho Viejo Middle School; Tahquitz High School</t>
  </si>
  <si>
    <t>World language classes (including Foreign Language Elementary Experience [FLEX] or Foreign Language in Elementary Schools [FLES]); Dual language immersion (two-way immersion)</t>
  </si>
  <si>
    <t>8</t>
  </si>
  <si>
    <t>World language or Multilingual Programs in which Participanting Students Are Enrolled</t>
  </si>
  <si>
    <t>LEA =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</si>
</sst>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slantDashDot">
        <color rgb="FF00206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6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3" applyNumberFormat="0" applyAlignment="0" applyProtection="0"/>
    <xf numFmtId="0" fontId="8" fillId="6" borderId="4" applyNumberFormat="0" applyAlignment="0" applyProtection="0"/>
    <xf numFmtId="0" fontId="9" fillId="6" borderId="3" applyNumberFormat="0" applyAlignment="0" applyProtection="0"/>
    <xf numFmtId="0" fontId="10" fillId="0" borderId="5" applyNumberFormat="0" applyFill="0" applyAlignment="0" applyProtection="0"/>
    <xf numFmtId="0" fontId="11" fillId="7" borderId="6" applyNumberFormat="0" applyAlignment="0" applyProtection="0"/>
    <xf numFmtId="0" fontId="12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0" xfId="0" applyNumberFormat="1"/>
    <xf numFmtId="3" fontId="0" fillId="0" borderId="9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 applyAlignment="1">
      <alignment wrapText="1"/>
    </xf>
    <xf numFmtId="0" fontId="17" fillId="0" borderId="0" xfId="2"/>
    <xf numFmtId="3" fontId="0" fillId="0" borderId="0" xfId="0" applyNumberFormat="1" applyAlignment="1">
      <alignment horizontal="right"/>
    </xf>
    <xf numFmtId="0" fontId="17" fillId="0" borderId="0" xfId="2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16" fillId="0" borderId="0" xfId="3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3" fontId="0" fillId="0" borderId="15" xfId="0" applyNumberFormat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right" wrapText="1"/>
    </xf>
    <xf numFmtId="0" fontId="0" fillId="35" borderId="17" xfId="0" applyFill="1" applyBorder="1" applyAlignment="1">
      <alignment horizontal="right" wrapText="1"/>
    </xf>
    <xf numFmtId="3" fontId="0" fillId="0" borderId="17" xfId="0" applyNumberFormat="1" applyBorder="1"/>
    <xf numFmtId="3" fontId="0" fillId="0" borderId="18" xfId="0" applyNumberFormat="1" applyBorder="1"/>
    <xf numFmtId="0" fontId="0" fillId="0" borderId="10" xfId="0" applyBorder="1" applyAlignment="1">
      <alignment vertical="center" wrapText="1"/>
    </xf>
    <xf numFmtId="3" fontId="0" fillId="0" borderId="15" xfId="0" applyNumberFormat="1" applyBorder="1" applyAlignment="1">
      <alignment vertical="center"/>
    </xf>
    <xf numFmtId="0" fontId="0" fillId="0" borderId="16" xfId="0" applyBorder="1"/>
    <xf numFmtId="0" fontId="0" fillId="34" borderId="17" xfId="0" applyFill="1" applyBorder="1"/>
    <xf numFmtId="0" fontId="0" fillId="34" borderId="17" xfId="0" applyFill="1" applyBorder="1" applyAlignment="1">
      <alignment horizontal="right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35" borderId="17" xfId="0" applyFill="1" applyBorder="1"/>
    <xf numFmtId="0" fontId="0" fillId="0" borderId="15" xfId="0" applyBorder="1" applyAlignment="1">
      <alignment vertical="center"/>
    </xf>
    <xf numFmtId="0" fontId="16" fillId="0" borderId="0" xfId="3" applyBorder="1"/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 wrapText="1"/>
    </xf>
    <xf numFmtId="0" fontId="0" fillId="35" borderId="17" xfId="0" applyFill="1" applyBorder="1" applyAlignment="1">
      <alignment horizontal="right" vertical="center" wrapText="1"/>
    </xf>
    <xf numFmtId="3" fontId="0" fillId="0" borderId="17" xfId="0" applyNumberFormat="1" applyBorder="1" applyAlignment="1">
      <alignment vertical="center"/>
    </xf>
    <xf numFmtId="3" fontId="0" fillId="0" borderId="18" xfId="0" applyNumberFormat="1" applyBorder="1" applyAlignment="1">
      <alignment vertical="center"/>
    </xf>
    <xf numFmtId="14" fontId="0" fillId="0" borderId="0" xfId="0" applyNumberFormat="1" applyAlignment="1" applyProtection="1">
      <alignment horizontal="left"/>
      <protection locked="0"/>
    </xf>
    <xf numFmtId="3" fontId="0" fillId="0" borderId="9" xfId="0" applyNumberFormat="1" applyBorder="1" applyAlignment="1">
      <alignment horizontal="right"/>
    </xf>
    <xf numFmtId="3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" formatCode="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6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righ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 tint="-0.1499984740745262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general" vertical="center" textRotation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alignment horizontal="general" vertic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alignment vertical="center" textRotation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indent="0" justifyLastLine="0" shrinkToFit="0" readingOrder="0"/>
    </dxf>
    <dxf>
      <border>
        <bottom style="thin">
          <color auto="1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protection locked="0" hidden="0"/>
    </dxf>
    <dxf>
      <protection locked="0" hidden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0" displayName="Table30" ref="A4:T11" totalsRowCount="1" headerRowDxfId="322">
  <autoFilter ref="A4:T10" xr:uid="{00000000-0009-0000-0100-000003000000}"/>
  <tableColumns count="20">
    <tableColumn id="1" xr3:uid="{00000000-0010-0000-0000-000001000000}" name="Participating Counties" totalsRowLabel="Total: 6" dataDxfId="321" totalsRowDxfId="320"/>
    <tableColumn id="14" xr3:uid="{00000000-0010-0000-0000-00000E000000}" name="Participating Districts Total" totalsRowFunction="sum" dataDxfId="319" totalsRowDxfId="318"/>
    <tableColumn id="2" xr3:uid="{00000000-0010-0000-0000-000002000000}" name="Participating Schools Total" totalsRowFunction="sum" dataDxfId="317" totalsRowDxfId="316"/>
    <tableColumn id="12" xr3:uid="{A4D8DFF0-FE6D-4A2A-8D0B-CE669BC323BA}" name="Language(s)" totalsRowLabel="8" dataDxfId="315" totalsRowDxfId="314"/>
    <tableColumn id="3" xr3:uid="{00000000-0010-0000-0000-000003000000}" name="Preschool" totalsRowFunction="sum" dataDxfId="313" totalsRowDxfId="312"/>
    <tableColumn id="16" xr3:uid="{00000000-0010-0000-0000-000010000000}" name="Prekindergarten" totalsRowFunction="custom" dataDxfId="311" totalsRowDxfId="310">
      <totalsRowFormula>SUM(Table30[Prekindergarten])</totalsRowFormula>
    </tableColumn>
    <tableColumn id="4" xr3:uid="{00000000-0010-0000-0000-000004000000}" name="Kindergarten" totalsRowFunction="custom" dataDxfId="309" totalsRowDxfId="308">
      <totalsRowFormula>SUM(Table30[Kindergarten])</totalsRowFormula>
    </tableColumn>
    <tableColumn id="25" xr3:uid="{2ABA664A-E8B0-4D22-8437-B4C70F95B82A}" name="Grade 1" totalsRowFunction="sum" dataDxfId="307" totalsRowDxfId="306"/>
    <tableColumn id="20" xr3:uid="{A914807D-E889-483A-ADDF-BE02EB53BF33}" name="Grade 2" totalsRowFunction="sum" dataDxfId="305" totalsRowDxfId="304"/>
    <tableColumn id="26" xr3:uid="{FD98A12A-0143-4242-81A3-34C677FE4A71}" name="Grade 3" totalsRowFunction="sum" dataDxfId="303" totalsRowDxfId="302"/>
    <tableColumn id="5" xr3:uid="{00000000-0010-0000-0000-000005000000}" name="Grade 4" totalsRowFunction="custom" dataDxfId="301" totalsRowDxfId="300">
      <totalsRowFormula>SUM(Table30[Grade 4])</totalsRowFormula>
    </tableColumn>
    <tableColumn id="6" xr3:uid="{00000000-0010-0000-0000-000006000000}" name="Grade 5" totalsRowFunction="custom" dataDxfId="299" totalsRowDxfId="298">
      <totalsRowFormula>SUM(Table30[Grade 5])</totalsRowFormula>
    </tableColumn>
    <tableColumn id="21" xr3:uid="{19C03BA0-B38D-45F2-A2EC-57BEF06FBF1E}" name="Grade 6" totalsRowFunction="sum" dataDxfId="297" totalsRowDxfId="296"/>
    <tableColumn id="27" xr3:uid="{ADEA0ECF-F7AA-4A76-8A5B-51ACF45FB2EB}" name="Grade 7" totalsRowFunction="sum" dataDxfId="295" totalsRowDxfId="294"/>
    <tableColumn id="19" xr3:uid="{00000000-0010-0000-0000-000013000000}" name="Grade 8" totalsRowFunction="sum" dataDxfId="293" totalsRowDxfId="292"/>
    <tableColumn id="17" xr3:uid="{00000000-0010-0000-0000-000011000000}" name="Grade 9" totalsRowFunction="custom" dataDxfId="291" totalsRowDxfId="290">
      <totalsRowFormula>SUM(Table30[Grade 9])</totalsRowFormula>
    </tableColumn>
    <tableColumn id="7" xr3:uid="{00000000-0010-0000-0000-000007000000}" name="Grade 10" totalsRowFunction="custom" dataDxfId="289" totalsRowDxfId="288">
      <totalsRowFormula>SUM(Table30[Grade 10])</totalsRowFormula>
    </tableColumn>
    <tableColumn id="8" xr3:uid="{00000000-0010-0000-0000-000008000000}" name="Grade 11" totalsRowFunction="custom" dataDxfId="287" totalsRowDxfId="286">
      <totalsRowFormula>SUM(Table30[Grade 11])</totalsRowFormula>
    </tableColumn>
    <tableColumn id="10" xr3:uid="{00000000-0010-0000-0000-00000A000000}" name="Grade 12" totalsRowFunction="custom" dataDxfId="285" totalsRowDxfId="284">
      <totalsRowFormula>SUM(Table30[Grade 12])</totalsRowFormula>
    </tableColumn>
    <tableColumn id="15" xr3:uid="{00000000-0010-0000-0000-00000F000000}" name="Participant Total" totalsRowFunction="custom" dataDxfId="283" totalsRowDxfId="282">
      <calculatedColumnFormula>SUM(E5:S5)</calculatedColumnFormula>
      <totalsRowFormula>SUM(Table30[Participant Total])</totalsRow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3 World Languag Reading Challenge and also includes language totals for every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:T5" totalsRowCount="1" headerRowDxfId="281" dataDxfId="279" totalsRowDxfId="277" headerRowBorderDxfId="280" tableBorderDxfId="278" totalsRowBorderDxfId="276">
  <autoFilter ref="A3:T4" xr:uid="{00000000-0009-0000-0100-000002000000}"/>
  <tableColumns count="20">
    <tableColumn id="1" xr3:uid="{00000000-0010-0000-0100-000001000000}" name="Participating Districts" totalsRowLabel="Total: 1" dataDxfId="275" totalsRowDxfId="274"/>
    <tableColumn id="2" xr3:uid="{00000000-0010-0000-0100-000002000000}" name="Participating School(s)" totalsRowLabel="2" dataDxfId="273" totalsRowDxfId="272"/>
    <tableColumn id="29" xr3:uid="{6FC0C9AA-F1F8-45D4-9B76-825AD550C650}" name="World language or Multilingual Programs in which Participanting Students Are Enrolled" dataDxfId="271" totalsRowDxfId="270"/>
    <tableColumn id="31" xr3:uid="{F13622D4-CF31-4ECE-8BCF-EAFE29D39AC4}" name="Language(s) in Which Students Participated" dataDxfId="269" totalsRowDxfId="268"/>
    <tableColumn id="18" xr3:uid="{00000000-0010-0000-0100-000012000000}" name="Preschool" totalsRowFunction="sum" dataDxfId="267" totalsRowDxfId="266"/>
    <tableColumn id="3" xr3:uid="{00000000-0010-0000-0100-000003000000}" name="Prekindergarten" totalsRowFunction="sum" dataDxfId="265" totalsRowDxfId="264"/>
    <tableColumn id="4" xr3:uid="{FE2F6E01-73F4-424C-8ACE-4A11F3162658}" name="Kindergarten" totalsRowFunction="sum" dataDxfId="263" totalsRowDxfId="262"/>
    <tableColumn id="22" xr3:uid="{68588E7F-EAC1-4BD0-89C2-DBEB76379895}" name="Grade 1" totalsRowFunction="sum" dataDxfId="261" totalsRowDxfId="260"/>
    <tableColumn id="5" xr3:uid="{00000000-0010-0000-0100-000005000000}" name="Grade 2" totalsRowFunction="sum" dataDxfId="259" totalsRowDxfId="258"/>
    <tableColumn id="23" xr3:uid="{EC6BF2CA-0884-4BC9-B838-B5B7C4EAACF5}" name="Grade 3" totalsRowFunction="sum" dataDxfId="257" totalsRowDxfId="256"/>
    <tableColumn id="6" xr3:uid="{00000000-0010-0000-0100-000006000000}" name="Grade 4" totalsRowFunction="sum" dataDxfId="255" totalsRowDxfId="254"/>
    <tableColumn id="7" xr3:uid="{00000000-0010-0000-0100-000007000000}" name="Grade 5" totalsRowFunction="sum" dataDxfId="253" totalsRowDxfId="252"/>
    <tableColumn id="8" xr3:uid="{00000000-0010-0000-0100-000008000000}" name="Grade 6" totalsRowFunction="sum" dataDxfId="251" totalsRowDxfId="250"/>
    <tableColumn id="24" xr3:uid="{6D0987A4-A6BE-4FEE-ACC7-93A5B421239B}" name="Grade 7" totalsRowFunction="sum" dataDxfId="249" totalsRowDxfId="248"/>
    <tableColumn id="9" xr3:uid="{00000000-0010-0000-0100-000009000000}" name="Grade 8" totalsRowFunction="sum" dataDxfId="247" totalsRowDxfId="246"/>
    <tableColumn id="10" xr3:uid="{00000000-0010-0000-0100-00000A000000}" name="Grade 9" totalsRowFunction="sum" dataDxfId="245" totalsRowDxfId="244"/>
    <tableColumn id="11" xr3:uid="{00000000-0010-0000-0100-00000B000000}" name="Grade 10" totalsRowFunction="sum" dataDxfId="243" totalsRowDxfId="242"/>
    <tableColumn id="12" xr3:uid="{00000000-0010-0000-0100-00000C000000}" name="Grade 11 " totalsRowFunction="sum" dataDxfId="241" totalsRowDxfId="240"/>
    <tableColumn id="19" xr3:uid="{3AB27456-C8A0-4F84-97A2-9B65B872BC68}" name="Grade 12" totalsRowFunction="sum" dataDxfId="239" totalsRowDxfId="238"/>
    <tableColumn id="21" xr3:uid="{E2CFAE4C-C294-4BD4-A235-4C30B9097555}" name="Total Seals per LEA" totalsRowFunction="sum" dataDxfId="237" totalsRowDxfId="236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 and school that participated in the World Language Reading Challenge in Alameda county and also includes language tota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3FD853-C96E-4AD7-B9D1-BC2F381CA1B7}" name="LosAngeles2" displayName="LosAngeles2" ref="A3:T5" totalsRowCount="1" headerRowDxfId="235" totalsRowDxfId="232" headerRowBorderDxfId="234" tableBorderDxfId="233" totalsRowBorderDxfId="231">
  <autoFilter ref="A3:T4" xr:uid="{953FD853-C96E-4AD7-B9D1-BC2F381CA1B7}"/>
  <tableColumns count="20">
    <tableColumn id="1" xr3:uid="{ACE5257B-9F1C-44FE-A5C7-B23B7C01830F}" name="Participating Districts" totalsRowLabel="Total: 1" dataDxfId="230" totalsRowDxfId="229"/>
    <tableColumn id="2" xr3:uid="{5F45B71A-76DA-4E9C-8E7A-40817314900E}" name="Participating Schools" totalsRowLabel="4" dataDxfId="228" totalsRowDxfId="227"/>
    <tableColumn id="12" xr3:uid="{A2987886-111A-4863-8DA0-5DD9F3F97B67}" name="World language or Multilingual Programs in which Participanting Students  Are Enrolled" dataDxfId="226" totalsRowDxfId="225"/>
    <tableColumn id="29" xr3:uid="{340CE770-4519-4BF5-BB1D-29AAC56F58AA}" name="Language(s) in Which Students Participated" dataDxfId="224" totalsRowDxfId="223"/>
    <tableColumn id="3" xr3:uid="{B48C2263-4860-4147-8922-F45848C3D1F0}" name="Preschool" totalsRowFunction="sum" dataDxfId="222" totalsRowDxfId="221"/>
    <tableColumn id="4" xr3:uid="{78794725-591F-459A-A372-A53A39A1DBE5}" name="Prekindergarten" totalsRowFunction="sum" dataDxfId="220" totalsRowDxfId="219"/>
    <tableColumn id="5" xr3:uid="{33A0E6A3-701B-4CB4-93E8-53DDE3C55F26}" name="Kindergarten" totalsRowFunction="sum" dataDxfId="218" totalsRowDxfId="217"/>
    <tableColumn id="22" xr3:uid="{3FD9DE2C-958C-4CC2-B73B-0CEC0877A6AE}" name="Grade 1" totalsRowFunction="sum" dataDxfId="216" totalsRowDxfId="215"/>
    <tableColumn id="18" xr3:uid="{E6909440-B04D-4FD8-9E5F-CDFE21F588C2}" name="Grade 2" totalsRowFunction="sum" dataDxfId="214" totalsRowDxfId="213"/>
    <tableColumn id="23" xr3:uid="{1FC3BA1A-0ABC-4A90-9C11-36F73557A1F2}" name="Grade 3" totalsRowFunction="sum" dataDxfId="212" totalsRowDxfId="211"/>
    <tableColumn id="6" xr3:uid="{7A6E3D76-6E96-4AD4-BC15-99FA0117BCCF}" name="Grade 4" totalsRowFunction="sum" dataDxfId="210" totalsRowDxfId="209"/>
    <tableColumn id="7" xr3:uid="{B4762C5E-AD7A-40CF-AB28-8974EB1E1860}" name="Grade 5" totalsRowFunction="sum" dataDxfId="208" totalsRowDxfId="207"/>
    <tableColumn id="19" xr3:uid="{B509DC12-142C-43CD-9960-E4A2E77BF253}" name="Grade 6" totalsRowFunction="sum" dataDxfId="206" totalsRowDxfId="205"/>
    <tableColumn id="24" xr3:uid="{0C7A8574-86AC-43EA-BCF5-2FA511E30FE5}" name="Grade 7" totalsRowFunction="sum" dataDxfId="204" totalsRowDxfId="203"/>
    <tableColumn id="8" xr3:uid="{60552625-E9AA-44C7-8018-6AAAFC9DDC1C}" name="Grade 8" totalsRowFunction="sum" dataDxfId="202" totalsRowDxfId="201"/>
    <tableColumn id="9" xr3:uid="{FEE8D0EA-CE95-4057-ACA0-BF4740251474}" name="Grade 9" totalsRowFunction="sum" dataDxfId="200" totalsRowDxfId="199"/>
    <tableColumn id="10" xr3:uid="{5D825EDE-E8E5-4B78-A648-8D44992C8108}" name="Grade 10" totalsRowFunction="sum" dataDxfId="198" totalsRowDxfId="197"/>
    <tableColumn id="11" xr3:uid="{B1FD2160-BABB-4D56-8E46-C83AE9CBE430}" name="Grade 11 " totalsRowFunction="sum" dataDxfId="196" totalsRowDxfId="195"/>
    <tableColumn id="13" xr3:uid="{3B8FA592-0FF8-4C12-81E0-583F5E0DD808}" name="Grade 12" totalsRowFunction="sum" dataDxfId="194" totalsRowDxfId="193"/>
    <tableColumn id="21" xr3:uid="{3F15E469-9D56-4925-9EE4-53B8856964B1}" name="Total Seals per LEA" totalsRowFunction="sum" dataDxfId="192" totalsRowDxfId="191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 and school that participated in the World Language Reading Challenge in Los Angeles county and also includes language tota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C5477BE-B9B3-4202-A3B4-5FFAD85A8F16}" name="SantaClara" displayName="SantaClara" ref="A3:T5" totalsRowCount="1" headerRowDxfId="190" dataDxfId="188" totalsRowDxfId="186" headerRowBorderDxfId="189" tableBorderDxfId="187" totalsRowBorderDxfId="185">
  <autoFilter ref="A3:T4" xr:uid="{00000000-0009-0000-0100-00001C000000}"/>
  <tableColumns count="20">
    <tableColumn id="1" xr3:uid="{6A35D1B6-113F-4BE4-AB12-613E05F3ED6A}" name="Participating Districts" totalsRowLabel="Total: 1" dataDxfId="184" totalsRowDxfId="183"/>
    <tableColumn id="2" xr3:uid="{32BA76DA-08D0-466D-A15C-C61AE5329859}" name="Participating Schools" totalsRowLabel="1" dataDxfId="182" totalsRowDxfId="181"/>
    <tableColumn id="28" xr3:uid="{BBF3ED54-B630-4136-B293-2B5325DAA19D}" name="World language or Multilingual Programs in which Participanting Students  Are Enrolled" dataDxfId="180" totalsRowDxfId="179"/>
    <tableColumn id="27" xr3:uid="{EE6878AA-190C-4444-B250-B07A34607DA8}" name="Language(s) in Which Students Participated" dataDxfId="178" totalsRowDxfId="177"/>
    <tableColumn id="3" xr3:uid="{41640DEB-EEA1-402B-B942-F642585D9C7F}" name="Preschool" totalsRowFunction="sum" dataDxfId="176" totalsRowDxfId="175"/>
    <tableColumn id="4" xr3:uid="{8B650BD0-9F29-4BF8-922B-F0138D10DA5E}" name="Prekindergarten" totalsRowFunction="sum" dataDxfId="174" totalsRowDxfId="173"/>
    <tableColumn id="5" xr3:uid="{7B4E8775-9AE1-4BF0-A583-6682F53B2741}" name="Kindergarten" totalsRowFunction="sum" dataDxfId="172" totalsRowDxfId="171"/>
    <tableColumn id="22" xr3:uid="{25AFC663-C436-4238-95BE-A708FD26184A}" name="Grade 1" totalsRowFunction="sum" dataDxfId="170" totalsRowDxfId="169"/>
    <tableColumn id="18" xr3:uid="{935C5E24-2190-4EBD-ACC1-B81AA821CC7E}" name="Grade 2" totalsRowFunction="sum" dataDxfId="168" totalsRowDxfId="167"/>
    <tableColumn id="23" xr3:uid="{E7B9F128-EA0C-4FFF-B670-E8C922ACABCA}" name="Grade 3" totalsRowFunction="sum" dataDxfId="166" totalsRowDxfId="165"/>
    <tableColumn id="6" xr3:uid="{FD204F37-5EA0-4D28-98B5-6B341512EB44}" name="Grade 4" totalsRowFunction="sum" dataDxfId="164" totalsRowDxfId="163"/>
    <tableColumn id="7" xr3:uid="{6A73990F-F73B-4C3B-93F3-974277895367}" name="Grade 5" totalsRowFunction="sum" dataDxfId="162" totalsRowDxfId="161"/>
    <tableColumn id="19" xr3:uid="{AC8FFF55-C84A-41C3-BECA-536645B72001}" name="Grade 6" totalsRowFunction="sum" dataDxfId="160" totalsRowDxfId="159"/>
    <tableColumn id="24" xr3:uid="{E53C238C-B858-4481-91DA-E5CC404105E3}" name="Grade 7" totalsRowFunction="sum" dataDxfId="158" totalsRowDxfId="157"/>
    <tableColumn id="8" xr3:uid="{A36AD90D-FD0C-4E7E-A2FB-EED20535B649}" name="Grade 8" totalsRowFunction="sum" dataDxfId="156" totalsRowDxfId="155"/>
    <tableColumn id="9" xr3:uid="{99883B74-C7D5-4688-AF34-AF14BD0CD5E9}" name="Grade 9" totalsRowFunction="sum" dataDxfId="154" totalsRowDxfId="153"/>
    <tableColumn id="10" xr3:uid="{1D475F42-FF09-4E96-B7D1-266572722EE1}" name="Grade 10" totalsRowFunction="sum" dataDxfId="152" totalsRowDxfId="151"/>
    <tableColumn id="11" xr3:uid="{90F0B3F0-EE3B-495B-BC0F-D98553B1E01F}" name="Grade 11 " totalsRowFunction="sum" dataDxfId="150" totalsRowDxfId="149"/>
    <tableColumn id="13" xr3:uid="{30EA8885-3175-4E67-8B19-2408B6DBCF1C}" name="Grade 12" totalsRowFunction="sum" dataDxfId="148" totalsRowDxfId="147"/>
    <tableColumn id="21" xr3:uid="{B36CE047-A1DC-4DBF-AFFB-4D5AF0A159CA}" name="Total Seals per LEA" totalsRowFunction="sum" dataDxfId="146" totalsRowDxfId="145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 that participated in the World Language Reading Challenge in San Mateo county and also includes language tota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BE4B17-5CDB-4804-BA29-A4A9B1292574}" name="Sacramento56" displayName="Sacramento56" ref="A3:T5" totalsRowCount="1" headerRowDxfId="144" dataDxfId="142" totalsRowDxfId="140" headerRowBorderDxfId="143" tableBorderDxfId="141" totalsRowBorderDxfId="139">
  <autoFilter ref="A3:T4" xr:uid="{0EBE4B17-5CDB-4804-BA29-A4A9B1292574}"/>
  <tableColumns count="20">
    <tableColumn id="1" xr3:uid="{C7DE8210-3861-4303-9049-B53AF83F5228}" name="Participating Districts" totalsRowLabel="Total: 1" dataDxfId="138" totalsRowDxfId="137"/>
    <tableColumn id="2" xr3:uid="{4A372886-D546-4296-B77B-F98B409C6D07}" name="Participating Schools" totalsRowLabel="4" dataDxfId="136" totalsRowDxfId="135"/>
    <tableColumn id="28" xr3:uid="{80CAE8FA-99A8-4B44-AD81-489B8775B1A7}" name="World language or Multilingual Programs in which Participanting Students  Are Enrolled" dataDxfId="134" totalsRowDxfId="133"/>
    <tableColumn id="27" xr3:uid="{8A1CD794-6ECA-4C23-A34E-A8981434BF60}" name="Language(s) in Which Students Participated" dataDxfId="132" totalsRowDxfId="131"/>
    <tableColumn id="3" xr3:uid="{8AE47333-336D-4BCF-B9BE-C6C6FD087846}" name="Preschool" totalsRowFunction="sum" dataDxfId="130" totalsRowDxfId="129"/>
    <tableColumn id="4" xr3:uid="{C03224C3-1AD8-4534-AF75-3771876F002B}" name="Prekindergarten" totalsRowFunction="sum" dataDxfId="128" totalsRowDxfId="127"/>
    <tableColumn id="5" xr3:uid="{2867917D-49B6-4358-B6CF-B0296C06A07B}" name="Kindergarten" totalsRowFunction="sum" dataDxfId="126" totalsRowDxfId="125"/>
    <tableColumn id="22" xr3:uid="{1A271DAD-6342-47BF-83F6-B60FF8AA51CF}" name="Grade 1" totalsRowFunction="sum" dataDxfId="124" totalsRowDxfId="123"/>
    <tableColumn id="18" xr3:uid="{ACDE2915-BA3E-4ED7-BB51-6854CE9F375A}" name="Grade 2" totalsRowFunction="sum" dataDxfId="122" totalsRowDxfId="121"/>
    <tableColumn id="23" xr3:uid="{F1507E93-C32C-4A96-A995-BE7E915B7299}" name="Grade 3" totalsRowFunction="sum" dataDxfId="120" totalsRowDxfId="119"/>
    <tableColumn id="6" xr3:uid="{A537A4C1-D2EA-42C4-A169-42F46F1E9466}" name="Grade 4" totalsRowFunction="sum" dataDxfId="118" totalsRowDxfId="117"/>
    <tableColumn id="7" xr3:uid="{69A7651E-CC92-4AC5-AF40-B902108BC138}" name="Grade 5" totalsRowFunction="sum" dataDxfId="116" totalsRowDxfId="115"/>
    <tableColumn id="19" xr3:uid="{86D245D8-CA1F-4E5E-B6DE-FEEA6C09D92B}" name="Grade 6" totalsRowFunction="sum" dataDxfId="114" totalsRowDxfId="113"/>
    <tableColumn id="24" xr3:uid="{F47DB194-7E9D-4E83-946B-3EDB8D3968A2}" name="Grade 7" totalsRowFunction="sum" dataDxfId="112" totalsRowDxfId="111"/>
    <tableColumn id="8" xr3:uid="{FA45CCD5-2665-4E9F-B8AD-1F23FA2A7894}" name="Grade 8" totalsRowFunction="sum" dataDxfId="110" totalsRowDxfId="109"/>
    <tableColumn id="9" xr3:uid="{61136726-9F91-49C7-9FEC-6784854BD64B}" name="Grade 9" totalsRowFunction="sum" dataDxfId="108" totalsRowDxfId="107"/>
    <tableColumn id="10" xr3:uid="{B0275154-9341-4B6D-BCF4-35FDB4098CF5}" name="Grade 10" totalsRowFunction="sum" dataDxfId="106" totalsRowDxfId="105"/>
    <tableColumn id="11" xr3:uid="{3ABE57C0-B8F1-42AA-A805-0C0E18ABD149}" name="Grade 11 " totalsRowFunction="sum" dataDxfId="104" totalsRowDxfId="103"/>
    <tableColumn id="13" xr3:uid="{7E6986C3-097D-4668-9A9F-D457D908AE03}" name="Grade 12" totalsRowFunction="sum" dataDxfId="102" totalsRowDxfId="101"/>
    <tableColumn id="21" xr3:uid="{6D3AEB07-750D-414B-9156-D9328B480F7A}" name="Total Seals per LEA" totalsRowFunction="sum" dataDxfId="100" totalsRowDxfId="99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 that participated in the World Language Reading Challenge in Sacramento county and also includes language tota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AED1D1E-BFF8-48CA-BB13-464EA4C98191}" name="Sacramento" displayName="Sacramento" ref="A3:T6" totalsRowCount="1" headerRowDxfId="98" dataDxfId="96" totalsRowDxfId="94" headerRowBorderDxfId="97" tableBorderDxfId="95" totalsRowBorderDxfId="93">
  <autoFilter ref="A3:T5" xr:uid="{00000000-0009-0000-0100-00001C000000}"/>
  <tableColumns count="20">
    <tableColumn id="1" xr3:uid="{AC47114C-30B5-4E0E-A33B-1320B0FE1953}" name="Participating Districts" totalsRowLabel="Total: 2" dataDxfId="92" totalsRowDxfId="91"/>
    <tableColumn id="2" xr3:uid="{097EE7F6-F724-447B-8A74-EE9043FBA1A5}" name="Participating Schools" totalsRowLabel="2" dataDxfId="90" totalsRowDxfId="89"/>
    <tableColumn id="28" xr3:uid="{3A18F491-A70B-4844-975B-4011875568FE}" name="World language or Multilingual Programs in which Participanting Students  Are Enrolled" dataDxfId="88" totalsRowDxfId="87"/>
    <tableColumn id="27" xr3:uid="{FFAE03BF-393C-4AFC-BC59-1D46D016C19F}" name="Language(s) in Which Students Participated" dataDxfId="86" totalsRowDxfId="85"/>
    <tableColumn id="3" xr3:uid="{F802752F-E592-4AD9-9E34-727D7B790393}" name="Preschool" totalsRowFunction="sum" dataDxfId="84" totalsRowDxfId="83"/>
    <tableColumn id="4" xr3:uid="{A87EC60C-7E8D-47D8-9988-1A3E5A0A64B3}" name="Prekindergarten" totalsRowFunction="sum" dataDxfId="82" totalsRowDxfId="81"/>
    <tableColumn id="5" xr3:uid="{2F4B4761-C9DB-4ED3-8DA6-D9CE1559611A}" name="Kindergarten" totalsRowFunction="sum" dataDxfId="80" totalsRowDxfId="79"/>
    <tableColumn id="22" xr3:uid="{40681821-56DD-48A4-B0C4-056A26916499}" name="Grade 1" totalsRowFunction="sum" dataDxfId="78" totalsRowDxfId="77"/>
    <tableColumn id="18" xr3:uid="{A284FB60-BBA9-49EF-AE0B-23497AB00F32}" name="Grade 2" totalsRowFunction="sum" dataDxfId="76" totalsRowDxfId="75"/>
    <tableColumn id="23" xr3:uid="{3D2B7CD5-38F1-4F53-B171-3329E5AF7DAC}" name="Grade 3" totalsRowFunction="sum" dataDxfId="74" totalsRowDxfId="73"/>
    <tableColumn id="6" xr3:uid="{D421053F-6BD7-49AF-80FE-2AE5672D94B7}" name="Grade 4" totalsRowFunction="sum" dataDxfId="72" totalsRowDxfId="71"/>
    <tableColumn id="7" xr3:uid="{85BF34AD-BB27-430D-9958-CB217E5F2FEB}" name="Grade 5" totalsRowFunction="sum" dataDxfId="70" totalsRowDxfId="69"/>
    <tableColumn id="19" xr3:uid="{847ED280-B5B3-407A-A1FE-8411160818FD}" name="Grade 6" totalsRowFunction="sum" dataDxfId="68" totalsRowDxfId="67"/>
    <tableColumn id="24" xr3:uid="{E8D447F7-E6B7-4063-A962-7BC5FD06357F}" name="Grade 7" totalsRowFunction="sum" dataDxfId="66" totalsRowDxfId="65"/>
    <tableColumn id="8" xr3:uid="{8B41B5F7-1B16-4C3B-BB36-8842F07E34FC}" name="Grade 8" totalsRowFunction="sum" dataDxfId="64" totalsRowDxfId="63"/>
    <tableColumn id="9" xr3:uid="{CE396192-96B5-442A-A0D4-87814E0661E5}" name="Grade 9" totalsRowFunction="sum" dataDxfId="62" totalsRowDxfId="61"/>
    <tableColumn id="10" xr3:uid="{28284205-C4B0-407D-8622-6D84A91E6970}" name="Grade 10" totalsRowFunction="sum" dataDxfId="60" totalsRowDxfId="59"/>
    <tableColumn id="11" xr3:uid="{F49DE8E9-7255-4503-B6AC-524137A086EB}" name="Grade 11 " totalsRowFunction="sum" dataDxfId="58" totalsRowDxfId="57"/>
    <tableColumn id="13" xr3:uid="{C2CB4E37-A603-47E5-AB63-114649CAC4DA}" name="Grade 12" totalsRowFunction="sum" dataDxfId="56" totalsRowDxfId="55"/>
    <tableColumn id="21" xr3:uid="{44740C32-A304-4E20-89FA-557ED033C542}" name="Total Seals per LEA" totalsRowFunction="sum" dataDxfId="54" totalsRowDxfId="53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 that participated in the World Language Reading Challenge in Sacramento county and also includes language tota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08E5206-A112-4A49-A5C0-85063BF4446C}" name="SanDiego" displayName="SanDiego" ref="A3:T6" totalsRowCount="1" headerRowDxfId="52" dataDxfId="50" totalsRowDxfId="48" headerRowBorderDxfId="51" tableBorderDxfId="49" totalsRowBorderDxfId="47">
  <autoFilter ref="A3:T5" xr:uid="{00000000-0009-0000-0100-00001C000000}"/>
  <tableColumns count="20">
    <tableColumn id="1" xr3:uid="{B53C3ABD-5675-4F02-9D6B-ECE657F4B2F9}" name="Participating Districts" totalsRowLabel="Total: 2" dataDxfId="46" totalsRowDxfId="45"/>
    <tableColumn id="2" xr3:uid="{FE8E49E2-AE58-44A9-9506-96D90194FC65}" name="Participating Schools" totalsRowLabel="2" dataDxfId="44" totalsRowDxfId="43"/>
    <tableColumn id="28" xr3:uid="{8AD2AF22-5595-4AEF-9AA2-E0E56996F652}" name="World language or Multilingual Programs in which Participanting Students  Are Enrolled" dataDxfId="42" totalsRowDxfId="41"/>
    <tableColumn id="27" xr3:uid="{2C83A7BD-FE8A-4399-9749-05B1BC766F49}" name="Language(s) in Which Students Participated" dataDxfId="40" totalsRowDxfId="39"/>
    <tableColumn id="3" xr3:uid="{469B1051-69BA-44E5-90AA-8D4A6882805C}" name="Preschool" totalsRowFunction="sum" dataDxfId="38" totalsRowDxfId="37"/>
    <tableColumn id="4" xr3:uid="{3F7FB498-3416-44C2-878E-E8CCC8ECCD8C}" name="Prekindergarten" totalsRowFunction="sum" dataDxfId="36" totalsRowDxfId="35"/>
    <tableColumn id="5" xr3:uid="{F0207417-8192-4AFC-B854-B8BFC91A16CB}" name="Kindergarten" totalsRowFunction="sum" dataDxfId="34" totalsRowDxfId="33"/>
    <tableColumn id="22" xr3:uid="{19D35645-0979-48C1-8960-A055F53FC58F}" name="Grade 1" totalsRowFunction="sum" dataDxfId="32" totalsRowDxfId="31"/>
    <tableColumn id="18" xr3:uid="{4AB82019-D4A6-4BBB-BBCF-13090302B10C}" name="Grade 2" totalsRowFunction="sum" dataDxfId="30" totalsRowDxfId="29"/>
    <tableColumn id="23" xr3:uid="{88A671AD-F120-4E02-91A3-7AA3108D56FE}" name="Grade 3" totalsRowFunction="sum" dataDxfId="28" totalsRowDxfId="27"/>
    <tableColumn id="6" xr3:uid="{A5D88989-3AB9-4CEB-B501-AA9DC2AA9038}" name="Grade 4" totalsRowFunction="sum" dataDxfId="26" totalsRowDxfId="25"/>
    <tableColumn id="7" xr3:uid="{4D1300F1-8AFE-43D5-8456-ECDF055FDBBE}" name="Grade 5" totalsRowFunction="sum" dataDxfId="24" totalsRowDxfId="23"/>
    <tableColumn id="19" xr3:uid="{DF959E2D-3029-45B1-B19E-5C75F63266BA}" name="Grade 6" totalsRowFunction="sum" dataDxfId="22" totalsRowDxfId="21"/>
    <tableColumn id="24" xr3:uid="{13B47C40-0778-4832-9F93-B3C4D25C233F}" name="Grade 7" totalsRowFunction="sum" dataDxfId="20" totalsRowDxfId="19"/>
    <tableColumn id="8" xr3:uid="{EA797D0C-ECCA-466C-84A0-1305E6F349AD}" name="Grade 8" totalsRowFunction="sum" dataDxfId="18" totalsRowDxfId="17"/>
    <tableColumn id="9" xr3:uid="{B476A425-A7C5-49C7-BBDC-543BC788F078}" name="Grade 9" totalsRowFunction="sum" dataDxfId="16" totalsRowDxfId="15"/>
    <tableColumn id="10" xr3:uid="{58F7DC5F-6295-41D1-9740-CF4395B5FCB7}" name="Grade 10" totalsRowFunction="sum" dataDxfId="14" totalsRowDxfId="13"/>
    <tableColumn id="11" xr3:uid="{7F1BAE88-7BC5-4831-93C3-EE6937F320C3}" name="Grade 11 " totalsRowFunction="sum" dataDxfId="12" totalsRowDxfId="11"/>
    <tableColumn id="13" xr3:uid="{FF491C42-9D42-4E93-AA42-BC3B4BFA8E3D}" name="Grade 12" totalsRowFunction="sum" dataDxfId="10" totalsRowDxfId="9"/>
    <tableColumn id="21" xr3:uid="{93CE64C2-FF49-4EC6-895A-521D4702C4DE}" name="Total Seals per LEA" totalsRowFunction="sum" dataDxfId="8" totalsRowDxfId="7">
      <calculatedColumnFormula>SUM(E4:S4)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districts and schools that participated in the World Language Reading Challenge in San Diego county and also includes language tota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workbookViewId="0"/>
  </sheetViews>
  <sheetFormatPr defaultRowHeight="15.5" x14ac:dyDescent="0.35"/>
  <cols>
    <col min="1" max="1" width="23.765625" style="11" customWidth="1"/>
    <col min="2" max="2" width="12.07421875" customWidth="1"/>
    <col min="3" max="3" width="12.3046875" customWidth="1"/>
    <col min="4" max="4" width="30.4609375" customWidth="1"/>
    <col min="5" max="5" width="10" customWidth="1"/>
    <col min="6" max="6" width="16" customWidth="1"/>
    <col min="7" max="7" width="12.4609375" customWidth="1"/>
    <col min="8" max="8" width="7.69140625" customWidth="1"/>
    <col min="9" max="10" width="7.84375" customWidth="1"/>
    <col min="11" max="12" width="8.84375" bestFit="1" customWidth="1"/>
    <col min="13" max="13" width="9.3046875" bestFit="1" customWidth="1"/>
    <col min="14" max="14" width="9" customWidth="1"/>
    <col min="15" max="15" width="9.07421875" bestFit="1" customWidth="1"/>
    <col min="16" max="16" width="8.07421875" bestFit="1" customWidth="1"/>
    <col min="17" max="17" width="9" customWidth="1"/>
    <col min="18" max="18" width="9.07421875" bestFit="1" customWidth="1"/>
    <col min="19" max="19" width="8.765625" customWidth="1"/>
    <col min="20" max="20" width="11" customWidth="1"/>
  </cols>
  <sheetData>
    <row r="1" spans="1:20" ht="23" x14ac:dyDescent="0.5">
      <c r="A1" s="10" t="s">
        <v>51</v>
      </c>
      <c r="B1" s="8"/>
    </row>
    <row r="2" spans="1:20" x14ac:dyDescent="0.35">
      <c r="A2" s="11" t="s">
        <v>3</v>
      </c>
    </row>
    <row r="3" spans="1:20" x14ac:dyDescent="0.35">
      <c r="A3" s="44">
        <v>45859</v>
      </c>
    </row>
    <row r="4" spans="1:20" ht="48" customHeight="1" x14ac:dyDescent="0.35">
      <c r="A4" s="12" t="s">
        <v>4</v>
      </c>
      <c r="B4" s="1" t="s">
        <v>6</v>
      </c>
      <c r="C4" s="1" t="s">
        <v>5</v>
      </c>
      <c r="D4" s="1" t="s">
        <v>40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20</v>
      </c>
      <c r="J4" s="1" t="s">
        <v>21</v>
      </c>
      <c r="K4" s="1" t="s">
        <v>22</v>
      </c>
      <c r="L4" s="1" t="s">
        <v>23</v>
      </c>
      <c r="M4" s="1" t="s">
        <v>24</v>
      </c>
      <c r="N4" s="1" t="s">
        <v>25</v>
      </c>
      <c r="O4" s="1" t="s">
        <v>26</v>
      </c>
      <c r="P4" s="1" t="s">
        <v>27</v>
      </c>
      <c r="Q4" s="1" t="s">
        <v>28</v>
      </c>
      <c r="R4" s="1" t="s">
        <v>31</v>
      </c>
      <c r="S4" s="1" t="s">
        <v>30</v>
      </c>
      <c r="T4" s="2" t="s">
        <v>33</v>
      </c>
    </row>
    <row r="5" spans="1:20" ht="31" x14ac:dyDescent="0.35">
      <c r="A5" s="11" t="s">
        <v>0</v>
      </c>
      <c r="B5" s="3">
        <v>1</v>
      </c>
      <c r="C5" s="6">
        <v>2</v>
      </c>
      <c r="D5" s="7" t="s">
        <v>45</v>
      </c>
      <c r="E5" s="3">
        <f>Table2[[#Totals],[Preschool]]</f>
        <v>0</v>
      </c>
      <c r="F5" s="3">
        <f>Table2[[#Totals],[Prekindergarten]]</f>
        <v>22</v>
      </c>
      <c r="G5" s="3">
        <f>Table2[[#Totals],[Kindergarten]]</f>
        <v>46</v>
      </c>
      <c r="H5" s="3">
        <f>Table2[[#Totals],[Grade 1]]</f>
        <v>48</v>
      </c>
      <c r="I5" s="3">
        <f>Table2[[#Totals],[Grade 2]]</f>
        <v>44</v>
      </c>
      <c r="J5" s="3">
        <f>Table2[[#Totals],[Grade 3]]</f>
        <v>46</v>
      </c>
      <c r="K5" s="3">
        <f>Table2[[#Totals],[Grade 4]]</f>
        <v>100</v>
      </c>
      <c r="L5" s="3">
        <f>Table2[[#Totals],[Grade 5]]</f>
        <v>72</v>
      </c>
      <c r="M5" s="3">
        <f>Table2[[#Totals],[Grade 6]]</f>
        <v>0</v>
      </c>
      <c r="N5" s="3">
        <f>Table2[[#Totals],[Grade 7]]</f>
        <v>0</v>
      </c>
      <c r="O5" s="3">
        <f>Table2[[#Totals],[Grade 8]]</f>
        <v>0</v>
      </c>
      <c r="P5" s="3">
        <f>Table2[[#Totals],[Grade 9]]</f>
        <v>0</v>
      </c>
      <c r="Q5" s="3">
        <f>Table2[[#Totals],[Grade 10]]</f>
        <v>0</v>
      </c>
      <c r="R5" s="3">
        <f>Table2[[#Totals],[Grade 11 ]]</f>
        <v>0</v>
      </c>
      <c r="S5" s="3">
        <f>Table2[[#Totals],[Grade 12]]</f>
        <v>0</v>
      </c>
      <c r="T5" s="3">
        <f t="shared" ref="T5:T10" si="0">SUM(E5:S5)</f>
        <v>378</v>
      </c>
    </row>
    <row r="6" spans="1:20" x14ac:dyDescent="0.35">
      <c r="A6" s="11" t="s">
        <v>42</v>
      </c>
      <c r="B6" s="3">
        <v>1</v>
      </c>
      <c r="C6" s="6">
        <v>4</v>
      </c>
      <c r="D6" s="7" t="s">
        <v>34</v>
      </c>
      <c r="E6" s="3">
        <f>LosAngeles2[[#Totals],[Preschool]]</f>
        <v>0</v>
      </c>
      <c r="F6" s="3">
        <f>LosAngeles2[[#Totals],[Prekindergarten]]</f>
        <v>0</v>
      </c>
      <c r="G6" s="3">
        <f>LosAngeles2[[#Totals],[Kindergarten]]</f>
        <v>119</v>
      </c>
      <c r="H6" s="3">
        <f>LosAngeles2[[#Totals],[Grade 1]]</f>
        <v>127</v>
      </c>
      <c r="I6" s="3">
        <f>LosAngeles2[[#Totals],[Grade 2]]</f>
        <v>114</v>
      </c>
      <c r="J6" s="3">
        <f>LosAngeles2[[#Totals],[Grade 3]]</f>
        <v>118</v>
      </c>
      <c r="K6" s="3">
        <f>LosAngeles2[[#Totals],[Grade 4]]</f>
        <v>112</v>
      </c>
      <c r="L6" s="3">
        <f>LosAngeles2[[#Totals],[Grade 5]]</f>
        <v>98</v>
      </c>
      <c r="M6" s="3">
        <f>LosAngeles2[[#Totals],[Grade 6]]</f>
        <v>115</v>
      </c>
      <c r="N6" s="3">
        <f>LosAngeles2[[#Totals],[Grade 7]]</f>
        <v>30</v>
      </c>
      <c r="O6" s="3">
        <f>LosAngeles2[[#Totals],[Grade 8]]</f>
        <v>30</v>
      </c>
      <c r="P6" s="3">
        <f>LosAngeles2[[#Totals],[Grade 9]]</f>
        <v>0</v>
      </c>
      <c r="Q6" s="3">
        <f>LosAngeles2[[#Totals],[Grade 10]]</f>
        <v>0</v>
      </c>
      <c r="R6" s="3">
        <f>LosAngeles2[[#Totals],[Grade 11 ]]</f>
        <v>0</v>
      </c>
      <c r="S6" s="3">
        <f>LosAngeles2[[#Totals],[Grade 12]]</f>
        <v>0</v>
      </c>
      <c r="T6" s="3">
        <f>SUM(E6:S6)</f>
        <v>863</v>
      </c>
    </row>
    <row r="7" spans="1:20" x14ac:dyDescent="0.35">
      <c r="A7" s="11" t="s">
        <v>52</v>
      </c>
      <c r="B7" s="3">
        <v>1</v>
      </c>
      <c r="C7" s="9">
        <v>1</v>
      </c>
      <c r="D7" s="46" t="s">
        <v>46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5</v>
      </c>
      <c r="R7" s="3">
        <v>5</v>
      </c>
      <c r="S7" s="3">
        <v>5</v>
      </c>
      <c r="T7" s="4">
        <f>SUM(E7:S7)</f>
        <v>15</v>
      </c>
    </row>
    <row r="8" spans="1:20" x14ac:dyDescent="0.35">
      <c r="A8" s="11" t="s">
        <v>43</v>
      </c>
      <c r="B8" s="3">
        <v>1</v>
      </c>
      <c r="C8" s="6">
        <v>4</v>
      </c>
      <c r="D8" s="7" t="s">
        <v>34</v>
      </c>
      <c r="E8" s="3">
        <f>Sacramento56[[#Totals],[Preschool]]</f>
        <v>0</v>
      </c>
      <c r="F8" s="3">
        <f>Sacramento56[[#Totals],[Prekindergarten]]</f>
        <v>0</v>
      </c>
      <c r="G8" s="3">
        <f>Sacramento56[[#Totals],[Kindergarten]]</f>
        <v>0</v>
      </c>
      <c r="H8" s="3">
        <f>Sacramento56[[#Totals],[Grade 1]]</f>
        <v>0</v>
      </c>
      <c r="I8" s="3">
        <f>Sacramento56[[#Totals],[Grade 2]]</f>
        <v>0</v>
      </c>
      <c r="J8" s="3">
        <f>Sacramento56[[#Totals],[Grade 3]]</f>
        <v>0</v>
      </c>
      <c r="K8" s="3">
        <f>Sacramento56[[#Totals],[Grade 4]]</f>
        <v>0</v>
      </c>
      <c r="L8" s="3">
        <f>Sacramento56[[#Totals],[Grade 5]]</f>
        <v>0</v>
      </c>
      <c r="M8" s="3">
        <f>Sacramento56[[#Totals],[Grade 6]]</f>
        <v>6</v>
      </c>
      <c r="N8" s="3">
        <f>Sacramento56[[#Totals],[Grade 7]]</f>
        <v>108</v>
      </c>
      <c r="O8" s="3">
        <f>Sacramento56[[#Totals],[Grade 8]]</f>
        <v>61</v>
      </c>
      <c r="P8" s="3">
        <f>Sacramento56[[#Totals],[Grade 9]]</f>
        <v>49</v>
      </c>
      <c r="Q8" s="3">
        <f>Sacramento56[[#Totals],[Grade 10]]</f>
        <v>36</v>
      </c>
      <c r="R8" s="3">
        <f>Sacramento56[[#Totals],[Grade 11 ]]</f>
        <v>33</v>
      </c>
      <c r="S8" s="3">
        <f>Sacramento56[[#Totals],[Grade 12]]</f>
        <v>14</v>
      </c>
      <c r="T8" s="3">
        <f>SUM(E8:S8)</f>
        <v>307</v>
      </c>
    </row>
    <row r="9" spans="1:20" x14ac:dyDescent="0.35">
      <c r="A9" s="11" t="s">
        <v>1</v>
      </c>
      <c r="B9" s="3">
        <v>2</v>
      </c>
      <c r="C9" s="6">
        <v>2</v>
      </c>
      <c r="D9" s="3" t="s">
        <v>34</v>
      </c>
      <c r="E9" s="3">
        <f>Sacramento[[#Totals],[Preschool]]</f>
        <v>0</v>
      </c>
      <c r="F9" s="3">
        <f>Sacramento[[#Totals],[Prekindergarten]]</f>
        <v>0</v>
      </c>
      <c r="G9" s="3">
        <f>Sacramento[[#Totals],[Kindergarten]]</f>
        <v>0</v>
      </c>
      <c r="H9" s="3">
        <f>Sacramento[[#Totals],[Grade 1]]</f>
        <v>0</v>
      </c>
      <c r="I9" s="3">
        <f>Sacramento[[#Totals],[Grade 2]]</f>
        <v>0</v>
      </c>
      <c r="J9" s="3">
        <f>Sacramento[[#Totals],[Grade 3]]</f>
        <v>0</v>
      </c>
      <c r="K9" s="3">
        <f>Sacramento[[#Totals],[Grade 4]]</f>
        <v>0</v>
      </c>
      <c r="L9" s="3">
        <f>Sacramento[[#Totals],[Grade 5]]</f>
        <v>0</v>
      </c>
      <c r="M9" s="3">
        <f>Sacramento[[#Totals],[Grade 6]]</f>
        <v>0</v>
      </c>
      <c r="N9" s="3">
        <f>Sacramento[[#Totals],[Grade 7]]</f>
        <v>0</v>
      </c>
      <c r="O9" s="3">
        <f>Sacramento[[#Totals],[Grade 8]]</f>
        <v>0</v>
      </c>
      <c r="P9" s="3">
        <f>Sacramento[[#Totals],[Grade 9]]</f>
        <v>36</v>
      </c>
      <c r="Q9" s="3">
        <f>Sacramento[[#Totals],[Grade 10]]</f>
        <v>54</v>
      </c>
      <c r="R9" s="3">
        <f>Sacramento[[#Totals],[Grade 11 ]]</f>
        <v>31</v>
      </c>
      <c r="S9" s="3">
        <f>Sacramento[[#Totals],[Grade 12]]</f>
        <v>20</v>
      </c>
      <c r="T9" s="3">
        <f t="shared" si="0"/>
        <v>141</v>
      </c>
    </row>
    <row r="10" spans="1:20" x14ac:dyDescent="0.35">
      <c r="A10" s="11" t="s">
        <v>2</v>
      </c>
      <c r="B10" s="3">
        <v>2</v>
      </c>
      <c r="C10" s="6">
        <v>2</v>
      </c>
      <c r="D10" s="7" t="s">
        <v>50</v>
      </c>
      <c r="E10" s="3">
        <f>SanDiego[[#Totals],[Preschool]]</f>
        <v>0</v>
      </c>
      <c r="F10" s="3">
        <f>SanDiego[[#Totals],[Prekindergarten]]</f>
        <v>20</v>
      </c>
      <c r="G10" s="3">
        <f>SanDiego[[#Totals],[Kindergarten]]</f>
        <v>36</v>
      </c>
      <c r="H10" s="3">
        <f>SanDiego[[#Totals],[Grade 1]]</f>
        <v>54</v>
      </c>
      <c r="I10" s="3">
        <f>SanDiego[[#Totals],[Grade 2]]</f>
        <v>66</v>
      </c>
      <c r="J10" s="3">
        <f>SanDiego[[#Totals],[Grade 3]]</f>
        <v>56</v>
      </c>
      <c r="K10" s="3">
        <f>SanDiego[[#Totals],[Grade 4]]</f>
        <v>67</v>
      </c>
      <c r="L10" s="3">
        <f>SanDiego[[#Totals],[Grade 5]]</f>
        <v>57</v>
      </c>
      <c r="M10" s="3">
        <f>SanDiego[[#Totals],[Grade 6]]</f>
        <v>21</v>
      </c>
      <c r="N10" s="3">
        <f>SanDiego[[#Totals],[Grade 7]]</f>
        <v>0</v>
      </c>
      <c r="O10" s="3">
        <f>SanDiego[[#Totals],[Grade 8]]</f>
        <v>0</v>
      </c>
      <c r="P10" s="3">
        <f>SanDiego[[#Totals],[Grade 9]]</f>
        <v>0</v>
      </c>
      <c r="Q10" s="3">
        <f>SanDiego[[#Totals],[Grade 10]]</f>
        <v>0</v>
      </c>
      <c r="R10" s="3">
        <f>SanDiego[[#Totals],[Grade 11 ]]</f>
        <v>0</v>
      </c>
      <c r="S10" s="3">
        <f>SanDiego[[#Totals],[Grade 12]]</f>
        <v>0</v>
      </c>
      <c r="T10" s="3">
        <f t="shared" si="0"/>
        <v>377</v>
      </c>
    </row>
    <row r="11" spans="1:20" x14ac:dyDescent="0.35">
      <c r="A11" s="11" t="s">
        <v>60</v>
      </c>
      <c r="B11" s="3">
        <f>SUBTOTAL(109,Table30[Participating Districts Total])</f>
        <v>8</v>
      </c>
      <c r="C11" s="9">
        <f>SUBTOTAL(109,Table30[Participating Schools Total])</f>
        <v>15</v>
      </c>
      <c r="D11" s="45" t="s">
        <v>63</v>
      </c>
      <c r="E11" s="4">
        <f>SUBTOTAL(109,Table30[Preschool])</f>
        <v>0</v>
      </c>
      <c r="F11" s="4">
        <f>SUM(Table30[Prekindergarten])</f>
        <v>42</v>
      </c>
      <c r="G11" s="4">
        <f>SUM(Table30[Kindergarten])</f>
        <v>201</v>
      </c>
      <c r="H11" s="4">
        <f>SUBTOTAL(109,Table30[Grade 1])</f>
        <v>229</v>
      </c>
      <c r="I11" s="4">
        <f>SUBTOTAL(109,Table30[Grade 2])</f>
        <v>224</v>
      </c>
      <c r="J11" s="4">
        <f>SUBTOTAL(109,Table30[Grade 3])</f>
        <v>220</v>
      </c>
      <c r="K11" s="4">
        <f>SUM(Table30[Grade 4])</f>
        <v>279</v>
      </c>
      <c r="L11" s="4">
        <f>SUM(Table30[Grade 5])</f>
        <v>227</v>
      </c>
      <c r="M11" s="4">
        <f>SUBTOTAL(109,Table30[Grade 6])</f>
        <v>142</v>
      </c>
      <c r="N11" s="4">
        <f>SUBTOTAL(109,Table30[Grade 7])</f>
        <v>138</v>
      </c>
      <c r="O11" s="4">
        <f>SUBTOTAL(109,Table30[Grade 8])</f>
        <v>91</v>
      </c>
      <c r="P11" s="4">
        <f>SUM(Table30[Grade 9])</f>
        <v>85</v>
      </c>
      <c r="Q11" s="4">
        <f>SUM(Table30[Grade 10])</f>
        <v>95</v>
      </c>
      <c r="R11" s="4">
        <f>SUM(Table30[Grade 11])</f>
        <v>69</v>
      </c>
      <c r="S11" s="4">
        <f>SUM(Table30[Grade 12])</f>
        <v>39</v>
      </c>
      <c r="T11" s="4">
        <f>SUM(Table30[Participant Total])</f>
        <v>2081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zoomScaleNormal="100" workbookViewId="0"/>
  </sheetViews>
  <sheetFormatPr defaultColWidth="9.07421875" defaultRowHeight="15.5" x14ac:dyDescent="0.35"/>
  <cols>
    <col min="1" max="1" width="24.765625" customWidth="1"/>
    <col min="2" max="2" width="35.3046875" bestFit="1" customWidth="1"/>
    <col min="3" max="3" width="39" customWidth="1"/>
    <col min="4" max="4" width="32.765625" customWidth="1"/>
    <col min="5" max="5" width="10.765625" customWidth="1"/>
    <col min="6" max="6" width="15.07421875" customWidth="1"/>
    <col min="7" max="7" width="12.69140625" customWidth="1"/>
    <col min="8" max="8" width="8.84375" customWidth="1"/>
    <col min="9" max="9" width="9.84375" bestFit="1" customWidth="1"/>
    <col min="10" max="10" width="8.23046875" customWidth="1"/>
    <col min="11" max="11" width="7.84375" customWidth="1"/>
    <col min="12" max="12" width="9.69140625" bestFit="1" customWidth="1"/>
    <col min="13" max="13" width="9.3046875" bestFit="1" customWidth="1"/>
    <col min="14" max="14" width="8.53515625" customWidth="1"/>
    <col min="15" max="15" width="9.07421875" bestFit="1" customWidth="1"/>
    <col min="16" max="16" width="8.07421875" bestFit="1" customWidth="1"/>
    <col min="17" max="17" width="10.07421875" bestFit="1" customWidth="1"/>
    <col min="18" max="18" width="8.84375" bestFit="1" customWidth="1"/>
    <col min="19" max="19" width="9.23046875" customWidth="1"/>
    <col min="20" max="20" width="10.84375" bestFit="1" customWidth="1"/>
  </cols>
  <sheetData>
    <row r="1" spans="1:20" ht="18" x14ac:dyDescent="0.4">
      <c r="A1" s="37" t="s">
        <v>0</v>
      </c>
    </row>
    <row r="2" spans="1:20" x14ac:dyDescent="0.35">
      <c r="A2" t="s">
        <v>65</v>
      </c>
    </row>
    <row r="3" spans="1:20" s="5" customFormat="1" ht="31" x14ac:dyDescent="0.35">
      <c r="A3" s="14" t="s">
        <v>7</v>
      </c>
      <c r="B3" s="38" t="s">
        <v>12</v>
      </c>
      <c r="C3" s="15" t="s">
        <v>64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31" x14ac:dyDescent="0.35">
      <c r="A4" s="17" t="s">
        <v>14</v>
      </c>
      <c r="B4" s="19" t="s">
        <v>44</v>
      </c>
      <c r="C4" s="19" t="s">
        <v>37</v>
      </c>
      <c r="D4" s="19" t="s">
        <v>45</v>
      </c>
      <c r="E4" s="34">
        <v>0</v>
      </c>
      <c r="F4" s="34">
        <v>22</v>
      </c>
      <c r="G4" s="34">
        <v>46</v>
      </c>
      <c r="H4" s="34">
        <v>48</v>
      </c>
      <c r="I4" s="34">
        <v>44</v>
      </c>
      <c r="J4" s="34">
        <v>46</v>
      </c>
      <c r="K4" s="34">
        <v>100</v>
      </c>
      <c r="L4" s="34">
        <v>72</v>
      </c>
      <c r="M4" s="34">
        <v>0</v>
      </c>
      <c r="N4" s="34">
        <v>0</v>
      </c>
      <c r="O4" s="34">
        <v>0</v>
      </c>
      <c r="P4" s="34">
        <v>0</v>
      </c>
      <c r="Q4" s="34">
        <v>0</v>
      </c>
      <c r="R4" s="34">
        <v>0</v>
      </c>
      <c r="S4" s="34">
        <v>0</v>
      </c>
      <c r="T4" s="36">
        <f>SUM(E4:S4)</f>
        <v>378</v>
      </c>
    </row>
    <row r="5" spans="1:20" x14ac:dyDescent="0.35">
      <c r="A5" s="39" t="s">
        <v>9</v>
      </c>
      <c r="B5" s="40" t="s">
        <v>49</v>
      </c>
      <c r="C5" s="41"/>
      <c r="D5" s="41"/>
      <c r="E5" s="42">
        <f>SUBTOTAL(109,Table2[Preschool])</f>
        <v>0</v>
      </c>
      <c r="F5" s="42">
        <f>SUBTOTAL(109,Table2[Prekindergarten])</f>
        <v>22</v>
      </c>
      <c r="G5" s="42">
        <f>SUBTOTAL(109,Table2[Kindergarten])</f>
        <v>46</v>
      </c>
      <c r="H5" s="42">
        <f>SUBTOTAL(109,Table2[Grade 1])</f>
        <v>48</v>
      </c>
      <c r="I5" s="42">
        <f>SUBTOTAL(109,Table2[Grade 2])</f>
        <v>44</v>
      </c>
      <c r="J5" s="42">
        <f>SUBTOTAL(109,Table2[Grade 3])</f>
        <v>46</v>
      </c>
      <c r="K5" s="42">
        <f>SUBTOTAL(109,Table2[Grade 4])</f>
        <v>100</v>
      </c>
      <c r="L5" s="42">
        <f>SUBTOTAL(109,Table2[Grade 5])</f>
        <v>72</v>
      </c>
      <c r="M5" s="42">
        <f>SUBTOTAL(109,Table2[Grade 6])</f>
        <v>0</v>
      </c>
      <c r="N5" s="42">
        <f>SUBTOTAL(109,Table2[Grade 7])</f>
        <v>0</v>
      </c>
      <c r="O5" s="42">
        <f>SUBTOTAL(109,Table2[Grade 8])</f>
        <v>0</v>
      </c>
      <c r="P5" s="42">
        <f>SUBTOTAL(109,Table2[Grade 9])</f>
        <v>0</v>
      </c>
      <c r="Q5" s="42">
        <f>SUBTOTAL(109,Table2[Grade 10])</f>
        <v>0</v>
      </c>
      <c r="R5" s="42">
        <f>SUBTOTAL(109,Table2[[Grade 11 ]])</f>
        <v>0</v>
      </c>
      <c r="S5" s="42">
        <f>SUBTOTAL(109,Table2[Grade 12])</f>
        <v>0</v>
      </c>
      <c r="T5" s="43">
        <f>SUBTOTAL(109,Table2[Total Seals per LEA])</f>
        <v>378</v>
      </c>
    </row>
  </sheetData>
  <sortState xmlns:xlrd2="http://schemas.microsoft.com/office/spreadsheetml/2017/richdata2" ref="A3:Z9">
    <sortCondition ref="A3:A9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EDBA-48E5-4341-8B7B-B83FD879B37F}">
  <dimension ref="A1:T5"/>
  <sheetViews>
    <sheetView workbookViewId="0"/>
  </sheetViews>
  <sheetFormatPr defaultRowHeight="15.5" x14ac:dyDescent="0.35"/>
  <cols>
    <col min="1" max="1" width="22.07421875" style="5" customWidth="1"/>
    <col min="2" max="2" width="36.84375" style="5" customWidth="1"/>
    <col min="3" max="3" width="33" style="5" customWidth="1"/>
    <col min="4" max="4" width="25.4609375" customWidth="1"/>
    <col min="5" max="5" width="10.84375" customWidth="1"/>
    <col min="6" max="6" width="16.69140625" customWidth="1"/>
    <col min="7" max="7" width="12.84375" customWidth="1"/>
    <col min="8" max="9" width="8.07421875" customWidth="1"/>
    <col min="10" max="10" width="8" customWidth="1"/>
    <col min="11" max="11" width="7.84375" customWidth="1"/>
    <col min="12" max="12" width="8" customWidth="1"/>
    <col min="13" max="13" width="7.69140625" customWidth="1"/>
    <col min="14" max="14" width="9.07421875" bestFit="1" customWidth="1"/>
    <col min="15" max="15" width="8.07421875" bestFit="1" customWidth="1"/>
    <col min="17" max="17" width="9.07421875" bestFit="1" customWidth="1"/>
    <col min="18" max="18" width="9.3046875" customWidth="1"/>
    <col min="19" max="19" width="7.69140625" bestFit="1" customWidth="1"/>
  </cols>
  <sheetData>
    <row r="1" spans="1:20" ht="18" x14ac:dyDescent="0.4">
      <c r="A1" s="13" t="s">
        <v>42</v>
      </c>
    </row>
    <row r="2" spans="1:20" x14ac:dyDescent="0.35">
      <c r="A2" t="s">
        <v>65</v>
      </c>
    </row>
    <row r="3" spans="1:20" ht="46.5" x14ac:dyDescent="0.35">
      <c r="A3" s="14" t="s">
        <v>7</v>
      </c>
      <c r="B3" s="15" t="s">
        <v>8</v>
      </c>
      <c r="C3" s="15" t="s">
        <v>32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102" customHeight="1" x14ac:dyDescent="0.35">
      <c r="A4" s="17" t="s">
        <v>57</v>
      </c>
      <c r="B4" s="28" t="s">
        <v>58</v>
      </c>
      <c r="C4" s="28" t="s">
        <v>37</v>
      </c>
      <c r="D4" s="28" t="s">
        <v>34</v>
      </c>
      <c r="E4" s="34">
        <v>0</v>
      </c>
      <c r="F4" s="34">
        <v>0</v>
      </c>
      <c r="G4" s="34">
        <v>119</v>
      </c>
      <c r="H4" s="34">
        <v>127</v>
      </c>
      <c r="I4" s="34">
        <v>114</v>
      </c>
      <c r="J4" s="34">
        <v>118</v>
      </c>
      <c r="K4" s="34">
        <v>112</v>
      </c>
      <c r="L4" s="34">
        <v>98</v>
      </c>
      <c r="M4" s="34">
        <v>115</v>
      </c>
      <c r="N4" s="34">
        <v>30</v>
      </c>
      <c r="O4" s="34">
        <v>30</v>
      </c>
      <c r="P4" s="34">
        <v>0</v>
      </c>
      <c r="Q4" s="34">
        <v>0</v>
      </c>
      <c r="R4" s="34">
        <v>0</v>
      </c>
      <c r="S4" s="34">
        <v>0</v>
      </c>
      <c r="T4" s="36">
        <f>SUM(E4:S4)</f>
        <v>863</v>
      </c>
    </row>
    <row r="5" spans="1:20" x14ac:dyDescent="0.35">
      <c r="A5" s="23" t="s">
        <v>9</v>
      </c>
      <c r="B5" s="24" t="s">
        <v>59</v>
      </c>
      <c r="C5" s="25"/>
      <c r="D5" s="25"/>
      <c r="E5" s="26">
        <f>SUBTOTAL(109,LosAngeles2[Preschool])</f>
        <v>0</v>
      </c>
      <c r="F5" s="26">
        <f>SUBTOTAL(109,LosAngeles2[Prekindergarten])</f>
        <v>0</v>
      </c>
      <c r="G5" s="26">
        <f>SUBTOTAL(109,LosAngeles2[Kindergarten])</f>
        <v>119</v>
      </c>
      <c r="H5" s="26">
        <f>SUBTOTAL(109,LosAngeles2[Grade 1])</f>
        <v>127</v>
      </c>
      <c r="I5" s="26">
        <f>SUBTOTAL(109,LosAngeles2[Grade 2])</f>
        <v>114</v>
      </c>
      <c r="J5" s="26">
        <f>SUBTOTAL(109,LosAngeles2[Grade 3])</f>
        <v>118</v>
      </c>
      <c r="K5" s="26">
        <f>SUBTOTAL(109,LosAngeles2[Grade 4])</f>
        <v>112</v>
      </c>
      <c r="L5" s="26">
        <f>SUBTOTAL(109,LosAngeles2[Grade 5])</f>
        <v>98</v>
      </c>
      <c r="M5" s="26">
        <f>SUBTOTAL(109,LosAngeles2[Grade 6])</f>
        <v>115</v>
      </c>
      <c r="N5" s="26">
        <f>SUBTOTAL(109,LosAngeles2[Grade 7])</f>
        <v>30</v>
      </c>
      <c r="O5" s="26">
        <f>SUBTOTAL(109,LosAngeles2[Grade 8])</f>
        <v>30</v>
      </c>
      <c r="P5" s="26">
        <f>SUBTOTAL(109,LosAngeles2[Grade 9])</f>
        <v>0</v>
      </c>
      <c r="Q5" s="26">
        <f>SUBTOTAL(109,LosAngeles2[Grade 10])</f>
        <v>0</v>
      </c>
      <c r="R5" s="26">
        <f>SUBTOTAL(109,LosAngeles2[[Grade 11 ]])</f>
        <v>0</v>
      </c>
      <c r="S5" s="26">
        <f>SUBTOTAL(109,LosAngeles2[Grade 12])</f>
        <v>0</v>
      </c>
      <c r="T5" s="27">
        <f>SUBTOTAL(109,LosAngeles2[Total Seals per LEA])</f>
        <v>863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61009-5814-4DFC-B065-D0C830E2F1DE}">
  <dimension ref="A1:T5"/>
  <sheetViews>
    <sheetView zoomScaleNormal="100" workbookViewId="0"/>
  </sheetViews>
  <sheetFormatPr defaultRowHeight="15.5" x14ac:dyDescent="0.35"/>
  <cols>
    <col min="1" max="1" width="24.765625" style="5" bestFit="1" customWidth="1"/>
    <col min="2" max="2" width="37.53515625" bestFit="1" customWidth="1"/>
    <col min="3" max="4" width="37.53515625" customWidth="1"/>
    <col min="5" max="5" width="10.3046875" customWidth="1"/>
    <col min="6" max="6" width="15.3046875" customWidth="1"/>
    <col min="7" max="7" width="13.07421875" customWidth="1"/>
    <col min="8" max="8" width="9.4609375" bestFit="1" customWidth="1"/>
    <col min="9" max="9" width="9.84375" bestFit="1" customWidth="1"/>
    <col min="10" max="10" width="10.69140625" bestFit="1" customWidth="1"/>
    <col min="11" max="11" width="8.84375" bestFit="1" customWidth="1"/>
    <col min="12" max="12" width="9.69140625" bestFit="1" customWidth="1"/>
    <col min="13" max="13" width="9.3046875" bestFit="1" customWidth="1"/>
    <col min="14" max="14" width="8.69140625" customWidth="1"/>
    <col min="15" max="15" width="10" customWidth="1"/>
    <col min="16" max="16" width="8.84375" customWidth="1"/>
    <col min="17" max="17" width="11.07421875" bestFit="1" customWidth="1"/>
    <col min="18" max="18" width="9.07421875" bestFit="1" customWidth="1"/>
    <col min="19" max="19" width="11.84375" bestFit="1" customWidth="1"/>
    <col min="20" max="20" width="10.84375" bestFit="1" customWidth="1"/>
  </cols>
  <sheetData>
    <row r="1" spans="1:20" ht="18" x14ac:dyDescent="0.4">
      <c r="A1" s="13" t="s">
        <v>52</v>
      </c>
    </row>
    <row r="2" spans="1:20" x14ac:dyDescent="0.35">
      <c r="A2" t="s">
        <v>65</v>
      </c>
    </row>
    <row r="3" spans="1:20" ht="31" x14ac:dyDescent="0.35">
      <c r="A3" s="14" t="s">
        <v>7</v>
      </c>
      <c r="B3" s="15" t="s">
        <v>8</v>
      </c>
      <c r="C3" s="15" t="s">
        <v>32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72.75" customHeight="1" x14ac:dyDescent="0.35">
      <c r="A4" s="17" t="s">
        <v>53</v>
      </c>
      <c r="B4" s="18" t="s">
        <v>53</v>
      </c>
      <c r="C4" s="19" t="s">
        <v>38</v>
      </c>
      <c r="D4" s="19" t="s">
        <v>46</v>
      </c>
      <c r="E4" s="20">
        <v>0</v>
      </c>
      <c r="F4" s="20">
        <v>0</v>
      </c>
      <c r="G4" s="20">
        <v>0</v>
      </c>
      <c r="H4" s="21">
        <v>0</v>
      </c>
      <c r="I4" s="21">
        <v>0</v>
      </c>
      <c r="J4" s="21">
        <v>0</v>
      </c>
      <c r="K4" s="20">
        <v>0</v>
      </c>
      <c r="L4" s="20">
        <v>0</v>
      </c>
      <c r="M4" s="21">
        <v>0</v>
      </c>
      <c r="N4" s="21">
        <v>0</v>
      </c>
      <c r="O4" s="20">
        <v>0</v>
      </c>
      <c r="P4" s="20">
        <v>0</v>
      </c>
      <c r="Q4" s="20">
        <v>5</v>
      </c>
      <c r="R4" s="20">
        <v>5</v>
      </c>
      <c r="S4" s="20">
        <v>5</v>
      </c>
      <c r="T4" s="22">
        <f>SUM(E4:S4)</f>
        <v>15</v>
      </c>
    </row>
    <row r="5" spans="1:20" x14ac:dyDescent="0.35">
      <c r="A5" s="23" t="s">
        <v>9</v>
      </c>
      <c r="B5" s="24" t="s">
        <v>13</v>
      </c>
      <c r="C5" s="25"/>
      <c r="D5" s="25"/>
      <c r="E5" s="26">
        <f>SUBTOTAL(109,SantaClara[Preschool])</f>
        <v>0</v>
      </c>
      <c r="F5" s="26">
        <f>SUBTOTAL(109,SantaClara[Prekindergarten])</f>
        <v>0</v>
      </c>
      <c r="G5" s="26">
        <f>SUBTOTAL(109,SantaClara[Kindergarten])</f>
        <v>0</v>
      </c>
      <c r="H5" s="26">
        <f>SUBTOTAL(109,SantaClara[Grade 1])</f>
        <v>0</v>
      </c>
      <c r="I5" s="26">
        <f>SUBTOTAL(109,SantaClara[Grade 2])</f>
        <v>0</v>
      </c>
      <c r="J5" s="26">
        <f>SUBTOTAL(109,SantaClara[Grade 3])</f>
        <v>0</v>
      </c>
      <c r="K5" s="26">
        <f>SUBTOTAL(109,SantaClara[Grade 4])</f>
        <v>0</v>
      </c>
      <c r="L5" s="26">
        <f>SUBTOTAL(109,SantaClara[Grade 5])</f>
        <v>0</v>
      </c>
      <c r="M5" s="26">
        <f>SUBTOTAL(109,SantaClara[Grade 6])</f>
        <v>0</v>
      </c>
      <c r="N5" s="26">
        <f>SUBTOTAL(109,SantaClara[Grade 7])</f>
        <v>0</v>
      </c>
      <c r="O5" s="26">
        <f>SUBTOTAL(109,SantaClara[Grade 8])</f>
        <v>0</v>
      </c>
      <c r="P5" s="26">
        <f>SUBTOTAL(109,SantaClara[Grade 9])</f>
        <v>0</v>
      </c>
      <c r="Q5" s="26">
        <f>SUBTOTAL(109,SantaClara[Grade 10])</f>
        <v>5</v>
      </c>
      <c r="R5" s="26">
        <f>SUBTOTAL(109,SantaClara[[Grade 11 ]])</f>
        <v>5</v>
      </c>
      <c r="S5" s="26">
        <f>SUBTOTAL(109,SantaClara[Grade 12])</f>
        <v>5</v>
      </c>
      <c r="T5" s="27">
        <f>SUBTOTAL(109,SantaClara[Total Seals per LEA])</f>
        <v>15</v>
      </c>
    </row>
  </sheetData>
  <conditionalFormatting sqref="C3:D3">
    <cfRule type="duplicateValues" dxfId="6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0123-BCB1-4A99-942A-43982D1088FD}">
  <dimension ref="A1:T5"/>
  <sheetViews>
    <sheetView workbookViewId="0"/>
  </sheetViews>
  <sheetFormatPr defaultRowHeight="15.5" x14ac:dyDescent="0.35"/>
  <cols>
    <col min="1" max="1" width="29.07421875" customWidth="1"/>
    <col min="2" max="2" width="40.07421875" bestFit="1" customWidth="1"/>
    <col min="3" max="4" width="40.07421875" customWidth="1"/>
    <col min="5" max="5" width="11.84375" customWidth="1"/>
    <col min="6" max="6" width="15.3046875" customWidth="1"/>
    <col min="7" max="7" width="13.23046875" customWidth="1"/>
    <col min="8" max="8" width="8.3046875" customWidth="1"/>
    <col min="9" max="9" width="8.53515625" customWidth="1"/>
    <col min="10" max="10" width="8.3046875" customWidth="1"/>
    <col min="11" max="11" width="8.84375" bestFit="1" customWidth="1"/>
    <col min="12" max="12" width="9.69140625" bestFit="1" customWidth="1"/>
    <col min="13" max="13" width="9.3046875" bestFit="1" customWidth="1"/>
    <col min="14" max="14" width="8.765625" customWidth="1"/>
    <col min="15" max="15" width="9.07421875" bestFit="1" customWidth="1"/>
    <col min="16" max="16" width="9" customWidth="1"/>
    <col min="17" max="17" width="11.07421875" bestFit="1" customWidth="1"/>
    <col min="18" max="18" width="10.4609375" customWidth="1"/>
    <col min="19" max="19" width="11.84375" bestFit="1" customWidth="1"/>
    <col min="20" max="20" width="10.84375" bestFit="1" customWidth="1"/>
  </cols>
  <sheetData>
    <row r="1" spans="1:20" ht="18" x14ac:dyDescent="0.4">
      <c r="A1" s="13" t="s">
        <v>43</v>
      </c>
    </row>
    <row r="2" spans="1:20" x14ac:dyDescent="0.35">
      <c r="A2" t="s">
        <v>65</v>
      </c>
    </row>
    <row r="3" spans="1:20" ht="31" x14ac:dyDescent="0.35">
      <c r="A3" s="14" t="s">
        <v>7</v>
      </c>
      <c r="B3" s="15" t="s">
        <v>8</v>
      </c>
      <c r="C3" s="15" t="s">
        <v>32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77.5" x14ac:dyDescent="0.35">
      <c r="A4" s="33" t="s">
        <v>47</v>
      </c>
      <c r="B4" s="28" t="s">
        <v>61</v>
      </c>
      <c r="C4" s="28" t="s">
        <v>62</v>
      </c>
      <c r="D4" s="34" t="s">
        <v>34</v>
      </c>
      <c r="E4" s="21">
        <v>0</v>
      </c>
      <c r="F4" s="21">
        <v>0</v>
      </c>
      <c r="G4" s="21">
        <v>0</v>
      </c>
      <c r="H4" s="21">
        <v>0</v>
      </c>
      <c r="I4" s="21">
        <v>0</v>
      </c>
      <c r="J4" s="21">
        <v>0</v>
      </c>
      <c r="K4" s="21">
        <v>0</v>
      </c>
      <c r="L4" s="21">
        <v>0</v>
      </c>
      <c r="M4" s="21">
        <v>6</v>
      </c>
      <c r="N4" s="21">
        <v>108</v>
      </c>
      <c r="O4" s="21">
        <v>61</v>
      </c>
      <c r="P4" s="21">
        <v>49</v>
      </c>
      <c r="Q4" s="21">
        <v>36</v>
      </c>
      <c r="R4" s="21">
        <v>33</v>
      </c>
      <c r="S4" s="21">
        <v>14</v>
      </c>
      <c r="T4" s="29">
        <f>SUM(E4:S4)</f>
        <v>307</v>
      </c>
    </row>
    <row r="5" spans="1:20" x14ac:dyDescent="0.35">
      <c r="A5" s="30" t="s">
        <v>9</v>
      </c>
      <c r="B5" s="24" t="s">
        <v>59</v>
      </c>
      <c r="C5" s="35"/>
      <c r="D5" s="25"/>
      <c r="E5" s="26">
        <f>SUBTOTAL(109,Sacramento56[Preschool])</f>
        <v>0</v>
      </c>
      <c r="F5" s="26">
        <f>SUBTOTAL(109,Sacramento56[Prekindergarten])</f>
        <v>0</v>
      </c>
      <c r="G5" s="26">
        <f>SUBTOTAL(109,Sacramento56[Kindergarten])</f>
        <v>0</v>
      </c>
      <c r="H5" s="26">
        <f>SUBTOTAL(109,Sacramento56[Grade 1])</f>
        <v>0</v>
      </c>
      <c r="I5" s="26">
        <f>SUBTOTAL(109,Sacramento56[Grade 2])</f>
        <v>0</v>
      </c>
      <c r="J5" s="26">
        <f>SUBTOTAL(109,Sacramento56[Grade 3])</f>
        <v>0</v>
      </c>
      <c r="K5" s="26">
        <f>SUBTOTAL(109,Sacramento56[Grade 4])</f>
        <v>0</v>
      </c>
      <c r="L5" s="26">
        <f>SUBTOTAL(109,Sacramento56[Grade 5])</f>
        <v>0</v>
      </c>
      <c r="M5" s="26">
        <f>SUBTOTAL(109,Sacramento56[Grade 6])</f>
        <v>6</v>
      </c>
      <c r="N5" s="26">
        <f>SUBTOTAL(109,Sacramento56[Grade 7])</f>
        <v>108</v>
      </c>
      <c r="O5" s="26">
        <f>SUBTOTAL(109,Sacramento56[Grade 8])</f>
        <v>61</v>
      </c>
      <c r="P5" s="26">
        <f>SUBTOTAL(109,Sacramento56[Grade 9])</f>
        <v>49</v>
      </c>
      <c r="Q5" s="26">
        <f>SUBTOTAL(109,Sacramento56[Grade 10])</f>
        <v>36</v>
      </c>
      <c r="R5" s="26">
        <f>SUBTOTAL(109,Sacramento56[[Grade 11 ]])</f>
        <v>33</v>
      </c>
      <c r="S5" s="26">
        <f>SUBTOTAL(109,Sacramento56[Grade 12])</f>
        <v>14</v>
      </c>
      <c r="T5" s="27">
        <f>SUBTOTAL(109,Sacramento56[Total Seals per LEA])</f>
        <v>307</v>
      </c>
    </row>
  </sheetData>
  <conditionalFormatting sqref="A3:B3 B2:D2 A1">
    <cfRule type="duplicateValues" dxfId="5" priority="1"/>
  </conditionalFormatting>
  <conditionalFormatting sqref="C3:D3">
    <cfRule type="duplicateValues" dxfId="4" priority="2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713A-21A4-49CC-A3F7-C16EF77EED48}">
  <dimension ref="A1:T6"/>
  <sheetViews>
    <sheetView zoomScaleNormal="100" workbookViewId="0"/>
  </sheetViews>
  <sheetFormatPr defaultRowHeight="15.5" x14ac:dyDescent="0.35"/>
  <cols>
    <col min="1" max="1" width="29.07421875" customWidth="1"/>
    <col min="2" max="2" width="40.07421875" bestFit="1" customWidth="1"/>
    <col min="3" max="4" width="40.07421875" customWidth="1"/>
    <col min="5" max="5" width="11.84375" customWidth="1"/>
    <col min="6" max="6" width="15.3046875" customWidth="1"/>
    <col min="7" max="7" width="13.23046875" customWidth="1"/>
    <col min="8" max="8" width="8.3046875" customWidth="1"/>
    <col min="9" max="9" width="8.53515625" customWidth="1"/>
    <col min="10" max="10" width="8.3046875" customWidth="1"/>
    <col min="11" max="11" width="8.84375" bestFit="1" customWidth="1"/>
    <col min="12" max="12" width="9.69140625" bestFit="1" customWidth="1"/>
    <col min="13" max="13" width="9.3046875" bestFit="1" customWidth="1"/>
    <col min="14" max="14" width="8.765625" customWidth="1"/>
    <col min="15" max="15" width="9.07421875" bestFit="1" customWidth="1"/>
    <col min="16" max="16" width="9" customWidth="1"/>
    <col min="17" max="17" width="11.07421875" bestFit="1" customWidth="1"/>
    <col min="18" max="18" width="10.4609375" customWidth="1"/>
    <col min="19" max="19" width="11.84375" bestFit="1" customWidth="1"/>
    <col min="20" max="20" width="10.84375" bestFit="1" customWidth="1"/>
  </cols>
  <sheetData>
    <row r="1" spans="1:20" ht="18" x14ac:dyDescent="0.4">
      <c r="A1" s="13" t="s">
        <v>1</v>
      </c>
    </row>
    <row r="2" spans="1:20" x14ac:dyDescent="0.35">
      <c r="A2" t="s">
        <v>65</v>
      </c>
    </row>
    <row r="3" spans="1:20" ht="31" x14ac:dyDescent="0.35">
      <c r="A3" s="14" t="s">
        <v>7</v>
      </c>
      <c r="B3" s="15" t="s">
        <v>8</v>
      </c>
      <c r="C3" s="15" t="s">
        <v>32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62" x14ac:dyDescent="0.35">
      <c r="A4" s="14" t="s">
        <v>54</v>
      </c>
      <c r="B4" s="15" t="s">
        <v>54</v>
      </c>
      <c r="C4" s="15" t="s">
        <v>38</v>
      </c>
      <c r="D4" s="15" t="s">
        <v>34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36</v>
      </c>
      <c r="Q4" s="15">
        <v>45</v>
      </c>
      <c r="R4" s="15">
        <v>18</v>
      </c>
      <c r="S4" s="15">
        <v>17</v>
      </c>
      <c r="T4" s="16">
        <f>SUM(E4:S4)</f>
        <v>116</v>
      </c>
    </row>
    <row r="5" spans="1:20" ht="62" x14ac:dyDescent="0.35">
      <c r="A5" s="17" t="s">
        <v>55</v>
      </c>
      <c r="B5" s="28" t="s">
        <v>56</v>
      </c>
      <c r="C5" s="28" t="s">
        <v>39</v>
      </c>
      <c r="D5" s="28" t="s">
        <v>34</v>
      </c>
      <c r="E5" s="20">
        <v>0</v>
      </c>
      <c r="F5" s="20">
        <v>0</v>
      </c>
      <c r="G5" s="20">
        <v>0</v>
      </c>
      <c r="H5" s="21">
        <v>0</v>
      </c>
      <c r="I5" s="21">
        <v>0</v>
      </c>
      <c r="J5" s="21">
        <v>0</v>
      </c>
      <c r="K5" s="20">
        <v>0</v>
      </c>
      <c r="L5" s="20">
        <v>0</v>
      </c>
      <c r="M5" s="21">
        <v>0</v>
      </c>
      <c r="N5" s="21">
        <v>0</v>
      </c>
      <c r="O5" s="20">
        <v>0</v>
      </c>
      <c r="P5" s="20">
        <v>0</v>
      </c>
      <c r="Q5" s="20">
        <v>9</v>
      </c>
      <c r="R5" s="20">
        <v>13</v>
      </c>
      <c r="S5" s="20">
        <v>3</v>
      </c>
      <c r="T5" s="22">
        <f>SUM(E5:S5)</f>
        <v>25</v>
      </c>
    </row>
    <row r="6" spans="1:20" x14ac:dyDescent="0.35">
      <c r="A6" s="30" t="s">
        <v>10</v>
      </c>
      <c r="B6" s="24" t="s">
        <v>49</v>
      </c>
      <c r="C6" s="35"/>
      <c r="D6" s="25"/>
      <c r="E6" s="26">
        <f>SUBTOTAL(109,Sacramento[Preschool])</f>
        <v>0</v>
      </c>
      <c r="F6" s="26">
        <f>SUBTOTAL(109,Sacramento[Prekindergarten])</f>
        <v>0</v>
      </c>
      <c r="G6" s="26">
        <f>SUBTOTAL(109,Sacramento[Kindergarten])</f>
        <v>0</v>
      </c>
      <c r="H6" s="26">
        <f>SUBTOTAL(109,Sacramento[Grade 1])</f>
        <v>0</v>
      </c>
      <c r="I6" s="26">
        <f>SUBTOTAL(109,Sacramento[Grade 2])</f>
        <v>0</v>
      </c>
      <c r="J6" s="26">
        <f>SUBTOTAL(109,Sacramento[Grade 3])</f>
        <v>0</v>
      </c>
      <c r="K6" s="26">
        <f>SUBTOTAL(109,Sacramento[Grade 4])</f>
        <v>0</v>
      </c>
      <c r="L6" s="26">
        <f>SUBTOTAL(109,Sacramento[Grade 5])</f>
        <v>0</v>
      </c>
      <c r="M6" s="26">
        <f>SUBTOTAL(109,Sacramento[Grade 6])</f>
        <v>0</v>
      </c>
      <c r="N6" s="26">
        <f>SUBTOTAL(109,Sacramento[Grade 7])</f>
        <v>0</v>
      </c>
      <c r="O6" s="26">
        <f>SUBTOTAL(109,Sacramento[Grade 8])</f>
        <v>0</v>
      </c>
      <c r="P6" s="26">
        <f>SUBTOTAL(109,Sacramento[Grade 9])</f>
        <v>36</v>
      </c>
      <c r="Q6" s="26">
        <f>SUBTOTAL(109,Sacramento[Grade 10])</f>
        <v>54</v>
      </c>
      <c r="R6" s="26">
        <f>SUBTOTAL(109,Sacramento[[Grade 11 ]])</f>
        <v>31</v>
      </c>
      <c r="S6" s="26">
        <f>SUBTOTAL(109,Sacramento[Grade 12])</f>
        <v>20</v>
      </c>
      <c r="T6" s="27">
        <f>SUBTOTAL(109,Sacramento[Total Seals per LEA])</f>
        <v>141</v>
      </c>
    </row>
  </sheetData>
  <conditionalFormatting sqref="A3:B3 B2:D2 A1 A5:B5">
    <cfRule type="duplicateValues" dxfId="3" priority="9"/>
  </conditionalFormatting>
  <conditionalFormatting sqref="C3:D3">
    <cfRule type="duplicateValues" dxfId="2" priority="12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0ACF-8D33-47A9-B3AF-15310FBAC714}">
  <dimension ref="A1:T6"/>
  <sheetViews>
    <sheetView zoomScaleNormal="100" workbookViewId="0"/>
  </sheetViews>
  <sheetFormatPr defaultRowHeight="15.5" x14ac:dyDescent="0.35"/>
  <cols>
    <col min="1" max="1" width="23.69140625" bestFit="1" customWidth="1"/>
    <col min="2" max="2" width="41.07421875" bestFit="1" customWidth="1"/>
    <col min="3" max="4" width="41.07421875" customWidth="1"/>
    <col min="5" max="5" width="10.3046875" customWidth="1"/>
    <col min="6" max="6" width="15.69140625" customWidth="1"/>
    <col min="7" max="7" width="12.765625" customWidth="1"/>
    <col min="8" max="8" width="9.4609375" bestFit="1" customWidth="1"/>
    <col min="9" max="9" width="9.84375" bestFit="1" customWidth="1"/>
    <col min="10" max="10" width="10.69140625" bestFit="1" customWidth="1"/>
    <col min="11" max="11" width="8.84375" bestFit="1" customWidth="1"/>
    <col min="12" max="12" width="9.69140625" bestFit="1" customWidth="1"/>
    <col min="13" max="13" width="9.3046875" bestFit="1" customWidth="1"/>
    <col min="14" max="14" width="9.23046875" customWidth="1"/>
    <col min="15" max="15" width="9.07421875" bestFit="1" customWidth="1"/>
    <col min="16" max="16" width="8.07421875" bestFit="1" customWidth="1"/>
    <col min="17" max="17" width="11.07421875" bestFit="1" customWidth="1"/>
    <col min="18" max="18" width="9.07421875" bestFit="1" customWidth="1"/>
    <col min="19" max="19" width="11.84375" bestFit="1" customWidth="1"/>
    <col min="20" max="20" width="10.84375" bestFit="1" customWidth="1"/>
  </cols>
  <sheetData>
    <row r="1" spans="1:20" ht="18" x14ac:dyDescent="0.4">
      <c r="A1" s="13" t="s">
        <v>2</v>
      </c>
    </row>
    <row r="2" spans="1:20" x14ac:dyDescent="0.35">
      <c r="A2" t="s">
        <v>65</v>
      </c>
    </row>
    <row r="3" spans="1:20" ht="31" x14ac:dyDescent="0.35">
      <c r="A3" s="14" t="s">
        <v>7</v>
      </c>
      <c r="B3" s="15" t="s">
        <v>8</v>
      </c>
      <c r="C3" s="15" t="s">
        <v>32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5" t="s">
        <v>24</v>
      </c>
      <c r="N3" s="15" t="s">
        <v>25</v>
      </c>
      <c r="O3" s="15" t="s">
        <v>26</v>
      </c>
      <c r="P3" s="15" t="s">
        <v>27</v>
      </c>
      <c r="Q3" s="15" t="s">
        <v>28</v>
      </c>
      <c r="R3" s="15" t="s">
        <v>29</v>
      </c>
      <c r="S3" s="15" t="s">
        <v>30</v>
      </c>
      <c r="T3" s="16" t="s">
        <v>11</v>
      </c>
    </row>
    <row r="4" spans="1:20" ht="51.75" customHeight="1" x14ac:dyDescent="0.35">
      <c r="A4" s="17" t="s">
        <v>41</v>
      </c>
      <c r="B4" s="28" t="s">
        <v>35</v>
      </c>
      <c r="C4" s="28" t="s">
        <v>38</v>
      </c>
      <c r="D4" s="28" t="s">
        <v>36</v>
      </c>
      <c r="E4" s="21">
        <v>0</v>
      </c>
      <c r="F4" s="21">
        <v>0</v>
      </c>
      <c r="G4" s="21">
        <v>0</v>
      </c>
      <c r="H4" s="21">
        <v>20</v>
      </c>
      <c r="I4" s="21">
        <v>20</v>
      </c>
      <c r="J4" s="21">
        <v>20</v>
      </c>
      <c r="K4" s="21">
        <v>20</v>
      </c>
      <c r="L4" s="21">
        <v>25</v>
      </c>
      <c r="M4" s="21">
        <v>0</v>
      </c>
      <c r="N4" s="21">
        <v>0</v>
      </c>
      <c r="O4" s="21">
        <v>0</v>
      </c>
      <c r="P4" s="21">
        <v>0</v>
      </c>
      <c r="Q4" s="21">
        <v>0</v>
      </c>
      <c r="R4" s="21">
        <v>0</v>
      </c>
      <c r="S4" s="21">
        <v>0</v>
      </c>
      <c r="T4" s="29">
        <f>SUM(E4:S4)</f>
        <v>105</v>
      </c>
    </row>
    <row r="5" spans="1:20" ht="69.75" customHeight="1" x14ac:dyDescent="0.35">
      <c r="A5" s="17" t="s">
        <v>48</v>
      </c>
      <c r="B5" s="28" t="s">
        <v>48</v>
      </c>
      <c r="C5" s="28" t="s">
        <v>39</v>
      </c>
      <c r="D5" s="28" t="s">
        <v>34</v>
      </c>
      <c r="E5" s="21">
        <v>0</v>
      </c>
      <c r="F5" s="21">
        <v>20</v>
      </c>
      <c r="G5" s="21">
        <v>36</v>
      </c>
      <c r="H5" s="21">
        <v>34</v>
      </c>
      <c r="I5" s="21">
        <v>46</v>
      </c>
      <c r="J5" s="21">
        <v>36</v>
      </c>
      <c r="K5" s="21">
        <v>47</v>
      </c>
      <c r="L5" s="21">
        <v>32</v>
      </c>
      <c r="M5" s="21">
        <v>21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9">
        <f>SUM(E5:S5)</f>
        <v>272</v>
      </c>
    </row>
    <row r="6" spans="1:20" x14ac:dyDescent="0.35">
      <c r="A6" s="30" t="s">
        <v>10</v>
      </c>
      <c r="B6" s="24" t="s">
        <v>49</v>
      </c>
      <c r="C6" s="31"/>
      <c r="D6" s="32"/>
      <c r="E6" s="26">
        <f>SUBTOTAL(109,SanDiego[Preschool])</f>
        <v>0</v>
      </c>
      <c r="F6" s="26">
        <f>SUBTOTAL(109,SanDiego[Prekindergarten])</f>
        <v>20</v>
      </c>
      <c r="G6" s="26">
        <f>SUBTOTAL(109,SanDiego[Kindergarten])</f>
        <v>36</v>
      </c>
      <c r="H6" s="26">
        <f>SUBTOTAL(109,SanDiego[Grade 1])</f>
        <v>54</v>
      </c>
      <c r="I6" s="26">
        <f>SUBTOTAL(109,SanDiego[Grade 2])</f>
        <v>66</v>
      </c>
      <c r="J6" s="26">
        <f>SUBTOTAL(109,SanDiego[Grade 3])</f>
        <v>56</v>
      </c>
      <c r="K6" s="26">
        <f>SUBTOTAL(109,SanDiego[Grade 4])</f>
        <v>67</v>
      </c>
      <c r="L6" s="26">
        <f>SUBTOTAL(109,SanDiego[Grade 5])</f>
        <v>57</v>
      </c>
      <c r="M6" s="26">
        <f>SUBTOTAL(109,SanDiego[Grade 6])</f>
        <v>21</v>
      </c>
      <c r="N6" s="26">
        <f>SUBTOTAL(109,SanDiego[Grade 7])</f>
        <v>0</v>
      </c>
      <c r="O6" s="26">
        <f>SUBTOTAL(109,SanDiego[Grade 8])</f>
        <v>0</v>
      </c>
      <c r="P6" s="26">
        <f>SUBTOTAL(109,SanDiego[Grade 9])</f>
        <v>0</v>
      </c>
      <c r="Q6" s="26">
        <f>SUBTOTAL(109,SanDiego[Grade 10])</f>
        <v>0</v>
      </c>
      <c r="R6" s="26">
        <f>SUBTOTAL(109,SanDiego[[Grade 11 ]])</f>
        <v>0</v>
      </c>
      <c r="S6" s="26">
        <f>SUBTOTAL(109,SanDiego[Grade 12])</f>
        <v>0</v>
      </c>
      <c r="T6" s="27">
        <f>SUBTOTAL(109,SanDiego[Total Seals per LEA])</f>
        <v>377</v>
      </c>
    </row>
  </sheetData>
  <conditionalFormatting sqref="A3:B3 B2:D2 A1">
    <cfRule type="duplicateValues" dxfId="1" priority="8"/>
  </conditionalFormatting>
  <conditionalFormatting sqref="C3:D3">
    <cfRule type="duplicateValues" dxfId="0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County Totals</vt:lpstr>
      <vt:lpstr>Alameda</vt:lpstr>
      <vt:lpstr>Kern</vt:lpstr>
      <vt:lpstr>Los Angeles</vt:lpstr>
      <vt:lpstr>Riverside</vt:lpstr>
      <vt:lpstr>Sacramento</vt:lpstr>
      <vt:lpstr>San Diego</vt:lpstr>
      <vt:lpstr>Alameda</vt:lpstr>
      <vt:lpstr>TableAlameda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WL Reading Challenge 2025 - Multilingual Learners (CA Dept of Education)</dc:title>
  <dc:subject>This spreadsheet provides county, district, and school participation information and language totals for the 2025 World Language (WL) Reading Challenge.</dc:subject>
  <dc:creator/>
  <cp:lastModifiedBy/>
  <dcterms:created xsi:type="dcterms:W3CDTF">2024-04-17T19:01:46Z</dcterms:created>
  <dcterms:modified xsi:type="dcterms:W3CDTF">2025-09-16T15:48:55Z</dcterms:modified>
</cp:coreProperties>
</file>